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AS_LIB_LS220D\Tosho\065_new_WebDate\journal\images\titleList\2022\"/>
    </mc:Choice>
  </mc:AlternateContent>
  <xr:revisionPtr revIDLastSave="0" documentId="13_ncr:1_{459D3707-3CC5-4831-91C4-DD522B2ABC8F}" xr6:coauthVersionLast="47" xr6:coauthVersionMax="47" xr10:uidLastSave="{00000000-0000-0000-0000-000000000000}"/>
  <bookViews>
    <workbookView xWindow="1080" yWindow="600" windowWidth="26010" windowHeight="14745" xr2:uid="{00000000-000D-0000-FFFF-FFFF00000000}"/>
  </bookViews>
  <sheets>
    <sheet name="Title List" sheetId="1" r:id="rId1"/>
    <sheet name="SJ1" sheetId="3" state="hidden" r:id="rId2"/>
    <sheet name="SJ1C" sheetId="4" state="hidden" r:id="rId3"/>
  </sheets>
  <definedNames>
    <definedName name="_xlnm._FilterDatabase" localSheetId="1" hidden="1">'SJ1'!$B$12:$O$2249</definedName>
    <definedName name="_xlnm._FilterDatabase" localSheetId="2" hidden="1">SJ1C!$B$2:$J$186</definedName>
    <definedName name="_xlnm._FilterDatabase" localSheetId="0" hidden="1">'Title List'!$B$12:$O$2249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6" i="4" l="1"/>
  <c r="I186" i="4"/>
  <c r="H186" i="4"/>
  <c r="G186" i="4"/>
  <c r="F186" i="4"/>
  <c r="E186" i="4"/>
  <c r="D186" i="4"/>
  <c r="C186" i="4"/>
  <c r="B186" i="4"/>
  <c r="J185" i="4"/>
  <c r="I185" i="4"/>
  <c r="H185" i="4"/>
  <c r="G185" i="4"/>
  <c r="F185" i="4"/>
  <c r="E185" i="4"/>
  <c r="D185" i="4"/>
  <c r="C185" i="4"/>
  <c r="B185" i="4"/>
  <c r="J184" i="4"/>
  <c r="I184" i="4"/>
  <c r="H184" i="4"/>
  <c r="G184" i="4"/>
  <c r="F184" i="4"/>
  <c r="E184" i="4"/>
  <c r="D184" i="4"/>
  <c r="C184" i="4"/>
  <c r="B184" i="4"/>
  <c r="J183" i="4"/>
  <c r="I183" i="4"/>
  <c r="H183" i="4"/>
  <c r="G183" i="4"/>
  <c r="F183" i="4"/>
  <c r="E183" i="4"/>
  <c r="D183" i="4"/>
  <c r="C183" i="4"/>
  <c r="B183" i="4"/>
  <c r="J182" i="4"/>
  <c r="I182" i="4"/>
  <c r="H182" i="4"/>
  <c r="G182" i="4"/>
  <c r="F182" i="4"/>
  <c r="E182" i="4"/>
  <c r="D182" i="4"/>
  <c r="C182" i="4"/>
  <c r="B182" i="4"/>
  <c r="J181" i="4"/>
  <c r="I181" i="4"/>
  <c r="H181" i="4"/>
  <c r="G181" i="4"/>
  <c r="F181" i="4"/>
  <c r="E181" i="4"/>
  <c r="D181" i="4"/>
  <c r="C181" i="4"/>
  <c r="B181" i="4"/>
  <c r="J180" i="4"/>
  <c r="I180" i="4"/>
  <c r="H180" i="4"/>
  <c r="G180" i="4"/>
  <c r="F180" i="4"/>
  <c r="E180" i="4"/>
  <c r="D180" i="4"/>
  <c r="C180" i="4"/>
  <c r="B180" i="4"/>
  <c r="J179" i="4"/>
  <c r="I179" i="4"/>
  <c r="H179" i="4"/>
  <c r="G179" i="4"/>
  <c r="F179" i="4"/>
  <c r="E179" i="4"/>
  <c r="D179" i="4"/>
  <c r="C179" i="4"/>
  <c r="B179" i="4"/>
  <c r="J178" i="4"/>
  <c r="I178" i="4"/>
  <c r="H178" i="4"/>
  <c r="G178" i="4"/>
  <c r="F178" i="4"/>
  <c r="E178" i="4"/>
  <c r="D178" i="4"/>
  <c r="C178" i="4"/>
  <c r="B178" i="4"/>
  <c r="J177" i="4"/>
  <c r="I177" i="4"/>
  <c r="H177" i="4"/>
  <c r="G177" i="4"/>
  <c r="F177" i="4"/>
  <c r="E177" i="4"/>
  <c r="D177" i="4"/>
  <c r="C177" i="4"/>
  <c r="B177" i="4"/>
  <c r="J176" i="4"/>
  <c r="I176" i="4"/>
  <c r="H176" i="4"/>
  <c r="G176" i="4"/>
  <c r="F176" i="4"/>
  <c r="E176" i="4"/>
  <c r="D176" i="4"/>
  <c r="C176" i="4"/>
  <c r="B176" i="4"/>
  <c r="J175" i="4"/>
  <c r="I175" i="4"/>
  <c r="H175" i="4"/>
  <c r="G175" i="4"/>
  <c r="F175" i="4"/>
  <c r="E175" i="4"/>
  <c r="D175" i="4"/>
  <c r="C175" i="4"/>
  <c r="B175" i="4"/>
  <c r="J174" i="4"/>
  <c r="I174" i="4"/>
  <c r="H174" i="4"/>
  <c r="G174" i="4"/>
  <c r="F174" i="4"/>
  <c r="E174" i="4"/>
  <c r="D174" i="4"/>
  <c r="C174" i="4"/>
  <c r="B174" i="4"/>
  <c r="J173" i="4"/>
  <c r="I173" i="4"/>
  <c r="H173" i="4"/>
  <c r="G173" i="4"/>
  <c r="F173" i="4"/>
  <c r="E173" i="4"/>
  <c r="D173" i="4"/>
  <c r="C173" i="4"/>
  <c r="B173" i="4"/>
  <c r="J172" i="4"/>
  <c r="I172" i="4"/>
  <c r="H172" i="4"/>
  <c r="G172" i="4"/>
  <c r="F172" i="4"/>
  <c r="E172" i="4"/>
  <c r="D172" i="4"/>
  <c r="C172" i="4"/>
  <c r="B172" i="4"/>
  <c r="J171" i="4"/>
  <c r="I171" i="4"/>
  <c r="H171" i="4"/>
  <c r="G171" i="4"/>
  <c r="F171" i="4"/>
  <c r="E171" i="4"/>
  <c r="D171" i="4"/>
  <c r="C171" i="4"/>
  <c r="B171" i="4"/>
  <c r="J170" i="4"/>
  <c r="I170" i="4"/>
  <c r="H170" i="4"/>
  <c r="G170" i="4"/>
  <c r="F170" i="4"/>
  <c r="E170" i="4"/>
  <c r="D170" i="4"/>
  <c r="C170" i="4"/>
  <c r="B170" i="4"/>
  <c r="I169" i="4"/>
  <c r="H169" i="4"/>
  <c r="G169" i="4"/>
  <c r="F169" i="4"/>
  <c r="E169" i="4"/>
  <c r="D169" i="4"/>
  <c r="C169" i="4"/>
  <c r="B169" i="4"/>
  <c r="I168" i="4"/>
  <c r="H168" i="4"/>
  <c r="G168" i="4"/>
  <c r="F168" i="4"/>
  <c r="E168" i="4"/>
  <c r="D168" i="4"/>
  <c r="C168" i="4"/>
  <c r="B168" i="4"/>
  <c r="I167" i="4"/>
  <c r="H167" i="4"/>
  <c r="G167" i="4"/>
  <c r="F167" i="4"/>
  <c r="E167" i="4"/>
  <c r="D167" i="4"/>
  <c r="C167" i="4"/>
  <c r="B167" i="4"/>
  <c r="J166" i="4"/>
  <c r="I166" i="4"/>
  <c r="H166" i="4"/>
  <c r="G166" i="4"/>
  <c r="F166" i="4"/>
  <c r="E166" i="4"/>
  <c r="D166" i="4"/>
  <c r="C166" i="4"/>
  <c r="B166" i="4"/>
  <c r="J165" i="4"/>
  <c r="I165" i="4"/>
  <c r="H165" i="4"/>
  <c r="G165" i="4"/>
  <c r="F165" i="4"/>
  <c r="E165" i="4"/>
  <c r="D165" i="4"/>
  <c r="C165" i="4"/>
  <c r="B165" i="4"/>
  <c r="J164" i="4"/>
  <c r="I164" i="4"/>
  <c r="H164" i="4"/>
  <c r="G164" i="4"/>
  <c r="F164" i="4"/>
  <c r="E164" i="4"/>
  <c r="D164" i="4"/>
  <c r="C164" i="4"/>
  <c r="B164" i="4"/>
  <c r="J163" i="4"/>
  <c r="I163" i="4"/>
  <c r="H163" i="4"/>
  <c r="G163" i="4"/>
  <c r="F163" i="4"/>
  <c r="E163" i="4"/>
  <c r="D163" i="4"/>
  <c r="C163" i="4"/>
  <c r="B163" i="4"/>
  <c r="J162" i="4"/>
  <c r="I162" i="4"/>
  <c r="H162" i="4"/>
  <c r="G162" i="4"/>
  <c r="F162" i="4"/>
  <c r="E162" i="4"/>
  <c r="D162" i="4"/>
  <c r="C162" i="4"/>
  <c r="B162" i="4"/>
  <c r="J161" i="4"/>
  <c r="I161" i="4"/>
  <c r="H161" i="4"/>
  <c r="G161" i="4"/>
  <c r="F161" i="4"/>
  <c r="E161" i="4"/>
  <c r="D161" i="4"/>
  <c r="C161" i="4"/>
  <c r="B161" i="4"/>
  <c r="J160" i="4"/>
  <c r="I160" i="4"/>
  <c r="H160" i="4"/>
  <c r="G160" i="4"/>
  <c r="F160" i="4"/>
  <c r="E160" i="4"/>
  <c r="D160" i="4"/>
  <c r="C160" i="4"/>
  <c r="B160" i="4"/>
  <c r="J159" i="4"/>
  <c r="I159" i="4"/>
  <c r="H159" i="4"/>
  <c r="G159" i="4"/>
  <c r="F159" i="4"/>
  <c r="E159" i="4"/>
  <c r="D159" i="4"/>
  <c r="C159" i="4"/>
  <c r="B159" i="4"/>
  <c r="J158" i="4"/>
  <c r="I158" i="4"/>
  <c r="H158" i="4"/>
  <c r="G158" i="4"/>
  <c r="F158" i="4"/>
  <c r="E158" i="4"/>
  <c r="D158" i="4"/>
  <c r="C158" i="4"/>
  <c r="B158" i="4"/>
  <c r="J157" i="4"/>
  <c r="I157" i="4"/>
  <c r="H157" i="4"/>
  <c r="G157" i="4"/>
  <c r="F157" i="4"/>
  <c r="E157" i="4"/>
  <c r="D157" i="4"/>
  <c r="C157" i="4"/>
  <c r="B157" i="4"/>
  <c r="J156" i="4"/>
  <c r="I156" i="4"/>
  <c r="H156" i="4"/>
  <c r="G156" i="4"/>
  <c r="F156" i="4"/>
  <c r="E156" i="4"/>
  <c r="D156" i="4"/>
  <c r="C156" i="4"/>
  <c r="B156" i="4"/>
  <c r="J155" i="4"/>
  <c r="I155" i="4"/>
  <c r="H155" i="4"/>
  <c r="G155" i="4"/>
  <c r="F155" i="4"/>
  <c r="E155" i="4"/>
  <c r="D155" i="4"/>
  <c r="C155" i="4"/>
  <c r="B155" i="4"/>
  <c r="J154" i="4"/>
  <c r="I154" i="4"/>
  <c r="H154" i="4"/>
  <c r="G154" i="4"/>
  <c r="F154" i="4"/>
  <c r="E154" i="4"/>
  <c r="D154" i="4"/>
  <c r="C154" i="4"/>
  <c r="B154" i="4"/>
  <c r="J153" i="4"/>
  <c r="I153" i="4"/>
  <c r="H153" i="4"/>
  <c r="G153" i="4"/>
  <c r="F153" i="4"/>
  <c r="E153" i="4"/>
  <c r="D153" i="4"/>
  <c r="C153" i="4"/>
  <c r="B153" i="4"/>
  <c r="J152" i="4"/>
  <c r="I152" i="4"/>
  <c r="H152" i="4"/>
  <c r="G152" i="4"/>
  <c r="F152" i="4"/>
  <c r="E152" i="4"/>
  <c r="D152" i="4"/>
  <c r="C152" i="4"/>
  <c r="B152" i="4"/>
  <c r="J151" i="4"/>
  <c r="I151" i="4"/>
  <c r="H151" i="4"/>
  <c r="G151" i="4"/>
  <c r="F151" i="4"/>
  <c r="E151" i="4"/>
  <c r="D151" i="4"/>
  <c r="C151" i="4"/>
  <c r="B151" i="4"/>
  <c r="J150" i="4"/>
  <c r="I150" i="4"/>
  <c r="H150" i="4"/>
  <c r="G150" i="4"/>
  <c r="F150" i="4"/>
  <c r="E150" i="4"/>
  <c r="D150" i="4"/>
  <c r="C150" i="4"/>
  <c r="B150" i="4"/>
  <c r="J149" i="4"/>
  <c r="I149" i="4"/>
  <c r="H149" i="4"/>
  <c r="G149" i="4"/>
  <c r="F149" i="4"/>
  <c r="E149" i="4"/>
  <c r="D149" i="4"/>
  <c r="C149" i="4"/>
  <c r="B149" i="4"/>
  <c r="J148" i="4"/>
  <c r="I148" i="4"/>
  <c r="H148" i="4"/>
  <c r="G148" i="4"/>
  <c r="F148" i="4"/>
  <c r="E148" i="4"/>
  <c r="D148" i="4"/>
  <c r="C148" i="4"/>
  <c r="B148" i="4"/>
  <c r="J147" i="4"/>
  <c r="I147" i="4"/>
  <c r="H147" i="4"/>
  <c r="G147" i="4"/>
  <c r="F147" i="4"/>
  <c r="E147" i="4"/>
  <c r="D147" i="4"/>
  <c r="C147" i="4"/>
  <c r="B147" i="4"/>
  <c r="J146" i="4"/>
  <c r="I146" i="4"/>
  <c r="H146" i="4"/>
  <c r="G146" i="4"/>
  <c r="F146" i="4"/>
  <c r="E146" i="4"/>
  <c r="D146" i="4"/>
  <c r="C146" i="4"/>
  <c r="B146" i="4"/>
  <c r="J145" i="4"/>
  <c r="I145" i="4"/>
  <c r="H145" i="4"/>
  <c r="G145" i="4"/>
  <c r="F145" i="4"/>
  <c r="E145" i="4"/>
  <c r="D145" i="4"/>
  <c r="C145" i="4"/>
  <c r="B145" i="4"/>
  <c r="J144" i="4"/>
  <c r="I144" i="4"/>
  <c r="H144" i="4"/>
  <c r="G144" i="4"/>
  <c r="F144" i="4"/>
  <c r="E144" i="4"/>
  <c r="D144" i="4"/>
  <c r="C144" i="4"/>
  <c r="B144" i="4"/>
  <c r="J143" i="4"/>
  <c r="I143" i="4"/>
  <c r="H143" i="4"/>
  <c r="G143" i="4"/>
  <c r="F143" i="4"/>
  <c r="E143" i="4"/>
  <c r="D143" i="4"/>
  <c r="C143" i="4"/>
  <c r="B143" i="4"/>
  <c r="J142" i="4"/>
  <c r="I142" i="4"/>
  <c r="H142" i="4"/>
  <c r="G142" i="4"/>
  <c r="F142" i="4"/>
  <c r="E142" i="4"/>
  <c r="D142" i="4"/>
  <c r="C142" i="4"/>
  <c r="B142" i="4"/>
  <c r="J141" i="4"/>
  <c r="I141" i="4"/>
  <c r="H141" i="4"/>
  <c r="G141" i="4"/>
  <c r="F141" i="4"/>
  <c r="E141" i="4"/>
  <c r="D141" i="4"/>
  <c r="C141" i="4"/>
  <c r="B141" i="4"/>
  <c r="I140" i="4"/>
  <c r="H140" i="4"/>
  <c r="G140" i="4"/>
  <c r="F140" i="4"/>
  <c r="E140" i="4"/>
  <c r="D140" i="4"/>
  <c r="C140" i="4"/>
  <c r="B140" i="4"/>
  <c r="I139" i="4"/>
  <c r="H139" i="4"/>
  <c r="G139" i="4"/>
  <c r="F139" i="4"/>
  <c r="E139" i="4"/>
  <c r="D139" i="4"/>
  <c r="C139" i="4"/>
  <c r="B139" i="4"/>
  <c r="I138" i="4"/>
  <c r="H138" i="4"/>
  <c r="G138" i="4"/>
  <c r="F138" i="4"/>
  <c r="E138" i="4"/>
  <c r="D138" i="4"/>
  <c r="C138" i="4"/>
  <c r="B138" i="4"/>
  <c r="I137" i="4"/>
  <c r="H137" i="4"/>
  <c r="G137" i="4"/>
  <c r="F137" i="4"/>
  <c r="E137" i="4"/>
  <c r="D137" i="4"/>
  <c r="C137" i="4"/>
  <c r="B137" i="4"/>
  <c r="I136" i="4"/>
  <c r="H136" i="4"/>
  <c r="G136" i="4"/>
  <c r="F136" i="4"/>
  <c r="E136" i="4"/>
  <c r="D136" i="4"/>
  <c r="C136" i="4"/>
  <c r="B136" i="4"/>
  <c r="I135" i="4"/>
  <c r="H135" i="4"/>
  <c r="G135" i="4"/>
  <c r="F135" i="4"/>
  <c r="E135" i="4"/>
  <c r="D135" i="4"/>
  <c r="C135" i="4"/>
  <c r="B135" i="4"/>
  <c r="I134" i="4"/>
  <c r="H134" i="4"/>
  <c r="G134" i="4"/>
  <c r="F134" i="4"/>
  <c r="E134" i="4"/>
  <c r="D134" i="4"/>
  <c r="C134" i="4"/>
  <c r="B134" i="4"/>
  <c r="I133" i="4"/>
  <c r="H133" i="4"/>
  <c r="G133" i="4"/>
  <c r="F133" i="4"/>
  <c r="E133" i="4"/>
  <c r="D133" i="4"/>
  <c r="C133" i="4"/>
  <c r="B133" i="4"/>
  <c r="I132" i="4"/>
  <c r="H132" i="4"/>
  <c r="G132" i="4"/>
  <c r="F132" i="4"/>
  <c r="E132" i="4"/>
  <c r="D132" i="4"/>
  <c r="C132" i="4"/>
  <c r="B132" i="4"/>
  <c r="I131" i="4"/>
  <c r="H131" i="4"/>
  <c r="G131" i="4"/>
  <c r="F131" i="4"/>
  <c r="E131" i="4"/>
  <c r="D131" i="4"/>
  <c r="C131" i="4"/>
  <c r="B131" i="4"/>
  <c r="I130" i="4"/>
  <c r="H130" i="4"/>
  <c r="G130" i="4"/>
  <c r="F130" i="4"/>
  <c r="E130" i="4"/>
  <c r="D130" i="4"/>
  <c r="C130" i="4"/>
  <c r="B130" i="4"/>
  <c r="I129" i="4"/>
  <c r="H129" i="4"/>
  <c r="G129" i="4"/>
  <c r="F129" i="4"/>
  <c r="E129" i="4"/>
  <c r="D129" i="4"/>
  <c r="C129" i="4"/>
  <c r="B129" i="4"/>
  <c r="I128" i="4"/>
  <c r="H128" i="4"/>
  <c r="G128" i="4"/>
  <c r="F128" i="4"/>
  <c r="E128" i="4"/>
  <c r="D128" i="4"/>
  <c r="C128" i="4"/>
  <c r="B128" i="4"/>
  <c r="I127" i="4"/>
  <c r="H127" i="4"/>
  <c r="G127" i="4"/>
  <c r="F127" i="4"/>
  <c r="E127" i="4"/>
  <c r="D127" i="4"/>
  <c r="C127" i="4"/>
  <c r="B127" i="4"/>
  <c r="I126" i="4"/>
  <c r="H126" i="4"/>
  <c r="G126" i="4"/>
  <c r="F126" i="4"/>
  <c r="E126" i="4"/>
  <c r="D126" i="4"/>
  <c r="C126" i="4"/>
  <c r="B126" i="4"/>
  <c r="I125" i="4"/>
  <c r="H125" i="4"/>
  <c r="G125" i="4"/>
  <c r="F125" i="4"/>
  <c r="E125" i="4"/>
  <c r="D125" i="4"/>
  <c r="C125" i="4"/>
  <c r="B125" i="4"/>
  <c r="I124" i="4"/>
  <c r="H124" i="4"/>
  <c r="G124" i="4"/>
  <c r="F124" i="4"/>
  <c r="E124" i="4"/>
  <c r="D124" i="4"/>
  <c r="C124" i="4"/>
  <c r="B124" i="4"/>
  <c r="I123" i="4"/>
  <c r="H123" i="4"/>
  <c r="G123" i="4"/>
  <c r="F123" i="4"/>
  <c r="E123" i="4"/>
  <c r="D123" i="4"/>
  <c r="C123" i="4"/>
  <c r="B123" i="4"/>
  <c r="I122" i="4"/>
  <c r="H122" i="4"/>
  <c r="G122" i="4"/>
  <c r="F122" i="4"/>
  <c r="E122" i="4"/>
  <c r="D122" i="4"/>
  <c r="C122" i="4"/>
  <c r="B122" i="4"/>
  <c r="I121" i="4"/>
  <c r="H121" i="4"/>
  <c r="G121" i="4"/>
  <c r="F121" i="4"/>
  <c r="E121" i="4"/>
  <c r="D121" i="4"/>
  <c r="C121" i="4"/>
  <c r="B121" i="4"/>
  <c r="I120" i="4"/>
  <c r="H120" i="4"/>
  <c r="G120" i="4"/>
  <c r="F120" i="4"/>
  <c r="E120" i="4"/>
  <c r="D120" i="4"/>
  <c r="C120" i="4"/>
  <c r="B120" i="4"/>
  <c r="I119" i="4"/>
  <c r="H119" i="4"/>
  <c r="G119" i="4"/>
  <c r="F119" i="4"/>
  <c r="E119" i="4"/>
  <c r="D119" i="4"/>
  <c r="C119" i="4"/>
  <c r="B119" i="4"/>
  <c r="I118" i="4"/>
  <c r="H118" i="4"/>
  <c r="G118" i="4"/>
  <c r="F118" i="4"/>
  <c r="E118" i="4"/>
  <c r="D118" i="4"/>
  <c r="C118" i="4"/>
  <c r="B118" i="4"/>
  <c r="I117" i="4"/>
  <c r="H117" i="4"/>
  <c r="G117" i="4"/>
  <c r="F117" i="4"/>
  <c r="E117" i="4"/>
  <c r="D117" i="4"/>
  <c r="C117" i="4"/>
  <c r="B117" i="4"/>
  <c r="I116" i="4"/>
  <c r="H116" i="4"/>
  <c r="G116" i="4"/>
  <c r="F116" i="4"/>
  <c r="E116" i="4"/>
  <c r="D116" i="4"/>
  <c r="C116" i="4"/>
  <c r="B116" i="4"/>
  <c r="I115" i="4"/>
  <c r="H115" i="4"/>
  <c r="G115" i="4"/>
  <c r="F115" i="4"/>
  <c r="E115" i="4"/>
  <c r="D115" i="4"/>
  <c r="C115" i="4"/>
  <c r="B115" i="4"/>
  <c r="I114" i="4"/>
  <c r="H114" i="4"/>
  <c r="G114" i="4"/>
  <c r="F114" i="4"/>
  <c r="E114" i="4"/>
  <c r="D114" i="4"/>
  <c r="C114" i="4"/>
  <c r="B114" i="4"/>
  <c r="I113" i="4"/>
  <c r="H113" i="4"/>
  <c r="G113" i="4"/>
  <c r="F113" i="4"/>
  <c r="E113" i="4"/>
  <c r="D113" i="4"/>
  <c r="C113" i="4"/>
  <c r="B113" i="4"/>
  <c r="I112" i="4"/>
  <c r="H112" i="4"/>
  <c r="G112" i="4"/>
  <c r="F112" i="4"/>
  <c r="E112" i="4"/>
  <c r="D112" i="4"/>
  <c r="C112" i="4"/>
  <c r="B112" i="4"/>
  <c r="I111" i="4"/>
  <c r="H111" i="4"/>
  <c r="G111" i="4"/>
  <c r="F111" i="4"/>
  <c r="E111" i="4"/>
  <c r="D111" i="4"/>
  <c r="C111" i="4"/>
  <c r="B111" i="4"/>
  <c r="I110" i="4"/>
  <c r="H110" i="4"/>
  <c r="G110" i="4"/>
  <c r="F110" i="4"/>
  <c r="E110" i="4"/>
  <c r="D110" i="4"/>
  <c r="C110" i="4"/>
  <c r="B110" i="4"/>
  <c r="I109" i="4"/>
  <c r="H109" i="4"/>
  <c r="G109" i="4"/>
  <c r="F109" i="4"/>
  <c r="E109" i="4"/>
  <c r="D109" i="4"/>
  <c r="C109" i="4"/>
  <c r="B109" i="4"/>
  <c r="I108" i="4"/>
  <c r="H108" i="4"/>
  <c r="G108" i="4"/>
  <c r="F108" i="4"/>
  <c r="E108" i="4"/>
  <c r="D108" i="4"/>
  <c r="C108" i="4"/>
  <c r="B108" i="4"/>
  <c r="I107" i="4"/>
  <c r="H107" i="4"/>
  <c r="G107" i="4"/>
  <c r="F107" i="4"/>
  <c r="E107" i="4"/>
  <c r="D107" i="4"/>
  <c r="C107" i="4"/>
  <c r="B107" i="4"/>
  <c r="I106" i="4"/>
  <c r="H106" i="4"/>
  <c r="G106" i="4"/>
  <c r="F106" i="4"/>
  <c r="E106" i="4"/>
  <c r="D106" i="4"/>
  <c r="C106" i="4"/>
  <c r="B106" i="4"/>
  <c r="I105" i="4"/>
  <c r="H105" i="4"/>
  <c r="G105" i="4"/>
  <c r="F105" i="4"/>
  <c r="E105" i="4"/>
  <c r="D105" i="4"/>
  <c r="C105" i="4"/>
  <c r="B105" i="4"/>
  <c r="I104" i="4"/>
  <c r="H104" i="4"/>
  <c r="G104" i="4"/>
  <c r="F104" i="4"/>
  <c r="E104" i="4"/>
  <c r="D104" i="4"/>
  <c r="C104" i="4"/>
  <c r="B104" i="4"/>
  <c r="I103" i="4"/>
  <c r="H103" i="4"/>
  <c r="G103" i="4"/>
  <c r="F103" i="4"/>
  <c r="E103" i="4"/>
  <c r="D103" i="4"/>
  <c r="C103" i="4"/>
  <c r="B103" i="4"/>
  <c r="I102" i="4"/>
  <c r="H102" i="4"/>
  <c r="G102" i="4"/>
  <c r="F102" i="4"/>
  <c r="E102" i="4"/>
  <c r="D102" i="4"/>
  <c r="C102" i="4"/>
  <c r="B102" i="4"/>
  <c r="I101" i="4"/>
  <c r="H101" i="4"/>
  <c r="G101" i="4"/>
  <c r="F101" i="4"/>
  <c r="E101" i="4"/>
  <c r="D101" i="4"/>
  <c r="C101" i="4"/>
  <c r="B101" i="4"/>
  <c r="I100" i="4"/>
  <c r="H100" i="4"/>
  <c r="G100" i="4"/>
  <c r="F100" i="4"/>
  <c r="E100" i="4"/>
  <c r="D100" i="4"/>
  <c r="C100" i="4"/>
  <c r="B100" i="4"/>
  <c r="I99" i="4"/>
  <c r="H99" i="4"/>
  <c r="G99" i="4"/>
  <c r="F99" i="4"/>
  <c r="E99" i="4"/>
  <c r="D99" i="4"/>
  <c r="C99" i="4"/>
  <c r="B99" i="4"/>
  <c r="I98" i="4"/>
  <c r="H98" i="4"/>
  <c r="G98" i="4"/>
  <c r="F98" i="4"/>
  <c r="E98" i="4"/>
  <c r="D98" i="4"/>
  <c r="C98" i="4"/>
  <c r="B98" i="4"/>
  <c r="I97" i="4"/>
  <c r="H97" i="4"/>
  <c r="G97" i="4"/>
  <c r="F97" i="4"/>
  <c r="E97" i="4"/>
  <c r="D97" i="4"/>
  <c r="C97" i="4"/>
  <c r="B97" i="4"/>
  <c r="I96" i="4"/>
  <c r="H96" i="4"/>
  <c r="G96" i="4"/>
  <c r="F96" i="4"/>
  <c r="E96" i="4"/>
  <c r="D96" i="4"/>
  <c r="C96" i="4"/>
  <c r="B96" i="4"/>
  <c r="I95" i="4"/>
  <c r="H95" i="4"/>
  <c r="G95" i="4"/>
  <c r="F95" i="4"/>
  <c r="E95" i="4"/>
  <c r="D95" i="4"/>
  <c r="C95" i="4"/>
  <c r="B95" i="4"/>
  <c r="I94" i="4"/>
  <c r="H94" i="4"/>
  <c r="G94" i="4"/>
  <c r="F94" i="4"/>
  <c r="E94" i="4"/>
  <c r="D94" i="4"/>
  <c r="C94" i="4"/>
  <c r="B94" i="4"/>
  <c r="I93" i="4"/>
  <c r="H93" i="4"/>
  <c r="G93" i="4"/>
  <c r="F93" i="4"/>
  <c r="E93" i="4"/>
  <c r="D93" i="4"/>
  <c r="C93" i="4"/>
  <c r="B93" i="4"/>
  <c r="I92" i="4"/>
  <c r="H92" i="4"/>
  <c r="G92" i="4"/>
  <c r="F92" i="4"/>
  <c r="E92" i="4"/>
  <c r="D92" i="4"/>
  <c r="C92" i="4"/>
  <c r="B92" i="4"/>
  <c r="I91" i="4"/>
  <c r="H91" i="4"/>
  <c r="G91" i="4"/>
  <c r="F91" i="4"/>
  <c r="E91" i="4"/>
  <c r="D91" i="4"/>
  <c r="C91" i="4"/>
  <c r="B91" i="4"/>
  <c r="I90" i="4"/>
  <c r="H90" i="4"/>
  <c r="G90" i="4"/>
  <c r="F90" i="4"/>
  <c r="E90" i="4"/>
  <c r="D90" i="4"/>
  <c r="C90" i="4"/>
  <c r="B90" i="4"/>
  <c r="I89" i="4"/>
  <c r="H89" i="4"/>
  <c r="G89" i="4"/>
  <c r="F89" i="4"/>
  <c r="E89" i="4"/>
  <c r="D89" i="4"/>
  <c r="C89" i="4"/>
  <c r="B89" i="4"/>
  <c r="I88" i="4"/>
  <c r="H88" i="4"/>
  <c r="G88" i="4"/>
  <c r="F88" i="4"/>
  <c r="E88" i="4"/>
  <c r="D88" i="4"/>
  <c r="C88" i="4"/>
  <c r="B88" i="4"/>
  <c r="I87" i="4"/>
  <c r="H87" i="4"/>
  <c r="G87" i="4"/>
  <c r="F87" i="4"/>
  <c r="E87" i="4"/>
  <c r="D87" i="4"/>
  <c r="C87" i="4"/>
  <c r="B87" i="4"/>
  <c r="I86" i="4"/>
  <c r="H86" i="4"/>
  <c r="G86" i="4"/>
  <c r="F86" i="4"/>
  <c r="E86" i="4"/>
  <c r="D86" i="4"/>
  <c r="C86" i="4"/>
  <c r="B86" i="4"/>
  <c r="I85" i="4"/>
  <c r="H85" i="4"/>
  <c r="G85" i="4"/>
  <c r="F85" i="4"/>
  <c r="E85" i="4"/>
  <c r="D85" i="4"/>
  <c r="C85" i="4"/>
  <c r="B85" i="4"/>
  <c r="I84" i="4"/>
  <c r="H84" i="4"/>
  <c r="G84" i="4"/>
  <c r="F84" i="4"/>
  <c r="E84" i="4"/>
  <c r="D84" i="4"/>
  <c r="C84" i="4"/>
  <c r="B84" i="4"/>
  <c r="I83" i="4"/>
  <c r="H83" i="4"/>
  <c r="G83" i="4"/>
  <c r="F83" i="4"/>
  <c r="E83" i="4"/>
  <c r="D83" i="4"/>
  <c r="C83" i="4"/>
  <c r="B83" i="4"/>
  <c r="I82" i="4"/>
  <c r="H82" i="4"/>
  <c r="G82" i="4"/>
  <c r="F82" i="4"/>
  <c r="E82" i="4"/>
  <c r="D82" i="4"/>
  <c r="C82" i="4"/>
  <c r="B82" i="4"/>
  <c r="I81" i="4"/>
  <c r="H81" i="4"/>
  <c r="G81" i="4"/>
  <c r="F81" i="4"/>
  <c r="E81" i="4"/>
  <c r="D81" i="4"/>
  <c r="C81" i="4"/>
  <c r="B81" i="4"/>
  <c r="I80" i="4"/>
  <c r="H80" i="4"/>
  <c r="G80" i="4"/>
  <c r="F80" i="4"/>
  <c r="E80" i="4"/>
  <c r="D80" i="4"/>
  <c r="C80" i="4"/>
  <c r="B80" i="4"/>
  <c r="I79" i="4"/>
  <c r="H79" i="4"/>
  <c r="G79" i="4"/>
  <c r="F79" i="4"/>
  <c r="E79" i="4"/>
  <c r="D79" i="4"/>
  <c r="C79" i="4"/>
  <c r="B79" i="4"/>
  <c r="I78" i="4"/>
  <c r="H78" i="4"/>
  <c r="G78" i="4"/>
  <c r="F78" i="4"/>
  <c r="E78" i="4"/>
  <c r="D78" i="4"/>
  <c r="C78" i="4"/>
  <c r="B78" i="4"/>
  <c r="I77" i="4"/>
  <c r="H77" i="4"/>
  <c r="G77" i="4"/>
  <c r="F77" i="4"/>
  <c r="E77" i="4"/>
  <c r="D77" i="4"/>
  <c r="C77" i="4"/>
  <c r="B77" i="4"/>
  <c r="I76" i="4"/>
  <c r="H76" i="4"/>
  <c r="G76" i="4"/>
  <c r="F76" i="4"/>
  <c r="E76" i="4"/>
  <c r="D76" i="4"/>
  <c r="C76" i="4"/>
  <c r="B76" i="4"/>
  <c r="I75" i="4"/>
  <c r="H75" i="4"/>
  <c r="G75" i="4"/>
  <c r="F75" i="4"/>
  <c r="E75" i="4"/>
  <c r="D75" i="4"/>
  <c r="C75" i="4"/>
  <c r="B75" i="4"/>
  <c r="J74" i="4"/>
  <c r="I74" i="4"/>
  <c r="H74" i="4"/>
  <c r="G74" i="4"/>
  <c r="F74" i="4"/>
  <c r="E74" i="4"/>
  <c r="D74" i="4"/>
  <c r="C74" i="4"/>
  <c r="B74" i="4"/>
  <c r="J73" i="4"/>
  <c r="I73" i="4"/>
  <c r="H73" i="4"/>
  <c r="G73" i="4"/>
  <c r="F73" i="4"/>
  <c r="E73" i="4"/>
  <c r="D73" i="4"/>
  <c r="C73" i="4"/>
  <c r="B73" i="4"/>
  <c r="J72" i="4"/>
  <c r="I72" i="4"/>
  <c r="H72" i="4"/>
  <c r="G72" i="4"/>
  <c r="F72" i="4"/>
  <c r="E72" i="4"/>
  <c r="D72" i="4"/>
  <c r="C72" i="4"/>
  <c r="B72" i="4"/>
  <c r="J71" i="4"/>
  <c r="I71" i="4"/>
  <c r="H71" i="4"/>
  <c r="G71" i="4"/>
  <c r="F71" i="4"/>
  <c r="E71" i="4"/>
  <c r="D71" i="4"/>
  <c r="C71" i="4"/>
  <c r="B71" i="4"/>
  <c r="J70" i="4"/>
  <c r="I70" i="4"/>
  <c r="H70" i="4"/>
  <c r="G70" i="4"/>
  <c r="F70" i="4"/>
  <c r="E70" i="4"/>
  <c r="D70" i="4"/>
  <c r="C70" i="4"/>
  <c r="B70" i="4"/>
  <c r="J69" i="4"/>
  <c r="I69" i="4"/>
  <c r="H69" i="4"/>
  <c r="G69" i="4"/>
  <c r="F69" i="4"/>
  <c r="E69" i="4"/>
  <c r="D69" i="4"/>
  <c r="C69" i="4"/>
  <c r="B69" i="4"/>
  <c r="J68" i="4"/>
  <c r="I68" i="4"/>
  <c r="H68" i="4"/>
  <c r="G68" i="4"/>
  <c r="F68" i="4"/>
  <c r="E68" i="4"/>
  <c r="D68" i="4"/>
  <c r="C68" i="4"/>
  <c r="B68" i="4"/>
  <c r="J67" i="4"/>
  <c r="I67" i="4"/>
  <c r="H67" i="4"/>
  <c r="G67" i="4"/>
  <c r="F67" i="4"/>
  <c r="E67" i="4"/>
  <c r="D67" i="4"/>
  <c r="C67" i="4"/>
  <c r="B67" i="4"/>
  <c r="J66" i="4"/>
  <c r="I66" i="4"/>
  <c r="H66" i="4"/>
  <c r="G66" i="4"/>
  <c r="F66" i="4"/>
  <c r="E66" i="4"/>
  <c r="D66" i="4"/>
  <c r="C66" i="4"/>
  <c r="B66" i="4"/>
  <c r="J65" i="4"/>
  <c r="I65" i="4"/>
  <c r="H65" i="4"/>
  <c r="G65" i="4"/>
  <c r="F65" i="4"/>
  <c r="E65" i="4"/>
  <c r="D65" i="4"/>
  <c r="C65" i="4"/>
  <c r="B65" i="4"/>
  <c r="J64" i="4"/>
  <c r="I64" i="4"/>
  <c r="H64" i="4"/>
  <c r="G64" i="4"/>
  <c r="F64" i="4"/>
  <c r="E64" i="4"/>
  <c r="D64" i="4"/>
  <c r="C64" i="4"/>
  <c r="B64" i="4"/>
  <c r="J63" i="4"/>
  <c r="I63" i="4"/>
  <c r="H63" i="4"/>
  <c r="G63" i="4"/>
  <c r="F63" i="4"/>
  <c r="E63" i="4"/>
  <c r="D63" i="4"/>
  <c r="C63" i="4"/>
  <c r="B63" i="4"/>
  <c r="J62" i="4"/>
  <c r="I62" i="4"/>
  <c r="H62" i="4"/>
  <c r="G62" i="4"/>
  <c r="F62" i="4"/>
  <c r="E62" i="4"/>
  <c r="D62" i="4"/>
  <c r="C62" i="4"/>
  <c r="B62" i="4"/>
  <c r="J61" i="4"/>
  <c r="I61" i="4"/>
  <c r="H61" i="4"/>
  <c r="G61" i="4"/>
  <c r="F61" i="4"/>
  <c r="E61" i="4"/>
  <c r="D61" i="4"/>
  <c r="C61" i="4"/>
  <c r="B61" i="4"/>
  <c r="J60" i="4"/>
  <c r="I60" i="4"/>
  <c r="H60" i="4"/>
  <c r="G60" i="4"/>
  <c r="F60" i="4"/>
  <c r="E60" i="4"/>
  <c r="D60" i="4"/>
  <c r="C60" i="4"/>
  <c r="B60" i="4"/>
  <c r="J59" i="4"/>
  <c r="I59" i="4"/>
  <c r="H59" i="4"/>
  <c r="G59" i="4"/>
  <c r="F59" i="4"/>
  <c r="E59" i="4"/>
  <c r="D59" i="4"/>
  <c r="C59" i="4"/>
  <c r="B59" i="4"/>
  <c r="J58" i="4"/>
  <c r="I58" i="4"/>
  <c r="H58" i="4"/>
  <c r="G58" i="4"/>
  <c r="F58" i="4"/>
  <c r="E58" i="4"/>
  <c r="D58" i="4"/>
  <c r="C58" i="4"/>
  <c r="B58" i="4"/>
  <c r="J57" i="4"/>
  <c r="I57" i="4"/>
  <c r="H57" i="4"/>
  <c r="G57" i="4"/>
  <c r="F57" i="4"/>
  <c r="E57" i="4"/>
  <c r="D57" i="4"/>
  <c r="C57" i="4"/>
  <c r="B57" i="4"/>
  <c r="J56" i="4"/>
  <c r="I56" i="4"/>
  <c r="H56" i="4"/>
  <c r="G56" i="4"/>
  <c r="F56" i="4"/>
  <c r="E56" i="4"/>
  <c r="D56" i="4"/>
  <c r="C56" i="4"/>
  <c r="B56" i="4"/>
  <c r="J55" i="4"/>
  <c r="I55" i="4"/>
  <c r="H55" i="4"/>
  <c r="G55" i="4"/>
  <c r="F55" i="4"/>
  <c r="E55" i="4"/>
  <c r="D55" i="4"/>
  <c r="C55" i="4"/>
  <c r="B55" i="4"/>
  <c r="J54" i="4"/>
  <c r="I54" i="4"/>
  <c r="H54" i="4"/>
  <c r="G54" i="4"/>
  <c r="F54" i="4"/>
  <c r="E54" i="4"/>
  <c r="D54" i="4"/>
  <c r="C54" i="4"/>
  <c r="B54" i="4"/>
  <c r="J53" i="4"/>
  <c r="I53" i="4"/>
  <c r="H53" i="4"/>
  <c r="G53" i="4"/>
  <c r="F53" i="4"/>
  <c r="E53" i="4"/>
  <c r="D53" i="4"/>
  <c r="C53" i="4"/>
  <c r="B53" i="4"/>
  <c r="J52" i="4"/>
  <c r="I52" i="4"/>
  <c r="H52" i="4"/>
  <c r="G52" i="4"/>
  <c r="F52" i="4"/>
  <c r="E52" i="4"/>
  <c r="D52" i="4"/>
  <c r="C52" i="4"/>
  <c r="B52" i="4"/>
  <c r="J51" i="4"/>
  <c r="I51" i="4"/>
  <c r="H51" i="4"/>
  <c r="G51" i="4"/>
  <c r="F51" i="4"/>
  <c r="E51" i="4"/>
  <c r="D51" i="4"/>
  <c r="C51" i="4"/>
  <c r="B51" i="4"/>
  <c r="J50" i="4"/>
  <c r="I50" i="4"/>
  <c r="H50" i="4"/>
  <c r="G50" i="4"/>
  <c r="F50" i="4"/>
  <c r="E50" i="4"/>
  <c r="D50" i="4"/>
  <c r="C50" i="4"/>
  <c r="B50" i="4"/>
  <c r="I49" i="4"/>
  <c r="H49" i="4"/>
  <c r="G49" i="4"/>
  <c r="F49" i="4"/>
  <c r="E49" i="4"/>
  <c r="D49" i="4"/>
  <c r="C49" i="4"/>
  <c r="B49" i="4"/>
  <c r="I48" i="4"/>
  <c r="H48" i="4"/>
  <c r="G48" i="4"/>
  <c r="F48" i="4"/>
  <c r="E48" i="4"/>
  <c r="D48" i="4"/>
  <c r="C48" i="4"/>
  <c r="B48" i="4"/>
  <c r="I47" i="4"/>
  <c r="H47" i="4"/>
  <c r="G47" i="4"/>
  <c r="F47" i="4"/>
  <c r="E47" i="4"/>
  <c r="D47" i="4"/>
  <c r="C47" i="4"/>
  <c r="B47" i="4"/>
  <c r="I46" i="4"/>
  <c r="H46" i="4"/>
  <c r="G46" i="4"/>
  <c r="F46" i="4"/>
  <c r="E46" i="4"/>
  <c r="D46" i="4"/>
  <c r="C46" i="4"/>
  <c r="B46" i="4"/>
  <c r="J45" i="4"/>
  <c r="I45" i="4"/>
  <c r="H45" i="4"/>
  <c r="G45" i="4"/>
  <c r="F45" i="4"/>
  <c r="E45" i="4"/>
  <c r="D45" i="4"/>
  <c r="C45" i="4"/>
  <c r="B45" i="4"/>
  <c r="I44" i="4"/>
  <c r="H44" i="4"/>
  <c r="G44" i="4"/>
  <c r="F44" i="4"/>
  <c r="E44" i="4"/>
  <c r="D44" i="4"/>
  <c r="C44" i="4"/>
  <c r="B44" i="4"/>
  <c r="I43" i="4"/>
  <c r="H43" i="4"/>
  <c r="G43" i="4"/>
  <c r="F43" i="4"/>
  <c r="E43" i="4"/>
  <c r="D43" i="4"/>
  <c r="C43" i="4"/>
  <c r="B43" i="4"/>
  <c r="I42" i="4"/>
  <c r="H42" i="4"/>
  <c r="G42" i="4"/>
  <c r="F42" i="4"/>
  <c r="E42" i="4"/>
  <c r="D42" i="4"/>
  <c r="C42" i="4"/>
  <c r="B42" i="4"/>
  <c r="I41" i="4"/>
  <c r="H41" i="4"/>
  <c r="G41" i="4"/>
  <c r="F41" i="4"/>
  <c r="E41" i="4"/>
  <c r="D41" i="4"/>
  <c r="C41" i="4"/>
  <c r="B41" i="4"/>
  <c r="I40" i="4"/>
  <c r="H40" i="4"/>
  <c r="G40" i="4"/>
  <c r="F40" i="4"/>
  <c r="E40" i="4"/>
  <c r="D40" i="4"/>
  <c r="C40" i="4"/>
  <c r="B40"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I32" i="4"/>
  <c r="H32" i="4"/>
  <c r="G32" i="4"/>
  <c r="F32" i="4"/>
  <c r="E32" i="4"/>
  <c r="D32" i="4"/>
  <c r="C32" i="4"/>
  <c r="B32" i="4"/>
  <c r="I31" i="4"/>
  <c r="H31" i="4"/>
  <c r="G31" i="4"/>
  <c r="F31" i="4"/>
  <c r="E31" i="4"/>
  <c r="D31" i="4"/>
  <c r="C31" i="4"/>
  <c r="B31"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H25" i="4"/>
  <c r="G25" i="4"/>
  <c r="F25" i="4"/>
  <c r="E25" i="4"/>
  <c r="D25" i="4"/>
  <c r="C25" i="4"/>
  <c r="B25" i="4"/>
  <c r="H24" i="4"/>
  <c r="G24" i="4"/>
  <c r="F24" i="4"/>
  <c r="E24" i="4"/>
  <c r="D24" i="4"/>
  <c r="C24" i="4"/>
  <c r="B24" i="4"/>
  <c r="I23" i="4"/>
  <c r="H23" i="4"/>
  <c r="G23" i="4"/>
  <c r="F23" i="4"/>
  <c r="E23" i="4"/>
  <c r="D23" i="4"/>
  <c r="C23" i="4"/>
  <c r="B23" i="4"/>
  <c r="I22" i="4"/>
  <c r="H22" i="4"/>
  <c r="G22" i="4"/>
  <c r="F22" i="4"/>
  <c r="E22" i="4"/>
  <c r="D22" i="4"/>
  <c r="C22" i="4"/>
  <c r="B22" i="4"/>
  <c r="I21" i="4"/>
  <c r="H21" i="4"/>
  <c r="G21" i="4"/>
  <c r="F21" i="4"/>
  <c r="E21" i="4"/>
  <c r="D21" i="4"/>
  <c r="C21" i="4"/>
  <c r="B21" i="4"/>
  <c r="I20" i="4"/>
  <c r="H20" i="4"/>
  <c r="G20" i="4"/>
  <c r="F20" i="4"/>
  <c r="E20" i="4"/>
  <c r="D20" i="4"/>
  <c r="C20" i="4"/>
  <c r="B20" i="4"/>
  <c r="I19" i="4"/>
  <c r="H19" i="4"/>
  <c r="G19" i="4"/>
  <c r="F19" i="4"/>
  <c r="E19" i="4"/>
  <c r="D19" i="4"/>
  <c r="C19" i="4"/>
  <c r="B19" i="4"/>
  <c r="I18" i="4"/>
  <c r="H18" i="4"/>
  <c r="G18" i="4"/>
  <c r="F18" i="4"/>
  <c r="E18" i="4"/>
  <c r="D18" i="4"/>
  <c r="C18" i="4"/>
  <c r="B18" i="4"/>
  <c r="J17" i="4"/>
  <c r="I17" i="4"/>
  <c r="H17" i="4"/>
  <c r="G17" i="4"/>
  <c r="F17" i="4"/>
  <c r="E17" i="4"/>
  <c r="D17" i="4"/>
  <c r="C17" i="4"/>
  <c r="B17" i="4"/>
  <c r="I16" i="4"/>
  <c r="H16" i="4"/>
  <c r="G16" i="4"/>
  <c r="F16" i="4"/>
  <c r="E16" i="4"/>
  <c r="D16" i="4"/>
  <c r="C16" i="4"/>
  <c r="B16" i="4"/>
  <c r="I15" i="4"/>
  <c r="H15" i="4"/>
  <c r="G15" i="4"/>
  <c r="F15" i="4"/>
  <c r="E15" i="4"/>
  <c r="D15" i="4"/>
  <c r="C15" i="4"/>
  <c r="B15" i="4"/>
  <c r="I14" i="4"/>
  <c r="H14" i="4"/>
  <c r="G14" i="4"/>
  <c r="F14" i="4"/>
  <c r="E14" i="4"/>
  <c r="D14" i="4"/>
  <c r="C14" i="4"/>
  <c r="B14" i="4"/>
  <c r="I13" i="4"/>
  <c r="H13" i="4"/>
  <c r="G13" i="4"/>
  <c r="F13" i="4"/>
  <c r="E13" i="4"/>
  <c r="D13" i="4"/>
  <c r="C13" i="4"/>
  <c r="B13" i="4"/>
  <c r="I12" i="4"/>
  <c r="H12" i="4"/>
  <c r="G12" i="4"/>
  <c r="F12" i="4"/>
  <c r="E12" i="4"/>
  <c r="D12" i="4"/>
  <c r="C12" i="4"/>
  <c r="B12" i="4"/>
  <c r="I11" i="4"/>
  <c r="H11" i="4"/>
  <c r="G11" i="4"/>
  <c r="F11" i="4"/>
  <c r="E11" i="4"/>
  <c r="D11" i="4"/>
  <c r="C11" i="4"/>
  <c r="B11" i="4"/>
  <c r="I10" i="4"/>
  <c r="H10" i="4"/>
  <c r="G10" i="4"/>
  <c r="F10" i="4"/>
  <c r="E10" i="4"/>
  <c r="D10" i="4"/>
  <c r="C10" i="4"/>
  <c r="B10" i="4"/>
  <c r="I9" i="4"/>
  <c r="H9" i="4"/>
  <c r="G9" i="4"/>
  <c r="F9" i="4"/>
  <c r="E9" i="4"/>
  <c r="D9" i="4"/>
  <c r="C9" i="4"/>
  <c r="B9" i="4"/>
  <c r="I8" i="4"/>
  <c r="H8" i="4"/>
  <c r="G8" i="4"/>
  <c r="F8" i="4"/>
  <c r="E8" i="4"/>
  <c r="D8" i="4"/>
  <c r="C8" i="4"/>
  <c r="B8" i="4"/>
  <c r="I7" i="4"/>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I3" i="4"/>
  <c r="H3" i="4"/>
  <c r="G3" i="4"/>
  <c r="F3" i="4"/>
  <c r="E3" i="4"/>
  <c r="D3" i="4"/>
  <c r="C3" i="4"/>
  <c r="B3" i="4"/>
  <c r="M2249" i="3"/>
  <c r="L2249" i="3"/>
  <c r="K2249" i="3"/>
  <c r="J2249" i="3"/>
  <c r="I2249" i="3"/>
  <c r="H2249" i="3"/>
  <c r="G2249" i="3"/>
  <c r="F2249" i="3"/>
  <c r="E2249" i="3"/>
  <c r="D2249" i="3"/>
  <c r="C2249" i="3"/>
  <c r="N2248" i="3"/>
  <c r="L2248" i="3"/>
  <c r="K2248" i="3"/>
  <c r="J2248" i="3"/>
  <c r="I2248" i="3"/>
  <c r="H2248" i="3"/>
  <c r="G2248" i="3"/>
  <c r="F2248" i="3"/>
  <c r="E2248" i="3"/>
  <c r="D2248" i="3"/>
  <c r="C2248" i="3"/>
  <c r="N2247" i="3"/>
  <c r="M2247" i="3"/>
  <c r="K2247" i="3"/>
  <c r="J2247" i="3"/>
  <c r="I2247" i="3"/>
  <c r="H2247" i="3"/>
  <c r="F2247" i="3"/>
  <c r="E2247" i="3"/>
  <c r="D2247" i="3"/>
  <c r="C2247" i="3"/>
  <c r="M2246" i="3"/>
  <c r="L2246" i="3"/>
  <c r="K2246" i="3"/>
  <c r="J2246" i="3"/>
  <c r="I2246" i="3"/>
  <c r="H2246" i="3"/>
  <c r="G2246" i="3"/>
  <c r="F2246" i="3"/>
  <c r="E2246" i="3"/>
  <c r="D2246" i="3"/>
  <c r="C2246" i="3"/>
  <c r="N2245" i="3"/>
  <c r="K2245" i="3"/>
  <c r="J2245" i="3"/>
  <c r="I2245" i="3"/>
  <c r="H2245" i="3"/>
  <c r="F2245" i="3"/>
  <c r="E2245" i="3"/>
  <c r="D2245" i="3"/>
  <c r="C2245" i="3"/>
  <c r="N2244" i="3"/>
  <c r="M2244" i="3"/>
  <c r="L2244" i="3"/>
  <c r="K2244" i="3"/>
  <c r="J2244" i="3"/>
  <c r="I2244" i="3"/>
  <c r="H2244" i="3"/>
  <c r="G2244" i="3"/>
  <c r="F2244" i="3"/>
  <c r="E2244" i="3"/>
  <c r="D2244" i="3"/>
  <c r="C2244" i="3"/>
  <c r="N2243" i="3"/>
  <c r="L2243" i="3"/>
  <c r="K2243" i="3"/>
  <c r="J2243" i="3"/>
  <c r="I2243" i="3"/>
  <c r="H2243" i="3"/>
  <c r="G2243" i="3"/>
  <c r="F2243" i="3"/>
  <c r="E2243" i="3"/>
  <c r="D2243" i="3"/>
  <c r="C2243" i="3"/>
  <c r="N2242" i="3"/>
  <c r="L2242" i="3"/>
  <c r="K2242" i="3"/>
  <c r="J2242" i="3"/>
  <c r="I2242" i="3"/>
  <c r="H2242" i="3"/>
  <c r="G2242" i="3"/>
  <c r="F2242" i="3"/>
  <c r="E2242" i="3"/>
  <c r="D2242" i="3"/>
  <c r="C2242" i="3"/>
  <c r="M2241" i="3"/>
  <c r="L2241" i="3"/>
  <c r="K2241" i="3"/>
  <c r="J2241" i="3"/>
  <c r="I2241" i="3"/>
  <c r="H2241" i="3"/>
  <c r="G2241" i="3"/>
  <c r="F2241" i="3"/>
  <c r="E2241" i="3"/>
  <c r="D2241" i="3"/>
  <c r="C2241" i="3"/>
  <c r="N2240" i="3"/>
  <c r="L2240" i="3"/>
  <c r="K2240" i="3"/>
  <c r="J2240" i="3"/>
  <c r="I2240" i="3"/>
  <c r="H2240" i="3"/>
  <c r="G2240" i="3"/>
  <c r="F2240" i="3"/>
  <c r="E2240" i="3"/>
  <c r="D2240" i="3"/>
  <c r="C2240" i="3"/>
  <c r="M2239" i="3"/>
  <c r="L2239" i="3"/>
  <c r="K2239" i="3"/>
  <c r="J2239" i="3"/>
  <c r="I2239" i="3"/>
  <c r="H2239" i="3"/>
  <c r="G2239" i="3"/>
  <c r="F2239" i="3"/>
  <c r="E2239" i="3"/>
  <c r="D2239" i="3"/>
  <c r="C2239" i="3"/>
  <c r="N2238" i="3"/>
  <c r="L2238" i="3"/>
  <c r="K2238" i="3"/>
  <c r="J2238" i="3"/>
  <c r="I2238" i="3"/>
  <c r="H2238" i="3"/>
  <c r="G2238" i="3"/>
  <c r="F2238" i="3"/>
  <c r="E2238" i="3"/>
  <c r="D2238" i="3"/>
  <c r="C2238" i="3"/>
  <c r="N2237" i="3"/>
  <c r="K2237" i="3"/>
  <c r="J2237" i="3"/>
  <c r="I2237" i="3"/>
  <c r="H2237" i="3"/>
  <c r="F2237" i="3"/>
  <c r="E2237" i="3"/>
  <c r="D2237" i="3"/>
  <c r="C2237" i="3"/>
  <c r="N2236" i="3"/>
  <c r="M2236" i="3"/>
  <c r="L2236" i="3"/>
  <c r="K2236" i="3"/>
  <c r="J2236" i="3"/>
  <c r="I2236" i="3"/>
  <c r="H2236" i="3"/>
  <c r="G2236" i="3"/>
  <c r="F2236" i="3"/>
  <c r="E2236" i="3"/>
  <c r="D2236" i="3"/>
  <c r="C2236" i="3"/>
  <c r="M2235" i="3"/>
  <c r="L2235" i="3"/>
  <c r="K2235" i="3"/>
  <c r="J2235" i="3"/>
  <c r="I2235" i="3"/>
  <c r="H2235" i="3"/>
  <c r="G2235" i="3"/>
  <c r="F2235" i="3"/>
  <c r="E2235" i="3"/>
  <c r="D2235" i="3"/>
  <c r="C2235" i="3"/>
  <c r="N2234" i="3"/>
  <c r="M2234" i="3"/>
  <c r="L2234" i="3"/>
  <c r="K2234" i="3"/>
  <c r="J2234" i="3"/>
  <c r="I2234" i="3"/>
  <c r="H2234" i="3"/>
  <c r="G2234" i="3"/>
  <c r="F2234" i="3"/>
  <c r="E2234" i="3"/>
  <c r="D2234" i="3"/>
  <c r="C2234" i="3"/>
  <c r="N2233" i="3"/>
  <c r="M2233" i="3"/>
  <c r="L2233" i="3"/>
  <c r="K2233" i="3"/>
  <c r="J2233" i="3"/>
  <c r="I2233" i="3"/>
  <c r="H2233" i="3"/>
  <c r="G2233" i="3"/>
  <c r="F2233" i="3"/>
  <c r="E2233" i="3"/>
  <c r="D2233" i="3"/>
  <c r="C2233" i="3"/>
  <c r="N2232" i="3"/>
  <c r="K2232" i="3"/>
  <c r="J2232" i="3"/>
  <c r="I2232" i="3"/>
  <c r="H2232" i="3"/>
  <c r="F2232" i="3"/>
  <c r="E2232" i="3"/>
  <c r="D2232" i="3"/>
  <c r="C2232" i="3"/>
  <c r="N2231" i="3"/>
  <c r="L2231" i="3"/>
  <c r="K2231" i="3"/>
  <c r="J2231" i="3"/>
  <c r="I2231" i="3"/>
  <c r="H2231" i="3"/>
  <c r="G2231" i="3"/>
  <c r="F2231" i="3"/>
  <c r="E2231" i="3"/>
  <c r="D2231" i="3"/>
  <c r="C2231" i="3"/>
  <c r="N2230" i="3"/>
  <c r="M2230" i="3"/>
  <c r="L2230" i="3"/>
  <c r="K2230" i="3"/>
  <c r="J2230" i="3"/>
  <c r="I2230" i="3"/>
  <c r="H2230" i="3"/>
  <c r="G2230" i="3"/>
  <c r="F2230" i="3"/>
  <c r="E2230" i="3"/>
  <c r="D2230" i="3"/>
  <c r="C2230" i="3"/>
  <c r="N2229" i="3"/>
  <c r="L2229" i="3"/>
  <c r="K2229" i="3"/>
  <c r="J2229" i="3"/>
  <c r="I2229" i="3"/>
  <c r="H2229" i="3"/>
  <c r="G2229" i="3"/>
  <c r="F2229" i="3"/>
  <c r="E2229" i="3"/>
  <c r="D2229" i="3"/>
  <c r="C2229" i="3"/>
  <c r="M2228" i="3"/>
  <c r="L2228" i="3"/>
  <c r="K2228" i="3"/>
  <c r="J2228" i="3"/>
  <c r="I2228" i="3"/>
  <c r="H2228" i="3"/>
  <c r="G2228" i="3"/>
  <c r="F2228" i="3"/>
  <c r="E2228" i="3"/>
  <c r="D2228" i="3"/>
  <c r="C2228" i="3"/>
  <c r="N2227" i="3"/>
  <c r="M2227" i="3"/>
  <c r="L2227" i="3"/>
  <c r="K2227" i="3"/>
  <c r="J2227" i="3"/>
  <c r="I2227" i="3"/>
  <c r="H2227" i="3"/>
  <c r="G2227" i="3"/>
  <c r="F2227" i="3"/>
  <c r="E2227" i="3"/>
  <c r="D2227" i="3"/>
  <c r="C2227" i="3"/>
  <c r="M2226" i="3"/>
  <c r="L2226" i="3"/>
  <c r="K2226" i="3"/>
  <c r="J2226" i="3"/>
  <c r="I2226" i="3"/>
  <c r="H2226" i="3"/>
  <c r="G2226" i="3"/>
  <c r="F2226" i="3"/>
  <c r="E2226" i="3"/>
  <c r="D2226" i="3"/>
  <c r="C2226" i="3"/>
  <c r="M2225" i="3"/>
  <c r="K2225" i="3"/>
  <c r="J2225" i="3"/>
  <c r="I2225" i="3"/>
  <c r="H2225" i="3"/>
  <c r="F2225" i="3"/>
  <c r="E2225" i="3"/>
  <c r="D2225" i="3"/>
  <c r="C2225" i="3"/>
  <c r="M2224" i="3"/>
  <c r="L2224" i="3"/>
  <c r="K2224" i="3"/>
  <c r="J2224" i="3"/>
  <c r="I2224" i="3"/>
  <c r="H2224" i="3"/>
  <c r="G2224" i="3"/>
  <c r="F2224" i="3"/>
  <c r="E2224" i="3"/>
  <c r="D2224" i="3"/>
  <c r="C2224" i="3"/>
  <c r="N2223" i="3"/>
  <c r="L2223" i="3"/>
  <c r="K2223" i="3"/>
  <c r="J2223" i="3"/>
  <c r="I2223" i="3"/>
  <c r="H2223" i="3"/>
  <c r="G2223" i="3"/>
  <c r="F2223" i="3"/>
  <c r="E2223" i="3"/>
  <c r="D2223" i="3"/>
  <c r="C2223" i="3"/>
  <c r="M2222" i="3"/>
  <c r="K2222" i="3"/>
  <c r="J2222" i="3"/>
  <c r="I2222" i="3"/>
  <c r="H2222" i="3"/>
  <c r="F2222" i="3"/>
  <c r="E2222" i="3"/>
  <c r="D2222" i="3"/>
  <c r="C2222" i="3"/>
  <c r="M2221" i="3"/>
  <c r="L2221" i="3"/>
  <c r="K2221" i="3"/>
  <c r="J2221" i="3"/>
  <c r="I2221" i="3"/>
  <c r="H2221" i="3"/>
  <c r="G2221" i="3"/>
  <c r="F2221" i="3"/>
  <c r="E2221" i="3"/>
  <c r="D2221" i="3"/>
  <c r="C2221" i="3"/>
  <c r="N2220" i="3"/>
  <c r="L2220" i="3"/>
  <c r="K2220" i="3"/>
  <c r="J2220" i="3"/>
  <c r="I2220" i="3"/>
  <c r="H2220" i="3"/>
  <c r="G2220" i="3"/>
  <c r="F2220" i="3"/>
  <c r="E2220" i="3"/>
  <c r="D2220" i="3"/>
  <c r="C2220" i="3"/>
  <c r="M2219" i="3"/>
  <c r="L2219" i="3"/>
  <c r="K2219" i="3"/>
  <c r="J2219" i="3"/>
  <c r="I2219" i="3"/>
  <c r="H2219" i="3"/>
  <c r="G2219" i="3"/>
  <c r="F2219" i="3"/>
  <c r="E2219" i="3"/>
  <c r="D2219" i="3"/>
  <c r="C2219" i="3"/>
  <c r="L2218" i="3"/>
  <c r="K2218" i="3"/>
  <c r="J2218" i="3"/>
  <c r="I2218" i="3"/>
  <c r="H2218" i="3"/>
  <c r="G2218" i="3"/>
  <c r="F2218" i="3"/>
  <c r="E2218" i="3"/>
  <c r="D2218" i="3"/>
  <c r="C2218" i="3"/>
  <c r="M2217" i="3"/>
  <c r="L2217" i="3"/>
  <c r="K2217" i="3"/>
  <c r="J2217" i="3"/>
  <c r="I2217" i="3"/>
  <c r="H2217" i="3"/>
  <c r="G2217" i="3"/>
  <c r="F2217" i="3"/>
  <c r="E2217" i="3"/>
  <c r="D2217" i="3"/>
  <c r="C2217" i="3"/>
  <c r="M2216" i="3"/>
  <c r="L2216" i="3"/>
  <c r="K2216" i="3"/>
  <c r="J2216" i="3"/>
  <c r="I2216" i="3"/>
  <c r="H2216" i="3"/>
  <c r="G2216" i="3"/>
  <c r="F2216" i="3"/>
  <c r="E2216" i="3"/>
  <c r="D2216" i="3"/>
  <c r="C2216" i="3"/>
  <c r="M2215" i="3"/>
  <c r="L2215" i="3"/>
  <c r="K2215" i="3"/>
  <c r="J2215" i="3"/>
  <c r="I2215" i="3"/>
  <c r="H2215" i="3"/>
  <c r="G2215" i="3"/>
  <c r="F2215" i="3"/>
  <c r="E2215" i="3"/>
  <c r="D2215" i="3"/>
  <c r="C2215" i="3"/>
  <c r="M2214" i="3"/>
  <c r="L2214" i="3"/>
  <c r="K2214" i="3"/>
  <c r="J2214" i="3"/>
  <c r="I2214" i="3"/>
  <c r="H2214" i="3"/>
  <c r="G2214" i="3"/>
  <c r="F2214" i="3"/>
  <c r="E2214" i="3"/>
  <c r="D2214" i="3"/>
  <c r="C2214" i="3"/>
  <c r="M2213" i="3"/>
  <c r="L2213" i="3"/>
  <c r="K2213" i="3"/>
  <c r="J2213" i="3"/>
  <c r="I2213" i="3"/>
  <c r="H2213" i="3"/>
  <c r="G2213" i="3"/>
  <c r="F2213" i="3"/>
  <c r="E2213" i="3"/>
  <c r="D2213" i="3"/>
  <c r="C2213" i="3"/>
  <c r="M2212" i="3"/>
  <c r="L2212" i="3"/>
  <c r="K2212" i="3"/>
  <c r="J2212" i="3"/>
  <c r="I2212" i="3"/>
  <c r="H2212" i="3"/>
  <c r="G2212" i="3"/>
  <c r="F2212" i="3"/>
  <c r="E2212" i="3"/>
  <c r="D2212" i="3"/>
  <c r="C2212" i="3"/>
  <c r="N2211" i="3"/>
  <c r="L2211" i="3"/>
  <c r="K2211" i="3"/>
  <c r="J2211" i="3"/>
  <c r="I2211" i="3"/>
  <c r="H2211" i="3"/>
  <c r="G2211" i="3"/>
  <c r="F2211" i="3"/>
  <c r="E2211" i="3"/>
  <c r="D2211" i="3"/>
  <c r="C2211" i="3"/>
  <c r="N2210" i="3"/>
  <c r="L2210" i="3"/>
  <c r="K2210" i="3"/>
  <c r="J2210" i="3"/>
  <c r="I2210" i="3"/>
  <c r="H2210" i="3"/>
  <c r="G2210" i="3"/>
  <c r="F2210" i="3"/>
  <c r="E2210" i="3"/>
  <c r="D2210" i="3"/>
  <c r="C2210" i="3"/>
  <c r="M2209" i="3"/>
  <c r="L2209" i="3"/>
  <c r="K2209" i="3"/>
  <c r="J2209" i="3"/>
  <c r="I2209" i="3"/>
  <c r="H2209" i="3"/>
  <c r="G2209" i="3"/>
  <c r="F2209" i="3"/>
  <c r="E2209" i="3"/>
  <c r="D2209" i="3"/>
  <c r="C2209" i="3"/>
  <c r="N2208" i="3"/>
  <c r="L2208" i="3"/>
  <c r="K2208" i="3"/>
  <c r="J2208" i="3"/>
  <c r="I2208" i="3"/>
  <c r="H2208" i="3"/>
  <c r="G2208" i="3"/>
  <c r="F2208" i="3"/>
  <c r="E2208" i="3"/>
  <c r="D2208" i="3"/>
  <c r="C2208" i="3"/>
  <c r="M2207" i="3"/>
  <c r="L2207" i="3"/>
  <c r="K2207" i="3"/>
  <c r="J2207" i="3"/>
  <c r="I2207" i="3"/>
  <c r="H2207" i="3"/>
  <c r="G2207" i="3"/>
  <c r="F2207" i="3"/>
  <c r="E2207" i="3"/>
  <c r="D2207" i="3"/>
  <c r="C2207" i="3"/>
  <c r="M2206" i="3"/>
  <c r="L2206" i="3"/>
  <c r="K2206" i="3"/>
  <c r="J2206" i="3"/>
  <c r="I2206" i="3"/>
  <c r="H2206" i="3"/>
  <c r="G2206" i="3"/>
  <c r="F2206" i="3"/>
  <c r="E2206" i="3"/>
  <c r="D2206" i="3"/>
  <c r="C2206" i="3"/>
  <c r="N2205" i="3"/>
  <c r="M2205" i="3"/>
  <c r="L2205" i="3"/>
  <c r="K2205" i="3"/>
  <c r="J2205" i="3"/>
  <c r="I2205" i="3"/>
  <c r="H2205" i="3"/>
  <c r="G2205" i="3"/>
  <c r="F2205" i="3"/>
  <c r="E2205" i="3"/>
  <c r="D2205" i="3"/>
  <c r="C2205" i="3"/>
  <c r="N2204" i="3"/>
  <c r="K2204" i="3"/>
  <c r="J2204" i="3"/>
  <c r="I2204" i="3"/>
  <c r="H2204" i="3"/>
  <c r="F2204" i="3"/>
  <c r="E2204" i="3"/>
  <c r="D2204" i="3"/>
  <c r="C2204" i="3"/>
  <c r="N2203" i="3"/>
  <c r="L2203" i="3"/>
  <c r="K2203" i="3"/>
  <c r="J2203" i="3"/>
  <c r="I2203" i="3"/>
  <c r="H2203" i="3"/>
  <c r="G2203" i="3"/>
  <c r="F2203" i="3"/>
  <c r="E2203" i="3"/>
  <c r="D2203" i="3"/>
  <c r="C2203" i="3"/>
  <c r="N2202" i="3"/>
  <c r="M2202" i="3"/>
  <c r="L2202" i="3"/>
  <c r="K2202" i="3"/>
  <c r="J2202" i="3"/>
  <c r="I2202" i="3"/>
  <c r="H2202" i="3"/>
  <c r="G2202" i="3"/>
  <c r="F2202" i="3"/>
  <c r="E2202" i="3"/>
  <c r="D2202" i="3"/>
  <c r="C2202" i="3"/>
  <c r="M2201" i="3"/>
  <c r="L2201" i="3"/>
  <c r="K2201" i="3"/>
  <c r="J2201" i="3"/>
  <c r="I2201" i="3"/>
  <c r="H2201" i="3"/>
  <c r="G2201" i="3"/>
  <c r="F2201" i="3"/>
  <c r="E2201" i="3"/>
  <c r="D2201" i="3"/>
  <c r="C2201" i="3"/>
  <c r="N2200" i="3"/>
  <c r="L2200" i="3"/>
  <c r="K2200" i="3"/>
  <c r="J2200" i="3"/>
  <c r="I2200" i="3"/>
  <c r="H2200" i="3"/>
  <c r="G2200" i="3"/>
  <c r="F2200" i="3"/>
  <c r="E2200" i="3"/>
  <c r="D2200" i="3"/>
  <c r="C2200" i="3"/>
  <c r="M2199" i="3"/>
  <c r="L2199" i="3"/>
  <c r="K2199" i="3"/>
  <c r="J2199" i="3"/>
  <c r="I2199" i="3"/>
  <c r="H2199" i="3"/>
  <c r="G2199" i="3"/>
  <c r="F2199" i="3"/>
  <c r="E2199" i="3"/>
  <c r="D2199" i="3"/>
  <c r="C2199" i="3"/>
  <c r="M2198" i="3"/>
  <c r="L2198" i="3"/>
  <c r="K2198" i="3"/>
  <c r="J2198" i="3"/>
  <c r="I2198" i="3"/>
  <c r="H2198" i="3"/>
  <c r="G2198" i="3"/>
  <c r="F2198" i="3"/>
  <c r="E2198" i="3"/>
  <c r="D2198" i="3"/>
  <c r="C2198" i="3"/>
  <c r="M2197" i="3"/>
  <c r="L2197" i="3"/>
  <c r="K2197" i="3"/>
  <c r="J2197" i="3"/>
  <c r="I2197" i="3"/>
  <c r="H2197" i="3"/>
  <c r="G2197" i="3"/>
  <c r="F2197" i="3"/>
  <c r="E2197" i="3"/>
  <c r="D2197" i="3"/>
  <c r="C2197" i="3"/>
  <c r="N2196" i="3"/>
  <c r="L2196" i="3"/>
  <c r="K2196" i="3"/>
  <c r="J2196" i="3"/>
  <c r="I2196" i="3"/>
  <c r="H2196" i="3"/>
  <c r="G2196" i="3"/>
  <c r="F2196" i="3"/>
  <c r="E2196" i="3"/>
  <c r="D2196" i="3"/>
  <c r="C2196" i="3"/>
  <c r="M2195" i="3"/>
  <c r="L2195" i="3"/>
  <c r="K2195" i="3"/>
  <c r="J2195" i="3"/>
  <c r="I2195" i="3"/>
  <c r="H2195" i="3"/>
  <c r="G2195" i="3"/>
  <c r="F2195" i="3"/>
  <c r="E2195" i="3"/>
  <c r="D2195" i="3"/>
  <c r="C2195" i="3"/>
  <c r="N2194" i="3"/>
  <c r="M2194" i="3"/>
  <c r="L2194" i="3"/>
  <c r="K2194" i="3"/>
  <c r="J2194" i="3"/>
  <c r="I2194" i="3"/>
  <c r="H2194" i="3"/>
  <c r="G2194" i="3"/>
  <c r="F2194" i="3"/>
  <c r="E2194" i="3"/>
  <c r="D2194" i="3"/>
  <c r="C2194" i="3"/>
  <c r="N2193" i="3"/>
  <c r="K2193" i="3"/>
  <c r="J2193" i="3"/>
  <c r="I2193" i="3"/>
  <c r="H2193" i="3"/>
  <c r="F2193" i="3"/>
  <c r="E2193" i="3"/>
  <c r="D2193" i="3"/>
  <c r="C2193" i="3"/>
  <c r="M2192" i="3"/>
  <c r="L2192" i="3"/>
  <c r="K2192" i="3"/>
  <c r="J2192" i="3"/>
  <c r="I2192" i="3"/>
  <c r="H2192" i="3"/>
  <c r="G2192" i="3"/>
  <c r="F2192" i="3"/>
  <c r="E2192" i="3"/>
  <c r="D2192" i="3"/>
  <c r="C2192" i="3"/>
  <c r="M2191" i="3"/>
  <c r="L2191" i="3"/>
  <c r="K2191" i="3"/>
  <c r="J2191" i="3"/>
  <c r="I2191" i="3"/>
  <c r="H2191" i="3"/>
  <c r="G2191" i="3"/>
  <c r="F2191" i="3"/>
  <c r="E2191" i="3"/>
  <c r="D2191" i="3"/>
  <c r="C2191" i="3"/>
  <c r="L2190" i="3"/>
  <c r="K2190" i="3"/>
  <c r="J2190" i="3"/>
  <c r="I2190" i="3"/>
  <c r="H2190" i="3"/>
  <c r="G2190" i="3"/>
  <c r="F2190" i="3"/>
  <c r="E2190" i="3"/>
  <c r="D2190" i="3"/>
  <c r="C2190" i="3"/>
  <c r="N2189" i="3"/>
  <c r="L2189" i="3"/>
  <c r="K2189" i="3"/>
  <c r="J2189" i="3"/>
  <c r="I2189" i="3"/>
  <c r="H2189" i="3"/>
  <c r="G2189" i="3"/>
  <c r="F2189" i="3"/>
  <c r="E2189" i="3"/>
  <c r="D2189" i="3"/>
  <c r="C2189" i="3"/>
  <c r="M2188" i="3"/>
  <c r="K2188" i="3"/>
  <c r="J2188" i="3"/>
  <c r="I2188" i="3"/>
  <c r="H2188" i="3"/>
  <c r="F2188" i="3"/>
  <c r="E2188" i="3"/>
  <c r="D2188" i="3"/>
  <c r="C2188" i="3"/>
  <c r="N2187" i="3"/>
  <c r="M2187" i="3"/>
  <c r="L2187" i="3"/>
  <c r="K2187" i="3"/>
  <c r="J2187" i="3"/>
  <c r="I2187" i="3"/>
  <c r="H2187" i="3"/>
  <c r="G2187" i="3"/>
  <c r="F2187" i="3"/>
  <c r="E2187" i="3"/>
  <c r="D2187" i="3"/>
  <c r="C2187" i="3"/>
  <c r="M2186" i="3"/>
  <c r="L2186" i="3"/>
  <c r="K2186" i="3"/>
  <c r="J2186" i="3"/>
  <c r="I2186" i="3"/>
  <c r="H2186" i="3"/>
  <c r="G2186" i="3"/>
  <c r="F2186" i="3"/>
  <c r="E2186" i="3"/>
  <c r="D2186" i="3"/>
  <c r="C2186" i="3"/>
  <c r="N2185" i="3"/>
  <c r="K2185" i="3"/>
  <c r="J2185" i="3"/>
  <c r="I2185" i="3"/>
  <c r="H2185" i="3"/>
  <c r="F2185" i="3"/>
  <c r="E2185" i="3"/>
  <c r="D2185" i="3"/>
  <c r="C2185" i="3"/>
  <c r="N2184" i="3"/>
  <c r="L2184" i="3"/>
  <c r="K2184" i="3"/>
  <c r="J2184" i="3"/>
  <c r="I2184" i="3"/>
  <c r="H2184" i="3"/>
  <c r="G2184" i="3"/>
  <c r="F2184" i="3"/>
  <c r="E2184" i="3"/>
  <c r="D2184" i="3"/>
  <c r="C2184" i="3"/>
  <c r="M2183" i="3"/>
  <c r="L2183" i="3"/>
  <c r="K2183" i="3"/>
  <c r="J2183" i="3"/>
  <c r="I2183" i="3"/>
  <c r="H2183" i="3"/>
  <c r="G2183" i="3"/>
  <c r="F2183" i="3"/>
  <c r="E2183" i="3"/>
  <c r="D2183" i="3"/>
  <c r="C2183" i="3"/>
  <c r="M2182" i="3"/>
  <c r="L2182" i="3"/>
  <c r="K2182" i="3"/>
  <c r="J2182" i="3"/>
  <c r="I2182" i="3"/>
  <c r="H2182" i="3"/>
  <c r="G2182" i="3"/>
  <c r="F2182" i="3"/>
  <c r="E2182" i="3"/>
  <c r="D2182" i="3"/>
  <c r="C2182" i="3"/>
  <c r="N2181" i="3"/>
  <c r="L2181" i="3"/>
  <c r="K2181" i="3"/>
  <c r="J2181" i="3"/>
  <c r="I2181" i="3"/>
  <c r="H2181" i="3"/>
  <c r="G2181" i="3"/>
  <c r="F2181" i="3"/>
  <c r="E2181" i="3"/>
  <c r="D2181" i="3"/>
  <c r="C2181" i="3"/>
  <c r="N2180" i="3"/>
  <c r="K2180" i="3"/>
  <c r="J2180" i="3"/>
  <c r="I2180" i="3"/>
  <c r="H2180" i="3"/>
  <c r="F2180" i="3"/>
  <c r="E2180" i="3"/>
  <c r="D2180" i="3"/>
  <c r="C2180" i="3"/>
  <c r="N2179" i="3"/>
  <c r="M2179" i="3"/>
  <c r="K2179" i="3"/>
  <c r="J2179" i="3"/>
  <c r="I2179" i="3"/>
  <c r="H2179" i="3"/>
  <c r="F2179" i="3"/>
  <c r="E2179" i="3"/>
  <c r="D2179" i="3"/>
  <c r="C2179" i="3"/>
  <c r="N2178" i="3"/>
  <c r="L2178" i="3"/>
  <c r="K2178" i="3"/>
  <c r="J2178" i="3"/>
  <c r="I2178" i="3"/>
  <c r="H2178" i="3"/>
  <c r="G2178" i="3"/>
  <c r="F2178" i="3"/>
  <c r="E2178" i="3"/>
  <c r="D2178" i="3"/>
  <c r="C2178" i="3"/>
  <c r="M2177" i="3"/>
  <c r="L2177" i="3"/>
  <c r="K2177" i="3"/>
  <c r="J2177" i="3"/>
  <c r="I2177" i="3"/>
  <c r="H2177" i="3"/>
  <c r="G2177" i="3"/>
  <c r="F2177" i="3"/>
  <c r="E2177" i="3"/>
  <c r="D2177" i="3"/>
  <c r="C2177" i="3"/>
  <c r="M2176" i="3"/>
  <c r="L2176" i="3"/>
  <c r="K2176" i="3"/>
  <c r="J2176" i="3"/>
  <c r="I2176" i="3"/>
  <c r="H2176" i="3"/>
  <c r="G2176" i="3"/>
  <c r="F2176" i="3"/>
  <c r="E2176" i="3"/>
  <c r="D2176" i="3"/>
  <c r="C2176" i="3"/>
  <c r="N2175" i="3"/>
  <c r="K2175" i="3"/>
  <c r="J2175" i="3"/>
  <c r="I2175" i="3"/>
  <c r="H2175" i="3"/>
  <c r="F2175" i="3"/>
  <c r="E2175" i="3"/>
  <c r="D2175" i="3"/>
  <c r="C2175" i="3"/>
  <c r="N2174" i="3"/>
  <c r="M2174" i="3"/>
  <c r="L2174" i="3"/>
  <c r="K2174" i="3"/>
  <c r="J2174" i="3"/>
  <c r="I2174" i="3"/>
  <c r="H2174" i="3"/>
  <c r="G2174" i="3"/>
  <c r="F2174" i="3"/>
  <c r="E2174" i="3"/>
  <c r="D2174" i="3"/>
  <c r="C2174" i="3"/>
  <c r="M2173" i="3"/>
  <c r="L2173" i="3"/>
  <c r="K2173" i="3"/>
  <c r="J2173" i="3"/>
  <c r="I2173" i="3"/>
  <c r="H2173" i="3"/>
  <c r="G2173" i="3"/>
  <c r="F2173" i="3"/>
  <c r="E2173" i="3"/>
  <c r="D2173" i="3"/>
  <c r="C2173" i="3"/>
  <c r="M2172" i="3"/>
  <c r="K2172" i="3"/>
  <c r="J2172" i="3"/>
  <c r="I2172" i="3"/>
  <c r="H2172" i="3"/>
  <c r="F2172" i="3"/>
  <c r="E2172" i="3"/>
  <c r="D2172" i="3"/>
  <c r="C2172" i="3"/>
  <c r="N2171" i="3"/>
  <c r="L2171" i="3"/>
  <c r="K2171" i="3"/>
  <c r="J2171" i="3"/>
  <c r="I2171" i="3"/>
  <c r="H2171" i="3"/>
  <c r="G2171" i="3"/>
  <c r="F2171" i="3"/>
  <c r="E2171" i="3"/>
  <c r="D2171" i="3"/>
  <c r="C2171" i="3"/>
  <c r="N2170" i="3"/>
  <c r="L2170" i="3"/>
  <c r="K2170" i="3"/>
  <c r="J2170" i="3"/>
  <c r="I2170" i="3"/>
  <c r="H2170" i="3"/>
  <c r="G2170" i="3"/>
  <c r="F2170" i="3"/>
  <c r="E2170" i="3"/>
  <c r="D2170" i="3"/>
  <c r="C2170" i="3"/>
  <c r="M2169" i="3"/>
  <c r="L2169" i="3"/>
  <c r="K2169" i="3"/>
  <c r="J2169" i="3"/>
  <c r="I2169" i="3"/>
  <c r="H2169" i="3"/>
  <c r="G2169" i="3"/>
  <c r="F2169" i="3"/>
  <c r="E2169" i="3"/>
  <c r="D2169" i="3"/>
  <c r="C2169" i="3"/>
  <c r="M2168" i="3"/>
  <c r="L2168" i="3"/>
  <c r="K2168" i="3"/>
  <c r="J2168" i="3"/>
  <c r="I2168" i="3"/>
  <c r="H2168" i="3"/>
  <c r="G2168" i="3"/>
  <c r="F2168" i="3"/>
  <c r="E2168" i="3"/>
  <c r="D2168" i="3"/>
  <c r="C2168" i="3"/>
  <c r="N2167" i="3"/>
  <c r="M2167" i="3"/>
  <c r="K2167" i="3"/>
  <c r="J2167" i="3"/>
  <c r="I2167" i="3"/>
  <c r="H2167" i="3"/>
  <c r="F2167" i="3"/>
  <c r="E2167" i="3"/>
  <c r="D2167" i="3"/>
  <c r="C2167" i="3"/>
  <c r="M2166" i="3"/>
  <c r="L2166" i="3"/>
  <c r="K2166" i="3"/>
  <c r="J2166" i="3"/>
  <c r="I2166" i="3"/>
  <c r="H2166" i="3"/>
  <c r="G2166" i="3"/>
  <c r="F2166" i="3"/>
  <c r="E2166" i="3"/>
  <c r="D2166" i="3"/>
  <c r="C2166" i="3"/>
  <c r="M2165" i="3"/>
  <c r="L2165" i="3"/>
  <c r="K2165" i="3"/>
  <c r="J2165" i="3"/>
  <c r="I2165" i="3"/>
  <c r="H2165" i="3"/>
  <c r="G2165" i="3"/>
  <c r="F2165" i="3"/>
  <c r="E2165" i="3"/>
  <c r="D2165" i="3"/>
  <c r="C2165" i="3"/>
  <c r="M2164" i="3"/>
  <c r="L2164" i="3"/>
  <c r="K2164" i="3"/>
  <c r="J2164" i="3"/>
  <c r="I2164" i="3"/>
  <c r="H2164" i="3"/>
  <c r="G2164" i="3"/>
  <c r="F2164" i="3"/>
  <c r="E2164" i="3"/>
  <c r="D2164" i="3"/>
  <c r="C2164" i="3"/>
  <c r="N2163" i="3"/>
  <c r="L2163" i="3"/>
  <c r="K2163" i="3"/>
  <c r="J2163" i="3"/>
  <c r="I2163" i="3"/>
  <c r="H2163" i="3"/>
  <c r="G2163" i="3"/>
  <c r="F2163" i="3"/>
  <c r="E2163" i="3"/>
  <c r="D2163" i="3"/>
  <c r="C2163" i="3"/>
  <c r="N2162" i="3"/>
  <c r="M2162" i="3"/>
  <c r="L2162" i="3"/>
  <c r="K2162" i="3"/>
  <c r="J2162" i="3"/>
  <c r="I2162" i="3"/>
  <c r="H2162" i="3"/>
  <c r="G2162" i="3"/>
  <c r="F2162" i="3"/>
  <c r="E2162" i="3"/>
  <c r="D2162" i="3"/>
  <c r="C2162" i="3"/>
  <c r="N2161" i="3"/>
  <c r="L2161" i="3"/>
  <c r="K2161" i="3"/>
  <c r="J2161" i="3"/>
  <c r="I2161" i="3"/>
  <c r="H2161" i="3"/>
  <c r="G2161" i="3"/>
  <c r="F2161" i="3"/>
  <c r="E2161" i="3"/>
  <c r="D2161" i="3"/>
  <c r="C2161" i="3"/>
  <c r="N2160" i="3"/>
  <c r="L2160" i="3"/>
  <c r="K2160" i="3"/>
  <c r="J2160" i="3"/>
  <c r="I2160" i="3"/>
  <c r="H2160" i="3"/>
  <c r="G2160" i="3"/>
  <c r="F2160" i="3"/>
  <c r="E2160" i="3"/>
  <c r="D2160" i="3"/>
  <c r="C2160" i="3"/>
  <c r="N2159" i="3"/>
  <c r="L2159" i="3"/>
  <c r="K2159" i="3"/>
  <c r="J2159" i="3"/>
  <c r="I2159" i="3"/>
  <c r="H2159" i="3"/>
  <c r="G2159" i="3"/>
  <c r="F2159" i="3"/>
  <c r="E2159" i="3"/>
  <c r="D2159" i="3"/>
  <c r="C2159" i="3"/>
  <c r="N2158" i="3"/>
  <c r="L2158" i="3"/>
  <c r="K2158" i="3"/>
  <c r="J2158" i="3"/>
  <c r="I2158" i="3"/>
  <c r="H2158" i="3"/>
  <c r="G2158" i="3"/>
  <c r="F2158" i="3"/>
  <c r="E2158" i="3"/>
  <c r="D2158" i="3"/>
  <c r="C2158" i="3"/>
  <c r="M2157" i="3"/>
  <c r="L2157" i="3"/>
  <c r="K2157" i="3"/>
  <c r="J2157" i="3"/>
  <c r="I2157" i="3"/>
  <c r="H2157" i="3"/>
  <c r="G2157" i="3"/>
  <c r="F2157" i="3"/>
  <c r="E2157" i="3"/>
  <c r="D2157" i="3"/>
  <c r="C2157" i="3"/>
  <c r="K2156" i="3"/>
  <c r="J2156" i="3"/>
  <c r="I2156" i="3"/>
  <c r="H2156" i="3"/>
  <c r="F2156" i="3"/>
  <c r="E2156" i="3"/>
  <c r="D2156" i="3"/>
  <c r="C2156" i="3"/>
  <c r="M2155" i="3"/>
  <c r="L2155" i="3"/>
  <c r="K2155" i="3"/>
  <c r="J2155" i="3"/>
  <c r="I2155" i="3"/>
  <c r="H2155" i="3"/>
  <c r="G2155" i="3"/>
  <c r="F2155" i="3"/>
  <c r="E2155" i="3"/>
  <c r="D2155" i="3"/>
  <c r="C2155" i="3"/>
  <c r="N2154" i="3"/>
  <c r="M2154" i="3"/>
  <c r="L2154" i="3"/>
  <c r="K2154" i="3"/>
  <c r="J2154" i="3"/>
  <c r="I2154" i="3"/>
  <c r="H2154" i="3"/>
  <c r="G2154" i="3"/>
  <c r="F2154" i="3"/>
  <c r="E2154" i="3"/>
  <c r="D2154" i="3"/>
  <c r="C2154" i="3"/>
  <c r="N2153" i="3"/>
  <c r="K2153" i="3"/>
  <c r="J2153" i="3"/>
  <c r="I2153" i="3"/>
  <c r="H2153" i="3"/>
  <c r="F2153" i="3"/>
  <c r="E2153" i="3"/>
  <c r="D2153" i="3"/>
  <c r="C2153" i="3"/>
  <c r="M2152" i="3"/>
  <c r="K2152" i="3"/>
  <c r="J2152" i="3"/>
  <c r="I2152" i="3"/>
  <c r="H2152" i="3"/>
  <c r="F2152" i="3"/>
  <c r="E2152" i="3"/>
  <c r="D2152" i="3"/>
  <c r="C2152" i="3"/>
  <c r="M2151" i="3"/>
  <c r="L2151" i="3"/>
  <c r="K2151" i="3"/>
  <c r="J2151" i="3"/>
  <c r="I2151" i="3"/>
  <c r="H2151" i="3"/>
  <c r="G2151" i="3"/>
  <c r="F2151" i="3"/>
  <c r="E2151" i="3"/>
  <c r="D2151" i="3"/>
  <c r="C2151" i="3"/>
  <c r="N2150" i="3"/>
  <c r="L2150" i="3"/>
  <c r="K2150" i="3"/>
  <c r="J2150" i="3"/>
  <c r="I2150" i="3"/>
  <c r="H2150" i="3"/>
  <c r="G2150" i="3"/>
  <c r="F2150" i="3"/>
  <c r="E2150" i="3"/>
  <c r="D2150" i="3"/>
  <c r="C2150" i="3"/>
  <c r="M2149" i="3"/>
  <c r="L2149" i="3"/>
  <c r="K2149" i="3"/>
  <c r="J2149" i="3"/>
  <c r="I2149" i="3"/>
  <c r="H2149" i="3"/>
  <c r="G2149" i="3"/>
  <c r="F2149" i="3"/>
  <c r="E2149" i="3"/>
  <c r="D2149" i="3"/>
  <c r="C2149" i="3"/>
  <c r="N2148" i="3"/>
  <c r="M2148" i="3"/>
  <c r="L2148" i="3"/>
  <c r="K2148" i="3"/>
  <c r="J2148" i="3"/>
  <c r="I2148" i="3"/>
  <c r="H2148" i="3"/>
  <c r="G2148" i="3"/>
  <c r="F2148" i="3"/>
  <c r="E2148" i="3"/>
  <c r="D2148" i="3"/>
  <c r="C2148" i="3"/>
  <c r="M2147" i="3"/>
  <c r="L2147" i="3"/>
  <c r="K2147" i="3"/>
  <c r="J2147" i="3"/>
  <c r="I2147" i="3"/>
  <c r="H2147" i="3"/>
  <c r="G2147" i="3"/>
  <c r="F2147" i="3"/>
  <c r="E2147" i="3"/>
  <c r="D2147" i="3"/>
  <c r="C2147" i="3"/>
  <c r="M2146" i="3"/>
  <c r="L2146" i="3"/>
  <c r="K2146" i="3"/>
  <c r="J2146" i="3"/>
  <c r="I2146" i="3"/>
  <c r="H2146" i="3"/>
  <c r="G2146" i="3"/>
  <c r="F2146" i="3"/>
  <c r="E2146" i="3"/>
  <c r="D2146" i="3"/>
  <c r="C2146" i="3"/>
  <c r="M2145" i="3"/>
  <c r="L2145" i="3"/>
  <c r="K2145" i="3"/>
  <c r="J2145" i="3"/>
  <c r="I2145" i="3"/>
  <c r="H2145" i="3"/>
  <c r="G2145" i="3"/>
  <c r="F2145" i="3"/>
  <c r="E2145" i="3"/>
  <c r="D2145" i="3"/>
  <c r="C2145" i="3"/>
  <c r="M2144" i="3"/>
  <c r="L2144" i="3"/>
  <c r="K2144" i="3"/>
  <c r="J2144" i="3"/>
  <c r="I2144" i="3"/>
  <c r="H2144" i="3"/>
  <c r="G2144" i="3"/>
  <c r="F2144" i="3"/>
  <c r="E2144" i="3"/>
  <c r="D2144" i="3"/>
  <c r="C2144" i="3"/>
  <c r="N2143" i="3"/>
  <c r="M2143" i="3"/>
  <c r="K2143" i="3"/>
  <c r="J2143" i="3"/>
  <c r="I2143" i="3"/>
  <c r="H2143" i="3"/>
  <c r="F2143" i="3"/>
  <c r="E2143" i="3"/>
  <c r="D2143" i="3"/>
  <c r="C2143" i="3"/>
  <c r="M2142" i="3"/>
  <c r="L2142" i="3"/>
  <c r="K2142" i="3"/>
  <c r="J2142" i="3"/>
  <c r="I2142" i="3"/>
  <c r="H2142" i="3"/>
  <c r="G2142" i="3"/>
  <c r="F2142" i="3"/>
  <c r="E2142" i="3"/>
  <c r="D2142" i="3"/>
  <c r="C2142" i="3"/>
  <c r="M2141" i="3"/>
  <c r="L2141" i="3"/>
  <c r="K2141" i="3"/>
  <c r="J2141" i="3"/>
  <c r="I2141" i="3"/>
  <c r="H2141" i="3"/>
  <c r="G2141" i="3"/>
  <c r="F2141" i="3"/>
  <c r="E2141" i="3"/>
  <c r="D2141" i="3"/>
  <c r="C2141" i="3"/>
  <c r="N2140" i="3"/>
  <c r="K2140" i="3"/>
  <c r="J2140" i="3"/>
  <c r="I2140" i="3"/>
  <c r="H2140" i="3"/>
  <c r="F2140" i="3"/>
  <c r="E2140" i="3"/>
  <c r="D2140" i="3"/>
  <c r="C2140" i="3"/>
  <c r="M2139" i="3"/>
  <c r="L2139" i="3"/>
  <c r="K2139" i="3"/>
  <c r="J2139" i="3"/>
  <c r="I2139" i="3"/>
  <c r="H2139" i="3"/>
  <c r="G2139" i="3"/>
  <c r="F2139" i="3"/>
  <c r="E2139" i="3"/>
  <c r="D2139" i="3"/>
  <c r="C2139" i="3"/>
  <c r="M2138" i="3"/>
  <c r="L2138" i="3"/>
  <c r="K2138" i="3"/>
  <c r="J2138" i="3"/>
  <c r="I2138" i="3"/>
  <c r="H2138" i="3"/>
  <c r="G2138" i="3"/>
  <c r="F2138" i="3"/>
  <c r="E2138" i="3"/>
  <c r="D2138" i="3"/>
  <c r="C2138" i="3"/>
  <c r="M2137" i="3"/>
  <c r="L2137" i="3"/>
  <c r="K2137" i="3"/>
  <c r="J2137" i="3"/>
  <c r="I2137" i="3"/>
  <c r="H2137" i="3"/>
  <c r="G2137" i="3"/>
  <c r="F2137" i="3"/>
  <c r="E2137" i="3"/>
  <c r="D2137" i="3"/>
  <c r="C2137" i="3"/>
  <c r="M2136" i="3"/>
  <c r="L2136" i="3"/>
  <c r="K2136" i="3"/>
  <c r="J2136" i="3"/>
  <c r="I2136" i="3"/>
  <c r="H2136" i="3"/>
  <c r="G2136" i="3"/>
  <c r="F2136" i="3"/>
  <c r="E2136" i="3"/>
  <c r="D2136" i="3"/>
  <c r="C2136" i="3"/>
  <c r="M2135" i="3"/>
  <c r="L2135" i="3"/>
  <c r="K2135" i="3"/>
  <c r="J2135" i="3"/>
  <c r="I2135" i="3"/>
  <c r="H2135" i="3"/>
  <c r="G2135" i="3"/>
  <c r="F2135" i="3"/>
  <c r="E2135" i="3"/>
  <c r="D2135" i="3"/>
  <c r="C2135" i="3"/>
  <c r="M2134" i="3"/>
  <c r="L2134" i="3"/>
  <c r="K2134" i="3"/>
  <c r="J2134" i="3"/>
  <c r="I2134" i="3"/>
  <c r="H2134" i="3"/>
  <c r="G2134" i="3"/>
  <c r="F2134" i="3"/>
  <c r="E2134" i="3"/>
  <c r="D2134" i="3"/>
  <c r="C2134" i="3"/>
  <c r="M2133" i="3"/>
  <c r="L2133" i="3"/>
  <c r="K2133" i="3"/>
  <c r="J2133" i="3"/>
  <c r="I2133" i="3"/>
  <c r="H2133" i="3"/>
  <c r="G2133" i="3"/>
  <c r="F2133" i="3"/>
  <c r="E2133" i="3"/>
  <c r="D2133" i="3"/>
  <c r="C2133" i="3"/>
  <c r="M2132" i="3"/>
  <c r="L2132" i="3"/>
  <c r="K2132" i="3"/>
  <c r="J2132" i="3"/>
  <c r="I2132" i="3"/>
  <c r="H2132" i="3"/>
  <c r="G2132" i="3"/>
  <c r="F2132" i="3"/>
  <c r="E2132" i="3"/>
  <c r="D2132" i="3"/>
  <c r="C2132" i="3"/>
  <c r="N2131" i="3"/>
  <c r="M2131" i="3"/>
  <c r="L2131" i="3"/>
  <c r="K2131" i="3"/>
  <c r="J2131" i="3"/>
  <c r="I2131" i="3"/>
  <c r="H2131" i="3"/>
  <c r="G2131" i="3"/>
  <c r="F2131" i="3"/>
  <c r="E2131" i="3"/>
  <c r="D2131" i="3"/>
  <c r="C2131" i="3"/>
  <c r="M2130" i="3"/>
  <c r="L2130" i="3"/>
  <c r="K2130" i="3"/>
  <c r="J2130" i="3"/>
  <c r="I2130" i="3"/>
  <c r="H2130" i="3"/>
  <c r="G2130" i="3"/>
  <c r="F2130" i="3"/>
  <c r="E2130" i="3"/>
  <c r="D2130" i="3"/>
  <c r="C2130" i="3"/>
  <c r="M2129" i="3"/>
  <c r="L2129" i="3"/>
  <c r="K2129" i="3"/>
  <c r="J2129" i="3"/>
  <c r="I2129" i="3"/>
  <c r="H2129" i="3"/>
  <c r="G2129" i="3"/>
  <c r="F2129" i="3"/>
  <c r="E2129" i="3"/>
  <c r="D2129" i="3"/>
  <c r="C2129" i="3"/>
  <c r="M2128" i="3"/>
  <c r="L2128" i="3"/>
  <c r="K2128" i="3"/>
  <c r="J2128" i="3"/>
  <c r="I2128" i="3"/>
  <c r="H2128" i="3"/>
  <c r="G2128" i="3"/>
  <c r="F2128" i="3"/>
  <c r="E2128" i="3"/>
  <c r="D2128" i="3"/>
  <c r="C2128" i="3"/>
  <c r="N2127" i="3"/>
  <c r="L2127" i="3"/>
  <c r="K2127" i="3"/>
  <c r="J2127" i="3"/>
  <c r="I2127" i="3"/>
  <c r="H2127" i="3"/>
  <c r="G2127" i="3"/>
  <c r="F2127" i="3"/>
  <c r="E2127" i="3"/>
  <c r="D2127" i="3"/>
  <c r="C2127" i="3"/>
  <c r="M2126" i="3"/>
  <c r="L2126" i="3"/>
  <c r="K2126" i="3"/>
  <c r="J2126" i="3"/>
  <c r="I2126" i="3"/>
  <c r="H2126" i="3"/>
  <c r="G2126" i="3"/>
  <c r="F2126" i="3"/>
  <c r="E2126" i="3"/>
  <c r="D2126" i="3"/>
  <c r="C2126" i="3"/>
  <c r="N2125" i="3"/>
  <c r="L2125" i="3"/>
  <c r="K2125" i="3"/>
  <c r="J2125" i="3"/>
  <c r="I2125" i="3"/>
  <c r="H2125" i="3"/>
  <c r="G2125" i="3"/>
  <c r="F2125" i="3"/>
  <c r="E2125" i="3"/>
  <c r="D2125" i="3"/>
  <c r="C2125" i="3"/>
  <c r="M2124" i="3"/>
  <c r="L2124" i="3"/>
  <c r="K2124" i="3"/>
  <c r="J2124" i="3"/>
  <c r="I2124" i="3"/>
  <c r="H2124" i="3"/>
  <c r="G2124" i="3"/>
  <c r="F2124" i="3"/>
  <c r="E2124" i="3"/>
  <c r="D2124" i="3"/>
  <c r="C2124" i="3"/>
  <c r="M2123" i="3"/>
  <c r="L2123" i="3"/>
  <c r="K2123" i="3"/>
  <c r="J2123" i="3"/>
  <c r="I2123" i="3"/>
  <c r="H2123" i="3"/>
  <c r="G2123" i="3"/>
  <c r="F2123" i="3"/>
  <c r="E2123" i="3"/>
  <c r="D2123" i="3"/>
  <c r="C2123" i="3"/>
  <c r="N2122" i="3"/>
  <c r="K2122" i="3"/>
  <c r="J2122" i="3"/>
  <c r="I2122" i="3"/>
  <c r="H2122" i="3"/>
  <c r="F2122" i="3"/>
  <c r="E2122" i="3"/>
  <c r="D2122" i="3"/>
  <c r="C2122" i="3"/>
  <c r="M2121" i="3"/>
  <c r="L2121" i="3"/>
  <c r="K2121" i="3"/>
  <c r="J2121" i="3"/>
  <c r="I2121" i="3"/>
  <c r="H2121" i="3"/>
  <c r="G2121" i="3"/>
  <c r="F2121" i="3"/>
  <c r="E2121" i="3"/>
  <c r="D2121" i="3"/>
  <c r="C2121" i="3"/>
  <c r="M2120" i="3"/>
  <c r="L2120" i="3"/>
  <c r="K2120" i="3"/>
  <c r="J2120" i="3"/>
  <c r="I2120" i="3"/>
  <c r="H2120" i="3"/>
  <c r="G2120" i="3"/>
  <c r="F2120" i="3"/>
  <c r="E2120" i="3"/>
  <c r="D2120" i="3"/>
  <c r="C2120" i="3"/>
  <c r="M2119" i="3"/>
  <c r="L2119" i="3"/>
  <c r="K2119" i="3"/>
  <c r="J2119" i="3"/>
  <c r="I2119" i="3"/>
  <c r="H2119" i="3"/>
  <c r="G2119" i="3"/>
  <c r="F2119" i="3"/>
  <c r="E2119" i="3"/>
  <c r="D2119" i="3"/>
  <c r="C2119" i="3"/>
  <c r="N2118" i="3"/>
  <c r="K2118" i="3"/>
  <c r="J2118" i="3"/>
  <c r="I2118" i="3"/>
  <c r="H2118" i="3"/>
  <c r="F2118" i="3"/>
  <c r="E2118" i="3"/>
  <c r="D2118" i="3"/>
  <c r="C2118" i="3"/>
  <c r="N2117" i="3"/>
  <c r="L2117" i="3"/>
  <c r="K2117" i="3"/>
  <c r="J2117" i="3"/>
  <c r="I2117" i="3"/>
  <c r="H2117" i="3"/>
  <c r="G2117" i="3"/>
  <c r="F2117" i="3"/>
  <c r="E2117" i="3"/>
  <c r="D2117" i="3"/>
  <c r="C2117" i="3"/>
  <c r="N2116" i="3"/>
  <c r="K2116" i="3"/>
  <c r="J2116" i="3"/>
  <c r="I2116" i="3"/>
  <c r="H2116" i="3"/>
  <c r="F2116" i="3"/>
  <c r="E2116" i="3"/>
  <c r="D2116" i="3"/>
  <c r="C2116" i="3"/>
  <c r="M2115" i="3"/>
  <c r="K2115" i="3"/>
  <c r="J2115" i="3"/>
  <c r="I2115" i="3"/>
  <c r="H2115" i="3"/>
  <c r="F2115" i="3"/>
  <c r="E2115" i="3"/>
  <c r="D2115" i="3"/>
  <c r="C2115" i="3"/>
  <c r="N2114" i="3"/>
  <c r="M2114" i="3"/>
  <c r="L2114" i="3"/>
  <c r="K2114" i="3"/>
  <c r="J2114" i="3"/>
  <c r="I2114" i="3"/>
  <c r="H2114" i="3"/>
  <c r="G2114" i="3"/>
  <c r="F2114" i="3"/>
  <c r="E2114" i="3"/>
  <c r="D2114" i="3"/>
  <c r="C2114" i="3"/>
  <c r="N2113" i="3"/>
  <c r="K2113" i="3"/>
  <c r="J2113" i="3"/>
  <c r="I2113" i="3"/>
  <c r="H2113" i="3"/>
  <c r="F2113" i="3"/>
  <c r="E2113" i="3"/>
  <c r="D2113" i="3"/>
  <c r="C2113" i="3"/>
  <c r="M2112" i="3"/>
  <c r="L2112" i="3"/>
  <c r="K2112" i="3"/>
  <c r="J2112" i="3"/>
  <c r="I2112" i="3"/>
  <c r="H2112" i="3"/>
  <c r="G2112" i="3"/>
  <c r="F2112" i="3"/>
  <c r="E2112" i="3"/>
  <c r="D2112" i="3"/>
  <c r="C2112" i="3"/>
  <c r="M2111" i="3"/>
  <c r="L2111" i="3"/>
  <c r="K2111" i="3"/>
  <c r="J2111" i="3"/>
  <c r="I2111" i="3"/>
  <c r="H2111" i="3"/>
  <c r="G2111" i="3"/>
  <c r="F2111" i="3"/>
  <c r="E2111" i="3"/>
  <c r="D2111" i="3"/>
  <c r="C2111" i="3"/>
  <c r="N2110" i="3"/>
  <c r="L2110" i="3"/>
  <c r="K2110" i="3"/>
  <c r="J2110" i="3"/>
  <c r="I2110" i="3"/>
  <c r="H2110" i="3"/>
  <c r="G2110" i="3"/>
  <c r="F2110" i="3"/>
  <c r="E2110" i="3"/>
  <c r="D2110" i="3"/>
  <c r="C2110" i="3"/>
  <c r="M2109" i="3"/>
  <c r="L2109" i="3"/>
  <c r="K2109" i="3"/>
  <c r="J2109" i="3"/>
  <c r="I2109" i="3"/>
  <c r="H2109" i="3"/>
  <c r="G2109" i="3"/>
  <c r="F2109" i="3"/>
  <c r="E2109" i="3"/>
  <c r="D2109" i="3"/>
  <c r="C2109" i="3"/>
  <c r="N2108" i="3"/>
  <c r="K2108" i="3"/>
  <c r="J2108" i="3"/>
  <c r="I2108" i="3"/>
  <c r="H2108" i="3"/>
  <c r="F2108" i="3"/>
  <c r="E2108" i="3"/>
  <c r="D2108" i="3"/>
  <c r="C2108" i="3"/>
  <c r="N2107" i="3"/>
  <c r="L2107" i="3"/>
  <c r="K2107" i="3"/>
  <c r="J2107" i="3"/>
  <c r="I2107" i="3"/>
  <c r="H2107" i="3"/>
  <c r="G2107" i="3"/>
  <c r="F2107" i="3"/>
  <c r="E2107" i="3"/>
  <c r="D2107" i="3"/>
  <c r="C2107" i="3"/>
  <c r="N2106" i="3"/>
  <c r="L2106" i="3"/>
  <c r="K2106" i="3"/>
  <c r="J2106" i="3"/>
  <c r="I2106" i="3"/>
  <c r="H2106" i="3"/>
  <c r="G2106" i="3"/>
  <c r="F2106" i="3"/>
  <c r="E2106" i="3"/>
  <c r="D2106" i="3"/>
  <c r="C2106" i="3"/>
  <c r="M2105" i="3"/>
  <c r="L2105" i="3"/>
  <c r="K2105" i="3"/>
  <c r="J2105" i="3"/>
  <c r="I2105" i="3"/>
  <c r="H2105" i="3"/>
  <c r="G2105" i="3"/>
  <c r="F2105" i="3"/>
  <c r="E2105" i="3"/>
  <c r="D2105" i="3"/>
  <c r="C2105" i="3"/>
  <c r="M2104" i="3"/>
  <c r="K2104" i="3"/>
  <c r="J2104" i="3"/>
  <c r="I2104" i="3"/>
  <c r="H2104" i="3"/>
  <c r="F2104" i="3"/>
  <c r="E2104" i="3"/>
  <c r="D2104" i="3"/>
  <c r="C2104" i="3"/>
  <c r="M2103" i="3"/>
  <c r="L2103" i="3"/>
  <c r="K2103" i="3"/>
  <c r="J2103" i="3"/>
  <c r="I2103" i="3"/>
  <c r="H2103" i="3"/>
  <c r="G2103" i="3"/>
  <c r="F2103" i="3"/>
  <c r="E2103" i="3"/>
  <c r="D2103" i="3"/>
  <c r="C2103" i="3"/>
  <c r="N2102" i="3"/>
  <c r="L2102" i="3"/>
  <c r="K2102" i="3"/>
  <c r="J2102" i="3"/>
  <c r="I2102" i="3"/>
  <c r="H2102" i="3"/>
  <c r="G2102" i="3"/>
  <c r="F2102" i="3"/>
  <c r="E2102" i="3"/>
  <c r="D2102" i="3"/>
  <c r="C2102" i="3"/>
  <c r="N2101" i="3"/>
  <c r="M2101" i="3"/>
  <c r="L2101" i="3"/>
  <c r="K2101" i="3"/>
  <c r="J2101" i="3"/>
  <c r="I2101" i="3"/>
  <c r="H2101" i="3"/>
  <c r="G2101" i="3"/>
  <c r="F2101" i="3"/>
  <c r="E2101" i="3"/>
  <c r="D2101" i="3"/>
  <c r="C2101" i="3"/>
  <c r="N2100" i="3"/>
  <c r="K2100" i="3"/>
  <c r="J2100" i="3"/>
  <c r="I2100" i="3"/>
  <c r="H2100" i="3"/>
  <c r="F2100" i="3"/>
  <c r="E2100" i="3"/>
  <c r="D2100" i="3"/>
  <c r="C2100" i="3"/>
  <c r="N2099" i="3"/>
  <c r="L2099" i="3"/>
  <c r="K2099" i="3"/>
  <c r="J2099" i="3"/>
  <c r="I2099" i="3"/>
  <c r="H2099" i="3"/>
  <c r="G2099" i="3"/>
  <c r="F2099" i="3"/>
  <c r="E2099" i="3"/>
  <c r="D2099" i="3"/>
  <c r="C2099" i="3"/>
  <c r="M2098" i="3"/>
  <c r="L2098" i="3"/>
  <c r="K2098" i="3"/>
  <c r="J2098" i="3"/>
  <c r="I2098" i="3"/>
  <c r="H2098" i="3"/>
  <c r="G2098" i="3"/>
  <c r="F2098" i="3"/>
  <c r="E2098" i="3"/>
  <c r="D2098" i="3"/>
  <c r="C2098" i="3"/>
  <c r="M2097" i="3"/>
  <c r="L2097" i="3"/>
  <c r="K2097" i="3"/>
  <c r="J2097" i="3"/>
  <c r="I2097" i="3"/>
  <c r="H2097" i="3"/>
  <c r="G2097" i="3"/>
  <c r="F2097" i="3"/>
  <c r="E2097" i="3"/>
  <c r="D2097" i="3"/>
  <c r="C2097" i="3"/>
  <c r="M2096" i="3"/>
  <c r="L2096" i="3"/>
  <c r="K2096" i="3"/>
  <c r="J2096" i="3"/>
  <c r="I2096" i="3"/>
  <c r="H2096" i="3"/>
  <c r="G2096" i="3"/>
  <c r="F2096" i="3"/>
  <c r="E2096" i="3"/>
  <c r="D2096" i="3"/>
  <c r="C2096" i="3"/>
  <c r="M2095" i="3"/>
  <c r="K2095" i="3"/>
  <c r="J2095" i="3"/>
  <c r="I2095" i="3"/>
  <c r="H2095" i="3"/>
  <c r="F2095" i="3"/>
  <c r="E2095" i="3"/>
  <c r="D2095" i="3"/>
  <c r="C2095" i="3"/>
  <c r="M2094" i="3"/>
  <c r="L2094" i="3"/>
  <c r="K2094" i="3"/>
  <c r="J2094" i="3"/>
  <c r="I2094" i="3"/>
  <c r="H2094" i="3"/>
  <c r="G2094" i="3"/>
  <c r="F2094" i="3"/>
  <c r="E2094" i="3"/>
  <c r="D2094" i="3"/>
  <c r="C2094" i="3"/>
  <c r="N2093" i="3"/>
  <c r="M2093" i="3"/>
  <c r="K2093" i="3"/>
  <c r="J2093" i="3"/>
  <c r="I2093" i="3"/>
  <c r="H2093" i="3"/>
  <c r="F2093" i="3"/>
  <c r="E2093" i="3"/>
  <c r="D2093" i="3"/>
  <c r="C2093" i="3"/>
  <c r="N2092" i="3"/>
  <c r="M2092" i="3"/>
  <c r="L2092" i="3"/>
  <c r="K2092" i="3"/>
  <c r="J2092" i="3"/>
  <c r="I2092" i="3"/>
  <c r="H2092" i="3"/>
  <c r="G2092" i="3"/>
  <c r="F2092" i="3"/>
  <c r="E2092" i="3"/>
  <c r="D2092" i="3"/>
  <c r="C2092" i="3"/>
  <c r="N2091" i="3"/>
  <c r="L2091" i="3"/>
  <c r="K2091" i="3"/>
  <c r="J2091" i="3"/>
  <c r="I2091" i="3"/>
  <c r="H2091" i="3"/>
  <c r="G2091" i="3"/>
  <c r="F2091" i="3"/>
  <c r="E2091" i="3"/>
  <c r="D2091" i="3"/>
  <c r="C2091" i="3"/>
  <c r="M2090" i="3"/>
  <c r="L2090" i="3"/>
  <c r="K2090" i="3"/>
  <c r="J2090" i="3"/>
  <c r="I2090" i="3"/>
  <c r="H2090" i="3"/>
  <c r="G2090" i="3"/>
  <c r="F2090" i="3"/>
  <c r="E2090" i="3"/>
  <c r="D2090" i="3"/>
  <c r="C2090" i="3"/>
  <c r="N2089" i="3"/>
  <c r="L2089" i="3"/>
  <c r="K2089" i="3"/>
  <c r="J2089" i="3"/>
  <c r="I2089" i="3"/>
  <c r="H2089" i="3"/>
  <c r="G2089" i="3"/>
  <c r="F2089" i="3"/>
  <c r="E2089" i="3"/>
  <c r="D2089" i="3"/>
  <c r="C2089" i="3"/>
  <c r="M2088" i="3"/>
  <c r="L2088" i="3"/>
  <c r="K2088" i="3"/>
  <c r="J2088" i="3"/>
  <c r="I2088" i="3"/>
  <c r="H2088" i="3"/>
  <c r="G2088" i="3"/>
  <c r="F2088" i="3"/>
  <c r="E2088" i="3"/>
  <c r="D2088" i="3"/>
  <c r="C2088" i="3"/>
  <c r="N2087" i="3"/>
  <c r="L2087" i="3"/>
  <c r="K2087" i="3"/>
  <c r="J2087" i="3"/>
  <c r="I2087" i="3"/>
  <c r="H2087" i="3"/>
  <c r="G2087" i="3"/>
  <c r="F2087" i="3"/>
  <c r="E2087" i="3"/>
  <c r="D2087" i="3"/>
  <c r="C2087" i="3"/>
  <c r="N2086" i="3"/>
  <c r="M2086" i="3"/>
  <c r="L2086" i="3"/>
  <c r="K2086" i="3"/>
  <c r="J2086" i="3"/>
  <c r="I2086" i="3"/>
  <c r="H2086" i="3"/>
  <c r="G2086" i="3"/>
  <c r="F2086" i="3"/>
  <c r="E2086" i="3"/>
  <c r="D2086" i="3"/>
  <c r="C2086" i="3"/>
  <c r="N2085" i="3"/>
  <c r="M2085" i="3"/>
  <c r="K2085" i="3"/>
  <c r="J2085" i="3"/>
  <c r="I2085" i="3"/>
  <c r="H2085" i="3"/>
  <c r="F2085" i="3"/>
  <c r="E2085" i="3"/>
  <c r="D2085" i="3"/>
  <c r="C2085" i="3"/>
  <c r="N2084" i="3"/>
  <c r="L2084" i="3"/>
  <c r="K2084" i="3"/>
  <c r="J2084" i="3"/>
  <c r="I2084" i="3"/>
  <c r="H2084" i="3"/>
  <c r="G2084" i="3"/>
  <c r="F2084" i="3"/>
  <c r="E2084" i="3"/>
  <c r="D2084" i="3"/>
  <c r="C2084" i="3"/>
  <c r="N2083" i="3"/>
  <c r="M2083" i="3"/>
  <c r="L2083" i="3"/>
  <c r="K2083" i="3"/>
  <c r="J2083" i="3"/>
  <c r="I2083" i="3"/>
  <c r="H2083" i="3"/>
  <c r="G2083" i="3"/>
  <c r="F2083" i="3"/>
  <c r="E2083" i="3"/>
  <c r="D2083" i="3"/>
  <c r="C2083" i="3"/>
  <c r="N2082" i="3"/>
  <c r="L2082" i="3"/>
  <c r="K2082" i="3"/>
  <c r="J2082" i="3"/>
  <c r="I2082" i="3"/>
  <c r="H2082" i="3"/>
  <c r="G2082" i="3"/>
  <c r="F2082" i="3"/>
  <c r="E2082" i="3"/>
  <c r="D2082" i="3"/>
  <c r="C2082" i="3"/>
  <c r="M2081" i="3"/>
  <c r="L2081" i="3"/>
  <c r="K2081" i="3"/>
  <c r="J2081" i="3"/>
  <c r="I2081" i="3"/>
  <c r="H2081" i="3"/>
  <c r="G2081" i="3"/>
  <c r="F2081" i="3"/>
  <c r="E2081" i="3"/>
  <c r="D2081" i="3"/>
  <c r="C2081" i="3"/>
  <c r="M2080" i="3"/>
  <c r="L2080" i="3"/>
  <c r="K2080" i="3"/>
  <c r="J2080" i="3"/>
  <c r="I2080" i="3"/>
  <c r="H2080" i="3"/>
  <c r="G2080" i="3"/>
  <c r="F2080" i="3"/>
  <c r="E2080" i="3"/>
  <c r="D2080" i="3"/>
  <c r="C2080" i="3"/>
  <c r="M2079" i="3"/>
  <c r="L2079" i="3"/>
  <c r="K2079" i="3"/>
  <c r="J2079" i="3"/>
  <c r="I2079" i="3"/>
  <c r="H2079" i="3"/>
  <c r="G2079" i="3"/>
  <c r="F2079" i="3"/>
  <c r="E2079" i="3"/>
  <c r="D2079" i="3"/>
  <c r="C2079" i="3"/>
  <c r="N2078" i="3"/>
  <c r="K2078" i="3"/>
  <c r="J2078" i="3"/>
  <c r="I2078" i="3"/>
  <c r="H2078" i="3"/>
  <c r="F2078" i="3"/>
  <c r="E2078" i="3"/>
  <c r="D2078" i="3"/>
  <c r="C2078" i="3"/>
  <c r="M2077" i="3"/>
  <c r="K2077" i="3"/>
  <c r="J2077" i="3"/>
  <c r="I2077" i="3"/>
  <c r="H2077" i="3"/>
  <c r="F2077" i="3"/>
  <c r="E2077" i="3"/>
  <c r="D2077" i="3"/>
  <c r="C2077" i="3"/>
  <c r="M2076" i="3"/>
  <c r="L2076" i="3"/>
  <c r="K2076" i="3"/>
  <c r="J2076" i="3"/>
  <c r="I2076" i="3"/>
  <c r="H2076" i="3"/>
  <c r="G2076" i="3"/>
  <c r="F2076" i="3"/>
  <c r="E2076" i="3"/>
  <c r="D2076" i="3"/>
  <c r="C2076" i="3"/>
  <c r="M2075" i="3"/>
  <c r="L2075" i="3"/>
  <c r="K2075" i="3"/>
  <c r="J2075" i="3"/>
  <c r="I2075" i="3"/>
  <c r="H2075" i="3"/>
  <c r="G2075" i="3"/>
  <c r="F2075" i="3"/>
  <c r="E2075" i="3"/>
  <c r="D2075" i="3"/>
  <c r="C2075" i="3"/>
  <c r="N2074" i="3"/>
  <c r="L2074" i="3"/>
  <c r="K2074" i="3"/>
  <c r="J2074" i="3"/>
  <c r="I2074" i="3"/>
  <c r="H2074" i="3"/>
  <c r="G2074" i="3"/>
  <c r="F2074" i="3"/>
  <c r="E2074" i="3"/>
  <c r="D2074" i="3"/>
  <c r="C2074" i="3"/>
  <c r="M2073" i="3"/>
  <c r="L2073" i="3"/>
  <c r="K2073" i="3"/>
  <c r="J2073" i="3"/>
  <c r="I2073" i="3"/>
  <c r="H2073" i="3"/>
  <c r="G2073" i="3"/>
  <c r="F2073" i="3"/>
  <c r="E2073" i="3"/>
  <c r="D2073" i="3"/>
  <c r="C2073" i="3"/>
  <c r="M2072" i="3"/>
  <c r="L2072" i="3"/>
  <c r="K2072" i="3"/>
  <c r="J2072" i="3"/>
  <c r="I2072" i="3"/>
  <c r="H2072" i="3"/>
  <c r="G2072" i="3"/>
  <c r="F2072" i="3"/>
  <c r="E2072" i="3"/>
  <c r="D2072" i="3"/>
  <c r="C2072" i="3"/>
  <c r="M2071" i="3"/>
  <c r="K2071" i="3"/>
  <c r="J2071" i="3"/>
  <c r="I2071" i="3"/>
  <c r="H2071" i="3"/>
  <c r="F2071" i="3"/>
  <c r="E2071" i="3"/>
  <c r="D2071" i="3"/>
  <c r="C2071" i="3"/>
  <c r="N2070" i="3"/>
  <c r="L2070" i="3"/>
  <c r="K2070" i="3"/>
  <c r="J2070" i="3"/>
  <c r="I2070" i="3"/>
  <c r="H2070" i="3"/>
  <c r="G2070" i="3"/>
  <c r="F2070" i="3"/>
  <c r="E2070" i="3"/>
  <c r="D2070" i="3"/>
  <c r="C2070" i="3"/>
  <c r="N2069" i="3"/>
  <c r="M2069" i="3"/>
  <c r="L2069" i="3"/>
  <c r="K2069" i="3"/>
  <c r="J2069" i="3"/>
  <c r="I2069" i="3"/>
  <c r="H2069" i="3"/>
  <c r="G2069" i="3"/>
  <c r="F2069" i="3"/>
  <c r="E2069" i="3"/>
  <c r="D2069" i="3"/>
  <c r="C2069" i="3"/>
  <c r="N2068" i="3"/>
  <c r="L2068" i="3"/>
  <c r="K2068" i="3"/>
  <c r="J2068" i="3"/>
  <c r="I2068" i="3"/>
  <c r="H2068" i="3"/>
  <c r="G2068" i="3"/>
  <c r="F2068" i="3"/>
  <c r="E2068" i="3"/>
  <c r="D2068" i="3"/>
  <c r="C2068" i="3"/>
  <c r="N2067" i="3"/>
  <c r="M2067" i="3"/>
  <c r="L2067" i="3"/>
  <c r="K2067" i="3"/>
  <c r="J2067" i="3"/>
  <c r="I2067" i="3"/>
  <c r="H2067" i="3"/>
  <c r="G2067" i="3"/>
  <c r="F2067" i="3"/>
  <c r="E2067" i="3"/>
  <c r="D2067" i="3"/>
  <c r="C2067" i="3"/>
  <c r="M2066" i="3"/>
  <c r="L2066" i="3"/>
  <c r="K2066" i="3"/>
  <c r="J2066" i="3"/>
  <c r="I2066" i="3"/>
  <c r="H2066" i="3"/>
  <c r="G2066" i="3"/>
  <c r="F2066" i="3"/>
  <c r="E2066" i="3"/>
  <c r="D2066" i="3"/>
  <c r="C2066" i="3"/>
  <c r="M2065" i="3"/>
  <c r="L2065" i="3"/>
  <c r="K2065" i="3"/>
  <c r="J2065" i="3"/>
  <c r="I2065" i="3"/>
  <c r="H2065" i="3"/>
  <c r="G2065" i="3"/>
  <c r="F2065" i="3"/>
  <c r="E2065" i="3"/>
  <c r="D2065" i="3"/>
  <c r="C2065" i="3"/>
  <c r="M2064" i="3"/>
  <c r="L2064" i="3"/>
  <c r="K2064" i="3"/>
  <c r="J2064" i="3"/>
  <c r="I2064" i="3"/>
  <c r="H2064" i="3"/>
  <c r="G2064" i="3"/>
  <c r="F2064" i="3"/>
  <c r="E2064" i="3"/>
  <c r="D2064" i="3"/>
  <c r="C2064" i="3"/>
  <c r="M2063" i="3"/>
  <c r="K2063" i="3"/>
  <c r="J2063" i="3"/>
  <c r="I2063" i="3"/>
  <c r="H2063" i="3"/>
  <c r="F2063" i="3"/>
  <c r="E2063" i="3"/>
  <c r="D2063" i="3"/>
  <c r="C2063" i="3"/>
  <c r="M2062" i="3"/>
  <c r="L2062" i="3"/>
  <c r="K2062" i="3"/>
  <c r="J2062" i="3"/>
  <c r="I2062" i="3"/>
  <c r="H2062" i="3"/>
  <c r="G2062" i="3"/>
  <c r="F2062" i="3"/>
  <c r="E2062" i="3"/>
  <c r="D2062" i="3"/>
  <c r="C2062" i="3"/>
  <c r="N2061" i="3"/>
  <c r="M2061" i="3"/>
  <c r="L2061" i="3"/>
  <c r="K2061" i="3"/>
  <c r="J2061" i="3"/>
  <c r="I2061" i="3"/>
  <c r="H2061" i="3"/>
  <c r="G2061" i="3"/>
  <c r="F2061" i="3"/>
  <c r="E2061" i="3"/>
  <c r="D2061" i="3"/>
  <c r="C2061" i="3"/>
  <c r="M2060" i="3"/>
  <c r="L2060" i="3"/>
  <c r="K2060" i="3"/>
  <c r="J2060" i="3"/>
  <c r="I2060" i="3"/>
  <c r="H2060" i="3"/>
  <c r="G2060" i="3"/>
  <c r="F2060" i="3"/>
  <c r="E2060" i="3"/>
  <c r="D2060" i="3"/>
  <c r="C2060" i="3"/>
  <c r="N2059" i="3"/>
  <c r="M2059" i="3"/>
  <c r="L2059" i="3"/>
  <c r="K2059" i="3"/>
  <c r="J2059" i="3"/>
  <c r="I2059" i="3"/>
  <c r="H2059" i="3"/>
  <c r="G2059" i="3"/>
  <c r="F2059" i="3"/>
  <c r="E2059" i="3"/>
  <c r="D2059" i="3"/>
  <c r="C2059" i="3"/>
  <c r="M2058" i="3"/>
  <c r="L2058" i="3"/>
  <c r="K2058" i="3"/>
  <c r="J2058" i="3"/>
  <c r="I2058" i="3"/>
  <c r="H2058" i="3"/>
  <c r="G2058" i="3"/>
  <c r="F2058" i="3"/>
  <c r="E2058" i="3"/>
  <c r="D2058" i="3"/>
  <c r="C2058" i="3"/>
  <c r="M2057" i="3"/>
  <c r="L2057" i="3"/>
  <c r="K2057" i="3"/>
  <c r="J2057" i="3"/>
  <c r="I2057" i="3"/>
  <c r="H2057" i="3"/>
  <c r="G2057" i="3"/>
  <c r="F2057" i="3"/>
  <c r="E2057" i="3"/>
  <c r="D2057" i="3"/>
  <c r="C2057" i="3"/>
  <c r="M2056" i="3"/>
  <c r="L2056" i="3"/>
  <c r="K2056" i="3"/>
  <c r="J2056" i="3"/>
  <c r="I2056" i="3"/>
  <c r="H2056" i="3"/>
  <c r="G2056" i="3"/>
  <c r="F2056" i="3"/>
  <c r="E2056" i="3"/>
  <c r="D2056" i="3"/>
  <c r="C2056" i="3"/>
  <c r="N2055" i="3"/>
  <c r="M2055" i="3"/>
  <c r="L2055" i="3"/>
  <c r="K2055" i="3"/>
  <c r="J2055" i="3"/>
  <c r="I2055" i="3"/>
  <c r="H2055" i="3"/>
  <c r="G2055" i="3"/>
  <c r="F2055" i="3"/>
  <c r="E2055" i="3"/>
  <c r="D2055" i="3"/>
  <c r="C2055" i="3"/>
  <c r="M2054" i="3"/>
  <c r="L2054" i="3"/>
  <c r="K2054" i="3"/>
  <c r="J2054" i="3"/>
  <c r="I2054" i="3"/>
  <c r="H2054" i="3"/>
  <c r="G2054" i="3"/>
  <c r="F2054" i="3"/>
  <c r="E2054" i="3"/>
  <c r="D2054" i="3"/>
  <c r="C2054" i="3"/>
  <c r="M2053" i="3"/>
  <c r="L2053" i="3"/>
  <c r="K2053" i="3"/>
  <c r="J2053" i="3"/>
  <c r="I2053" i="3"/>
  <c r="H2053" i="3"/>
  <c r="G2053" i="3"/>
  <c r="F2053" i="3"/>
  <c r="E2053" i="3"/>
  <c r="D2053" i="3"/>
  <c r="C2053" i="3"/>
  <c r="M2052" i="3"/>
  <c r="L2052" i="3"/>
  <c r="K2052" i="3"/>
  <c r="J2052" i="3"/>
  <c r="I2052" i="3"/>
  <c r="H2052" i="3"/>
  <c r="G2052" i="3"/>
  <c r="F2052" i="3"/>
  <c r="E2052" i="3"/>
  <c r="D2052" i="3"/>
  <c r="C2052" i="3"/>
  <c r="M2051" i="3"/>
  <c r="L2051" i="3"/>
  <c r="K2051" i="3"/>
  <c r="J2051" i="3"/>
  <c r="I2051" i="3"/>
  <c r="H2051" i="3"/>
  <c r="G2051" i="3"/>
  <c r="F2051" i="3"/>
  <c r="E2051" i="3"/>
  <c r="D2051" i="3"/>
  <c r="C2051" i="3"/>
  <c r="M2050" i="3"/>
  <c r="L2050" i="3"/>
  <c r="K2050" i="3"/>
  <c r="J2050" i="3"/>
  <c r="I2050" i="3"/>
  <c r="H2050" i="3"/>
  <c r="G2050" i="3"/>
  <c r="F2050" i="3"/>
  <c r="E2050" i="3"/>
  <c r="D2050" i="3"/>
  <c r="C2050" i="3"/>
  <c r="M2049" i="3"/>
  <c r="L2049" i="3"/>
  <c r="K2049" i="3"/>
  <c r="J2049" i="3"/>
  <c r="I2049" i="3"/>
  <c r="H2049" i="3"/>
  <c r="G2049" i="3"/>
  <c r="F2049" i="3"/>
  <c r="E2049" i="3"/>
  <c r="D2049" i="3"/>
  <c r="C2049" i="3"/>
  <c r="M2048" i="3"/>
  <c r="L2048" i="3"/>
  <c r="K2048" i="3"/>
  <c r="J2048" i="3"/>
  <c r="I2048" i="3"/>
  <c r="H2048" i="3"/>
  <c r="G2048" i="3"/>
  <c r="F2048" i="3"/>
  <c r="E2048" i="3"/>
  <c r="D2048" i="3"/>
  <c r="C2048" i="3"/>
  <c r="N2047" i="3"/>
  <c r="L2047" i="3"/>
  <c r="K2047" i="3"/>
  <c r="J2047" i="3"/>
  <c r="I2047" i="3"/>
  <c r="H2047" i="3"/>
  <c r="G2047" i="3"/>
  <c r="F2047" i="3"/>
  <c r="E2047" i="3"/>
  <c r="D2047" i="3"/>
  <c r="C2047" i="3"/>
  <c r="M2046" i="3"/>
  <c r="L2046" i="3"/>
  <c r="K2046" i="3"/>
  <c r="J2046" i="3"/>
  <c r="I2046" i="3"/>
  <c r="H2046" i="3"/>
  <c r="G2046" i="3"/>
  <c r="F2046" i="3"/>
  <c r="E2046" i="3"/>
  <c r="D2046" i="3"/>
  <c r="C2046" i="3"/>
  <c r="N2045" i="3"/>
  <c r="M2045" i="3"/>
  <c r="K2045" i="3"/>
  <c r="J2045" i="3"/>
  <c r="I2045" i="3"/>
  <c r="H2045" i="3"/>
  <c r="F2045" i="3"/>
  <c r="E2045" i="3"/>
  <c r="D2045" i="3"/>
  <c r="C2045" i="3"/>
  <c r="N2044" i="3"/>
  <c r="M2044" i="3"/>
  <c r="L2044" i="3"/>
  <c r="K2044" i="3"/>
  <c r="J2044" i="3"/>
  <c r="I2044" i="3"/>
  <c r="H2044" i="3"/>
  <c r="G2044" i="3"/>
  <c r="F2044" i="3"/>
  <c r="E2044" i="3"/>
  <c r="D2044" i="3"/>
  <c r="C2044" i="3"/>
  <c r="N2043" i="3"/>
  <c r="M2043" i="3"/>
  <c r="L2043" i="3"/>
  <c r="K2043" i="3"/>
  <c r="J2043" i="3"/>
  <c r="I2043" i="3"/>
  <c r="H2043" i="3"/>
  <c r="G2043" i="3"/>
  <c r="F2043" i="3"/>
  <c r="E2043" i="3"/>
  <c r="D2043" i="3"/>
  <c r="C2043" i="3"/>
  <c r="M2042" i="3"/>
  <c r="L2042" i="3"/>
  <c r="K2042" i="3"/>
  <c r="J2042" i="3"/>
  <c r="I2042" i="3"/>
  <c r="H2042" i="3"/>
  <c r="G2042" i="3"/>
  <c r="F2042" i="3"/>
  <c r="E2042" i="3"/>
  <c r="D2042" i="3"/>
  <c r="C2042" i="3"/>
  <c r="M2041" i="3"/>
  <c r="L2041" i="3"/>
  <c r="K2041" i="3"/>
  <c r="J2041" i="3"/>
  <c r="I2041" i="3"/>
  <c r="H2041" i="3"/>
  <c r="G2041" i="3"/>
  <c r="F2041" i="3"/>
  <c r="E2041" i="3"/>
  <c r="D2041" i="3"/>
  <c r="C2041" i="3"/>
  <c r="M2040" i="3"/>
  <c r="L2040" i="3"/>
  <c r="K2040" i="3"/>
  <c r="J2040" i="3"/>
  <c r="I2040" i="3"/>
  <c r="H2040" i="3"/>
  <c r="G2040" i="3"/>
  <c r="F2040" i="3"/>
  <c r="E2040" i="3"/>
  <c r="D2040" i="3"/>
  <c r="C2040" i="3"/>
  <c r="M2039" i="3"/>
  <c r="L2039" i="3"/>
  <c r="K2039" i="3"/>
  <c r="J2039" i="3"/>
  <c r="I2039" i="3"/>
  <c r="H2039" i="3"/>
  <c r="G2039" i="3"/>
  <c r="F2039" i="3"/>
  <c r="E2039" i="3"/>
  <c r="D2039" i="3"/>
  <c r="C2039" i="3"/>
  <c r="M2038" i="3"/>
  <c r="L2038" i="3"/>
  <c r="K2038" i="3"/>
  <c r="J2038" i="3"/>
  <c r="I2038" i="3"/>
  <c r="H2038" i="3"/>
  <c r="G2038" i="3"/>
  <c r="F2038" i="3"/>
  <c r="E2038" i="3"/>
  <c r="D2038" i="3"/>
  <c r="C2038" i="3"/>
  <c r="L2037" i="3"/>
  <c r="K2037" i="3"/>
  <c r="J2037" i="3"/>
  <c r="I2037" i="3"/>
  <c r="H2037" i="3"/>
  <c r="G2037" i="3"/>
  <c r="F2037" i="3"/>
  <c r="E2037" i="3"/>
  <c r="D2037" i="3"/>
  <c r="C2037" i="3"/>
  <c r="N2036" i="3"/>
  <c r="M2036" i="3"/>
  <c r="L2036" i="3"/>
  <c r="K2036" i="3"/>
  <c r="J2036" i="3"/>
  <c r="I2036" i="3"/>
  <c r="H2036" i="3"/>
  <c r="G2036" i="3"/>
  <c r="F2036" i="3"/>
  <c r="E2036" i="3"/>
  <c r="D2036" i="3"/>
  <c r="C2036" i="3"/>
  <c r="M2035" i="3"/>
  <c r="K2035" i="3"/>
  <c r="J2035" i="3"/>
  <c r="I2035" i="3"/>
  <c r="H2035" i="3"/>
  <c r="F2035" i="3"/>
  <c r="E2035" i="3"/>
  <c r="D2035" i="3"/>
  <c r="C2035" i="3"/>
  <c r="N2034" i="3"/>
  <c r="L2034" i="3"/>
  <c r="K2034" i="3"/>
  <c r="J2034" i="3"/>
  <c r="I2034" i="3"/>
  <c r="H2034" i="3"/>
  <c r="G2034" i="3"/>
  <c r="F2034" i="3"/>
  <c r="E2034" i="3"/>
  <c r="D2034" i="3"/>
  <c r="C2034" i="3"/>
  <c r="M2033" i="3"/>
  <c r="L2033" i="3"/>
  <c r="K2033" i="3"/>
  <c r="J2033" i="3"/>
  <c r="I2033" i="3"/>
  <c r="H2033" i="3"/>
  <c r="G2033" i="3"/>
  <c r="F2033" i="3"/>
  <c r="E2033" i="3"/>
  <c r="D2033" i="3"/>
  <c r="C2033" i="3"/>
  <c r="N2032" i="3"/>
  <c r="L2032" i="3"/>
  <c r="K2032" i="3"/>
  <c r="J2032" i="3"/>
  <c r="I2032" i="3"/>
  <c r="H2032" i="3"/>
  <c r="G2032" i="3"/>
  <c r="F2032" i="3"/>
  <c r="E2032" i="3"/>
  <c r="D2032" i="3"/>
  <c r="C2032" i="3"/>
  <c r="N2031" i="3"/>
  <c r="L2031" i="3"/>
  <c r="K2031" i="3"/>
  <c r="J2031" i="3"/>
  <c r="I2031" i="3"/>
  <c r="H2031" i="3"/>
  <c r="G2031" i="3"/>
  <c r="F2031" i="3"/>
  <c r="E2031" i="3"/>
  <c r="D2031" i="3"/>
  <c r="C2031" i="3"/>
  <c r="M2030" i="3"/>
  <c r="K2030" i="3"/>
  <c r="J2030" i="3"/>
  <c r="I2030" i="3"/>
  <c r="H2030" i="3"/>
  <c r="F2030" i="3"/>
  <c r="E2030" i="3"/>
  <c r="D2030" i="3"/>
  <c r="C2030" i="3"/>
  <c r="N2029" i="3"/>
  <c r="M2029" i="3"/>
  <c r="L2029" i="3"/>
  <c r="K2029" i="3"/>
  <c r="J2029" i="3"/>
  <c r="I2029" i="3"/>
  <c r="H2029" i="3"/>
  <c r="G2029" i="3"/>
  <c r="F2029" i="3"/>
  <c r="E2029" i="3"/>
  <c r="D2029" i="3"/>
  <c r="C2029" i="3"/>
  <c r="N2028" i="3"/>
  <c r="M2028" i="3"/>
  <c r="L2028" i="3"/>
  <c r="K2028" i="3"/>
  <c r="J2028" i="3"/>
  <c r="I2028" i="3"/>
  <c r="H2028" i="3"/>
  <c r="G2028" i="3"/>
  <c r="F2028" i="3"/>
  <c r="E2028" i="3"/>
  <c r="D2028" i="3"/>
  <c r="C2028" i="3"/>
  <c r="N2027" i="3"/>
  <c r="M2027" i="3"/>
  <c r="L2027" i="3"/>
  <c r="K2027" i="3"/>
  <c r="J2027" i="3"/>
  <c r="I2027" i="3"/>
  <c r="H2027" i="3"/>
  <c r="G2027" i="3"/>
  <c r="F2027" i="3"/>
  <c r="E2027" i="3"/>
  <c r="D2027" i="3"/>
  <c r="C2027" i="3"/>
  <c r="N2026" i="3"/>
  <c r="M2026" i="3"/>
  <c r="L2026" i="3"/>
  <c r="K2026" i="3"/>
  <c r="J2026" i="3"/>
  <c r="I2026" i="3"/>
  <c r="H2026" i="3"/>
  <c r="G2026" i="3"/>
  <c r="F2026" i="3"/>
  <c r="E2026" i="3"/>
  <c r="D2026" i="3"/>
  <c r="C2026" i="3"/>
  <c r="N2025" i="3"/>
  <c r="M2025" i="3"/>
  <c r="L2025" i="3"/>
  <c r="K2025" i="3"/>
  <c r="J2025" i="3"/>
  <c r="I2025" i="3"/>
  <c r="H2025" i="3"/>
  <c r="G2025" i="3"/>
  <c r="F2025" i="3"/>
  <c r="E2025" i="3"/>
  <c r="D2025" i="3"/>
  <c r="C2025" i="3"/>
  <c r="M2024" i="3"/>
  <c r="L2024" i="3"/>
  <c r="K2024" i="3"/>
  <c r="J2024" i="3"/>
  <c r="I2024" i="3"/>
  <c r="H2024" i="3"/>
  <c r="G2024" i="3"/>
  <c r="F2024" i="3"/>
  <c r="E2024" i="3"/>
  <c r="D2024" i="3"/>
  <c r="C2024" i="3"/>
  <c r="M2023" i="3"/>
  <c r="K2023" i="3"/>
  <c r="J2023" i="3"/>
  <c r="I2023" i="3"/>
  <c r="H2023" i="3"/>
  <c r="F2023" i="3"/>
  <c r="E2023" i="3"/>
  <c r="D2023" i="3"/>
  <c r="C2023" i="3"/>
  <c r="M2022" i="3"/>
  <c r="L2022" i="3"/>
  <c r="K2022" i="3"/>
  <c r="J2022" i="3"/>
  <c r="I2022" i="3"/>
  <c r="H2022" i="3"/>
  <c r="G2022" i="3"/>
  <c r="F2022" i="3"/>
  <c r="E2022" i="3"/>
  <c r="D2022" i="3"/>
  <c r="C2022" i="3"/>
  <c r="N2021" i="3"/>
  <c r="L2021" i="3"/>
  <c r="K2021" i="3"/>
  <c r="J2021" i="3"/>
  <c r="I2021" i="3"/>
  <c r="H2021" i="3"/>
  <c r="G2021" i="3"/>
  <c r="F2021" i="3"/>
  <c r="E2021" i="3"/>
  <c r="D2021" i="3"/>
  <c r="C2021" i="3"/>
  <c r="M2020" i="3"/>
  <c r="L2020" i="3"/>
  <c r="K2020" i="3"/>
  <c r="J2020" i="3"/>
  <c r="I2020" i="3"/>
  <c r="H2020" i="3"/>
  <c r="G2020" i="3"/>
  <c r="F2020" i="3"/>
  <c r="E2020" i="3"/>
  <c r="D2020" i="3"/>
  <c r="C2020" i="3"/>
  <c r="M2019" i="3"/>
  <c r="L2019" i="3"/>
  <c r="K2019" i="3"/>
  <c r="J2019" i="3"/>
  <c r="I2019" i="3"/>
  <c r="H2019" i="3"/>
  <c r="G2019" i="3"/>
  <c r="F2019" i="3"/>
  <c r="E2019" i="3"/>
  <c r="D2019" i="3"/>
  <c r="C2019" i="3"/>
  <c r="M2018" i="3"/>
  <c r="L2018" i="3"/>
  <c r="K2018" i="3"/>
  <c r="J2018" i="3"/>
  <c r="I2018" i="3"/>
  <c r="H2018" i="3"/>
  <c r="G2018" i="3"/>
  <c r="F2018" i="3"/>
  <c r="E2018" i="3"/>
  <c r="D2018" i="3"/>
  <c r="C2018" i="3"/>
  <c r="N2017" i="3"/>
  <c r="L2017" i="3"/>
  <c r="K2017" i="3"/>
  <c r="J2017" i="3"/>
  <c r="I2017" i="3"/>
  <c r="H2017" i="3"/>
  <c r="G2017" i="3"/>
  <c r="F2017" i="3"/>
  <c r="E2017" i="3"/>
  <c r="D2017" i="3"/>
  <c r="C2017" i="3"/>
  <c r="N2016" i="3"/>
  <c r="M2016" i="3"/>
  <c r="L2016" i="3"/>
  <c r="K2016" i="3"/>
  <c r="J2016" i="3"/>
  <c r="I2016" i="3"/>
  <c r="H2016" i="3"/>
  <c r="G2016" i="3"/>
  <c r="F2016" i="3"/>
  <c r="E2016" i="3"/>
  <c r="D2016" i="3"/>
  <c r="C2016" i="3"/>
  <c r="M2015" i="3"/>
  <c r="L2015" i="3"/>
  <c r="K2015" i="3"/>
  <c r="J2015" i="3"/>
  <c r="I2015" i="3"/>
  <c r="H2015" i="3"/>
  <c r="G2015" i="3"/>
  <c r="F2015" i="3"/>
  <c r="E2015" i="3"/>
  <c r="D2015" i="3"/>
  <c r="C2015" i="3"/>
  <c r="M2014" i="3"/>
  <c r="L2014" i="3"/>
  <c r="K2014" i="3"/>
  <c r="J2014" i="3"/>
  <c r="I2014" i="3"/>
  <c r="H2014" i="3"/>
  <c r="G2014" i="3"/>
  <c r="F2014" i="3"/>
  <c r="E2014" i="3"/>
  <c r="D2014" i="3"/>
  <c r="C2014" i="3"/>
  <c r="N2013" i="3"/>
  <c r="K2013" i="3"/>
  <c r="J2013" i="3"/>
  <c r="I2013" i="3"/>
  <c r="H2013" i="3"/>
  <c r="F2013" i="3"/>
  <c r="E2013" i="3"/>
  <c r="D2013" i="3"/>
  <c r="C2013" i="3"/>
  <c r="M2012" i="3"/>
  <c r="L2012" i="3"/>
  <c r="K2012" i="3"/>
  <c r="J2012" i="3"/>
  <c r="I2012" i="3"/>
  <c r="H2012" i="3"/>
  <c r="G2012" i="3"/>
  <c r="F2012" i="3"/>
  <c r="E2012" i="3"/>
  <c r="D2012" i="3"/>
  <c r="C2012" i="3"/>
  <c r="M2011" i="3"/>
  <c r="L2011" i="3"/>
  <c r="K2011" i="3"/>
  <c r="J2011" i="3"/>
  <c r="I2011" i="3"/>
  <c r="H2011" i="3"/>
  <c r="G2011" i="3"/>
  <c r="F2011" i="3"/>
  <c r="E2011" i="3"/>
  <c r="D2011" i="3"/>
  <c r="C2011" i="3"/>
  <c r="M2010" i="3"/>
  <c r="L2010" i="3"/>
  <c r="K2010" i="3"/>
  <c r="J2010" i="3"/>
  <c r="I2010" i="3"/>
  <c r="H2010" i="3"/>
  <c r="G2010" i="3"/>
  <c r="F2010" i="3"/>
  <c r="E2010" i="3"/>
  <c r="D2010" i="3"/>
  <c r="C2010" i="3"/>
  <c r="N2009" i="3"/>
  <c r="K2009" i="3"/>
  <c r="J2009" i="3"/>
  <c r="I2009" i="3"/>
  <c r="H2009" i="3"/>
  <c r="F2009" i="3"/>
  <c r="E2009" i="3"/>
  <c r="D2009" i="3"/>
  <c r="C2009" i="3"/>
  <c r="N2008" i="3"/>
  <c r="M2008" i="3"/>
  <c r="K2008" i="3"/>
  <c r="J2008" i="3"/>
  <c r="I2008" i="3"/>
  <c r="H2008" i="3"/>
  <c r="F2008" i="3"/>
  <c r="E2008" i="3"/>
  <c r="D2008" i="3"/>
  <c r="C2008" i="3"/>
  <c r="N2007" i="3"/>
  <c r="M2007" i="3"/>
  <c r="K2007" i="3"/>
  <c r="J2007" i="3"/>
  <c r="I2007" i="3"/>
  <c r="H2007" i="3"/>
  <c r="F2007" i="3"/>
  <c r="E2007" i="3"/>
  <c r="D2007" i="3"/>
  <c r="C2007" i="3"/>
  <c r="N2006" i="3"/>
  <c r="K2006" i="3"/>
  <c r="J2006" i="3"/>
  <c r="I2006" i="3"/>
  <c r="H2006" i="3"/>
  <c r="F2006" i="3"/>
  <c r="E2006" i="3"/>
  <c r="D2006" i="3"/>
  <c r="C2006" i="3"/>
  <c r="N2005" i="3"/>
  <c r="M2005" i="3"/>
  <c r="L2005" i="3"/>
  <c r="K2005" i="3"/>
  <c r="J2005" i="3"/>
  <c r="I2005" i="3"/>
  <c r="H2005" i="3"/>
  <c r="G2005" i="3"/>
  <c r="F2005" i="3"/>
  <c r="E2005" i="3"/>
  <c r="D2005" i="3"/>
  <c r="C2005" i="3"/>
  <c r="M2004" i="3"/>
  <c r="L2004" i="3"/>
  <c r="K2004" i="3"/>
  <c r="J2004" i="3"/>
  <c r="I2004" i="3"/>
  <c r="H2004" i="3"/>
  <c r="G2004" i="3"/>
  <c r="F2004" i="3"/>
  <c r="E2004" i="3"/>
  <c r="D2004" i="3"/>
  <c r="C2004" i="3"/>
  <c r="N2003" i="3"/>
  <c r="K2003" i="3"/>
  <c r="J2003" i="3"/>
  <c r="I2003" i="3"/>
  <c r="H2003" i="3"/>
  <c r="F2003" i="3"/>
  <c r="E2003" i="3"/>
  <c r="D2003" i="3"/>
  <c r="C2003" i="3"/>
  <c r="M2002" i="3"/>
  <c r="K2002" i="3"/>
  <c r="J2002" i="3"/>
  <c r="I2002" i="3"/>
  <c r="H2002" i="3"/>
  <c r="F2002" i="3"/>
  <c r="E2002" i="3"/>
  <c r="D2002" i="3"/>
  <c r="C2002" i="3"/>
  <c r="N2001" i="3"/>
  <c r="L2001" i="3"/>
  <c r="K2001" i="3"/>
  <c r="J2001" i="3"/>
  <c r="I2001" i="3"/>
  <c r="H2001" i="3"/>
  <c r="G2001" i="3"/>
  <c r="F2001" i="3"/>
  <c r="E2001" i="3"/>
  <c r="D2001" i="3"/>
  <c r="C2001" i="3"/>
  <c r="M2000" i="3"/>
  <c r="L2000" i="3"/>
  <c r="K2000" i="3"/>
  <c r="J2000" i="3"/>
  <c r="I2000" i="3"/>
  <c r="H2000" i="3"/>
  <c r="G2000" i="3"/>
  <c r="F2000" i="3"/>
  <c r="E2000" i="3"/>
  <c r="D2000" i="3"/>
  <c r="C2000" i="3"/>
  <c r="M1999" i="3"/>
  <c r="K1999" i="3"/>
  <c r="J1999" i="3"/>
  <c r="I1999" i="3"/>
  <c r="H1999" i="3"/>
  <c r="F1999" i="3"/>
  <c r="E1999" i="3"/>
  <c r="D1999" i="3"/>
  <c r="C1999" i="3"/>
  <c r="N1998" i="3"/>
  <c r="M1998" i="3"/>
  <c r="K1998" i="3"/>
  <c r="J1998" i="3"/>
  <c r="I1998" i="3"/>
  <c r="H1998" i="3"/>
  <c r="F1998" i="3"/>
  <c r="E1998" i="3"/>
  <c r="D1998" i="3"/>
  <c r="C1998" i="3"/>
  <c r="M1997" i="3"/>
  <c r="L1997" i="3"/>
  <c r="K1997" i="3"/>
  <c r="J1997" i="3"/>
  <c r="I1997" i="3"/>
  <c r="H1997" i="3"/>
  <c r="G1997" i="3"/>
  <c r="F1997" i="3"/>
  <c r="E1997" i="3"/>
  <c r="D1997" i="3"/>
  <c r="C1997" i="3"/>
  <c r="N1996" i="3"/>
  <c r="M1996" i="3"/>
  <c r="L1996" i="3"/>
  <c r="K1996" i="3"/>
  <c r="J1996" i="3"/>
  <c r="I1996" i="3"/>
  <c r="H1996" i="3"/>
  <c r="G1996" i="3"/>
  <c r="F1996" i="3"/>
  <c r="E1996" i="3"/>
  <c r="D1996" i="3"/>
  <c r="C1996" i="3"/>
  <c r="M1995" i="3"/>
  <c r="L1995" i="3"/>
  <c r="K1995" i="3"/>
  <c r="J1995" i="3"/>
  <c r="I1995" i="3"/>
  <c r="H1995" i="3"/>
  <c r="G1995" i="3"/>
  <c r="F1995" i="3"/>
  <c r="E1995" i="3"/>
  <c r="D1995" i="3"/>
  <c r="C1995" i="3"/>
  <c r="N1994" i="3"/>
  <c r="L1994" i="3"/>
  <c r="K1994" i="3"/>
  <c r="J1994" i="3"/>
  <c r="I1994" i="3"/>
  <c r="H1994" i="3"/>
  <c r="G1994" i="3"/>
  <c r="F1994" i="3"/>
  <c r="E1994" i="3"/>
  <c r="D1994" i="3"/>
  <c r="C1994" i="3"/>
  <c r="N1993" i="3"/>
  <c r="K1993" i="3"/>
  <c r="J1993" i="3"/>
  <c r="I1993" i="3"/>
  <c r="H1993" i="3"/>
  <c r="F1993" i="3"/>
  <c r="E1993" i="3"/>
  <c r="D1993" i="3"/>
  <c r="C1993" i="3"/>
  <c r="M1992" i="3"/>
  <c r="L1992" i="3"/>
  <c r="K1992" i="3"/>
  <c r="J1992" i="3"/>
  <c r="I1992" i="3"/>
  <c r="H1992" i="3"/>
  <c r="G1992" i="3"/>
  <c r="F1992" i="3"/>
  <c r="E1992" i="3"/>
  <c r="D1992" i="3"/>
  <c r="C1992" i="3"/>
  <c r="N1991" i="3"/>
  <c r="M1991" i="3"/>
  <c r="L1991" i="3"/>
  <c r="K1991" i="3"/>
  <c r="J1991" i="3"/>
  <c r="I1991" i="3"/>
  <c r="H1991" i="3"/>
  <c r="G1991" i="3"/>
  <c r="F1991" i="3"/>
  <c r="E1991" i="3"/>
  <c r="D1991" i="3"/>
  <c r="C1991" i="3"/>
  <c r="M1990" i="3"/>
  <c r="L1990" i="3"/>
  <c r="K1990" i="3"/>
  <c r="J1990" i="3"/>
  <c r="I1990" i="3"/>
  <c r="H1990" i="3"/>
  <c r="G1990" i="3"/>
  <c r="F1990" i="3"/>
  <c r="E1990" i="3"/>
  <c r="D1990" i="3"/>
  <c r="C1990" i="3"/>
  <c r="M1989" i="3"/>
  <c r="L1989" i="3"/>
  <c r="K1989" i="3"/>
  <c r="J1989" i="3"/>
  <c r="I1989" i="3"/>
  <c r="H1989" i="3"/>
  <c r="G1989" i="3"/>
  <c r="F1989" i="3"/>
  <c r="E1989" i="3"/>
  <c r="D1989" i="3"/>
  <c r="C1989" i="3"/>
  <c r="N1988" i="3"/>
  <c r="M1988" i="3"/>
  <c r="K1988" i="3"/>
  <c r="J1988" i="3"/>
  <c r="I1988" i="3"/>
  <c r="H1988" i="3"/>
  <c r="F1988" i="3"/>
  <c r="E1988" i="3"/>
  <c r="D1988" i="3"/>
  <c r="C1988" i="3"/>
  <c r="N1987" i="3"/>
  <c r="M1987" i="3"/>
  <c r="K1987" i="3"/>
  <c r="J1987" i="3"/>
  <c r="I1987" i="3"/>
  <c r="H1987" i="3"/>
  <c r="F1987" i="3"/>
  <c r="E1987" i="3"/>
  <c r="D1987" i="3"/>
  <c r="C1987" i="3"/>
  <c r="M1986" i="3"/>
  <c r="K1986" i="3"/>
  <c r="J1986" i="3"/>
  <c r="I1986" i="3"/>
  <c r="H1986" i="3"/>
  <c r="F1986" i="3"/>
  <c r="E1986" i="3"/>
  <c r="D1986" i="3"/>
  <c r="C1986" i="3"/>
  <c r="M1985" i="3"/>
  <c r="L1985" i="3"/>
  <c r="K1985" i="3"/>
  <c r="J1985" i="3"/>
  <c r="I1985" i="3"/>
  <c r="H1985" i="3"/>
  <c r="G1985" i="3"/>
  <c r="F1985" i="3"/>
  <c r="E1985" i="3"/>
  <c r="D1985" i="3"/>
  <c r="C1985" i="3"/>
  <c r="M1984" i="3"/>
  <c r="L1984" i="3"/>
  <c r="K1984" i="3"/>
  <c r="J1984" i="3"/>
  <c r="I1984" i="3"/>
  <c r="H1984" i="3"/>
  <c r="G1984" i="3"/>
  <c r="F1984" i="3"/>
  <c r="E1984" i="3"/>
  <c r="D1984" i="3"/>
  <c r="C1984" i="3"/>
  <c r="M1983" i="3"/>
  <c r="L1983" i="3"/>
  <c r="K1983" i="3"/>
  <c r="J1983" i="3"/>
  <c r="I1983" i="3"/>
  <c r="H1983" i="3"/>
  <c r="G1983" i="3"/>
  <c r="F1983" i="3"/>
  <c r="E1983" i="3"/>
  <c r="D1983" i="3"/>
  <c r="C1983" i="3"/>
  <c r="N1982" i="3"/>
  <c r="L1982" i="3"/>
  <c r="K1982" i="3"/>
  <c r="J1982" i="3"/>
  <c r="I1982" i="3"/>
  <c r="H1982" i="3"/>
  <c r="G1982" i="3"/>
  <c r="F1982" i="3"/>
  <c r="E1982" i="3"/>
  <c r="D1982" i="3"/>
  <c r="C1982" i="3"/>
  <c r="M1981" i="3"/>
  <c r="L1981" i="3"/>
  <c r="K1981" i="3"/>
  <c r="J1981" i="3"/>
  <c r="I1981" i="3"/>
  <c r="H1981" i="3"/>
  <c r="G1981" i="3"/>
  <c r="F1981" i="3"/>
  <c r="E1981" i="3"/>
  <c r="D1981" i="3"/>
  <c r="C1981" i="3"/>
  <c r="N1980" i="3"/>
  <c r="M1980" i="3"/>
  <c r="L1980" i="3"/>
  <c r="K1980" i="3"/>
  <c r="J1980" i="3"/>
  <c r="I1980" i="3"/>
  <c r="H1980" i="3"/>
  <c r="G1980" i="3"/>
  <c r="F1980" i="3"/>
  <c r="E1980" i="3"/>
  <c r="D1980" i="3"/>
  <c r="C1980" i="3"/>
  <c r="M1979" i="3"/>
  <c r="L1979" i="3"/>
  <c r="K1979" i="3"/>
  <c r="J1979" i="3"/>
  <c r="I1979" i="3"/>
  <c r="H1979" i="3"/>
  <c r="G1979" i="3"/>
  <c r="F1979" i="3"/>
  <c r="E1979" i="3"/>
  <c r="D1979" i="3"/>
  <c r="C1979" i="3"/>
  <c r="N1978" i="3"/>
  <c r="M1978" i="3"/>
  <c r="L1978" i="3"/>
  <c r="K1978" i="3"/>
  <c r="J1978" i="3"/>
  <c r="I1978" i="3"/>
  <c r="H1978" i="3"/>
  <c r="G1978" i="3"/>
  <c r="F1978" i="3"/>
  <c r="E1978" i="3"/>
  <c r="D1978" i="3"/>
  <c r="C1978" i="3"/>
  <c r="M1977" i="3"/>
  <c r="L1977" i="3"/>
  <c r="K1977" i="3"/>
  <c r="J1977" i="3"/>
  <c r="I1977" i="3"/>
  <c r="H1977" i="3"/>
  <c r="G1977" i="3"/>
  <c r="F1977" i="3"/>
  <c r="E1977" i="3"/>
  <c r="D1977" i="3"/>
  <c r="C1977" i="3"/>
  <c r="M1976" i="3"/>
  <c r="L1976" i="3"/>
  <c r="K1976" i="3"/>
  <c r="J1976" i="3"/>
  <c r="I1976" i="3"/>
  <c r="H1976" i="3"/>
  <c r="G1976" i="3"/>
  <c r="F1976" i="3"/>
  <c r="E1976" i="3"/>
  <c r="D1976" i="3"/>
  <c r="C1976" i="3"/>
  <c r="M1975" i="3"/>
  <c r="L1975" i="3"/>
  <c r="K1975" i="3"/>
  <c r="J1975" i="3"/>
  <c r="I1975" i="3"/>
  <c r="H1975" i="3"/>
  <c r="G1975" i="3"/>
  <c r="F1975" i="3"/>
  <c r="E1975" i="3"/>
  <c r="D1975" i="3"/>
  <c r="C1975" i="3"/>
  <c r="N1974" i="3"/>
  <c r="L1974" i="3"/>
  <c r="K1974" i="3"/>
  <c r="J1974" i="3"/>
  <c r="I1974" i="3"/>
  <c r="H1974" i="3"/>
  <c r="G1974" i="3"/>
  <c r="F1974" i="3"/>
  <c r="E1974" i="3"/>
  <c r="D1974" i="3"/>
  <c r="C1974" i="3"/>
  <c r="L1973" i="3"/>
  <c r="K1973" i="3"/>
  <c r="J1973" i="3"/>
  <c r="I1973" i="3"/>
  <c r="H1973" i="3"/>
  <c r="G1973" i="3"/>
  <c r="F1973" i="3"/>
  <c r="E1973" i="3"/>
  <c r="D1973" i="3"/>
  <c r="C1973" i="3"/>
  <c r="M1972" i="3"/>
  <c r="L1972" i="3"/>
  <c r="K1972" i="3"/>
  <c r="J1972" i="3"/>
  <c r="I1972" i="3"/>
  <c r="H1972" i="3"/>
  <c r="G1972" i="3"/>
  <c r="F1972" i="3"/>
  <c r="E1972" i="3"/>
  <c r="D1972" i="3"/>
  <c r="C1972" i="3"/>
  <c r="M1971" i="3"/>
  <c r="L1971" i="3"/>
  <c r="K1971" i="3"/>
  <c r="J1971" i="3"/>
  <c r="I1971" i="3"/>
  <c r="H1971" i="3"/>
  <c r="G1971" i="3"/>
  <c r="F1971" i="3"/>
  <c r="E1971" i="3"/>
  <c r="D1971" i="3"/>
  <c r="C1971" i="3"/>
  <c r="M1970" i="3"/>
  <c r="L1970" i="3"/>
  <c r="K1970" i="3"/>
  <c r="J1970" i="3"/>
  <c r="I1970" i="3"/>
  <c r="H1970" i="3"/>
  <c r="G1970" i="3"/>
  <c r="F1970" i="3"/>
  <c r="E1970" i="3"/>
  <c r="D1970" i="3"/>
  <c r="C1970" i="3"/>
  <c r="N1969" i="3"/>
  <c r="M1969" i="3"/>
  <c r="L1969" i="3"/>
  <c r="K1969" i="3"/>
  <c r="J1969" i="3"/>
  <c r="I1969" i="3"/>
  <c r="H1969" i="3"/>
  <c r="G1969" i="3"/>
  <c r="F1969" i="3"/>
  <c r="E1969" i="3"/>
  <c r="D1969" i="3"/>
  <c r="C1969" i="3"/>
  <c r="M1968" i="3"/>
  <c r="L1968" i="3"/>
  <c r="K1968" i="3"/>
  <c r="J1968" i="3"/>
  <c r="I1968" i="3"/>
  <c r="H1968" i="3"/>
  <c r="G1968" i="3"/>
  <c r="F1968" i="3"/>
  <c r="E1968" i="3"/>
  <c r="D1968" i="3"/>
  <c r="C1968" i="3"/>
  <c r="N1967" i="3"/>
  <c r="L1967" i="3"/>
  <c r="K1967" i="3"/>
  <c r="J1967" i="3"/>
  <c r="I1967" i="3"/>
  <c r="H1967" i="3"/>
  <c r="G1967" i="3"/>
  <c r="F1967" i="3"/>
  <c r="E1967" i="3"/>
  <c r="D1967" i="3"/>
  <c r="C1967" i="3"/>
  <c r="N1966" i="3"/>
  <c r="M1966" i="3"/>
  <c r="L1966" i="3"/>
  <c r="K1966" i="3"/>
  <c r="J1966" i="3"/>
  <c r="I1966" i="3"/>
  <c r="H1966" i="3"/>
  <c r="G1966" i="3"/>
  <c r="F1966" i="3"/>
  <c r="E1966" i="3"/>
  <c r="D1966" i="3"/>
  <c r="C1966" i="3"/>
  <c r="L1965" i="3"/>
  <c r="K1965" i="3"/>
  <c r="J1965" i="3"/>
  <c r="I1965" i="3"/>
  <c r="H1965" i="3"/>
  <c r="G1965" i="3"/>
  <c r="F1965" i="3"/>
  <c r="E1965" i="3"/>
  <c r="D1965" i="3"/>
  <c r="C1965" i="3"/>
  <c r="N1964" i="3"/>
  <c r="L1964" i="3"/>
  <c r="K1964" i="3"/>
  <c r="J1964" i="3"/>
  <c r="I1964" i="3"/>
  <c r="H1964" i="3"/>
  <c r="G1964" i="3"/>
  <c r="F1964" i="3"/>
  <c r="E1964" i="3"/>
  <c r="D1964" i="3"/>
  <c r="C1964" i="3"/>
  <c r="N1963" i="3"/>
  <c r="K1963" i="3"/>
  <c r="J1963" i="3"/>
  <c r="I1963" i="3"/>
  <c r="H1963" i="3"/>
  <c r="E1963" i="3"/>
  <c r="D1963" i="3"/>
  <c r="C1963" i="3"/>
  <c r="N1962" i="3"/>
  <c r="L1962" i="3"/>
  <c r="K1962" i="3"/>
  <c r="J1962" i="3"/>
  <c r="I1962" i="3"/>
  <c r="H1962" i="3"/>
  <c r="G1962" i="3"/>
  <c r="F1962" i="3"/>
  <c r="E1962" i="3"/>
  <c r="D1962" i="3"/>
  <c r="C1962" i="3"/>
  <c r="N1961" i="3"/>
  <c r="M1961" i="3"/>
  <c r="K1961" i="3"/>
  <c r="J1961" i="3"/>
  <c r="I1961" i="3"/>
  <c r="H1961" i="3"/>
  <c r="F1961" i="3"/>
  <c r="E1961" i="3"/>
  <c r="D1961" i="3"/>
  <c r="C1961" i="3"/>
  <c r="M1960" i="3"/>
  <c r="L1960" i="3"/>
  <c r="K1960" i="3"/>
  <c r="J1960" i="3"/>
  <c r="I1960" i="3"/>
  <c r="H1960" i="3"/>
  <c r="G1960" i="3"/>
  <c r="F1960" i="3"/>
  <c r="E1960" i="3"/>
  <c r="D1960" i="3"/>
  <c r="C1960" i="3"/>
  <c r="M1959" i="3"/>
  <c r="L1959" i="3"/>
  <c r="K1959" i="3"/>
  <c r="J1959" i="3"/>
  <c r="I1959" i="3"/>
  <c r="H1959" i="3"/>
  <c r="G1959" i="3"/>
  <c r="F1959" i="3"/>
  <c r="E1959" i="3"/>
  <c r="D1959" i="3"/>
  <c r="C1959" i="3"/>
  <c r="N1958" i="3"/>
  <c r="M1958" i="3"/>
  <c r="L1958" i="3"/>
  <c r="K1958" i="3"/>
  <c r="J1958" i="3"/>
  <c r="I1958" i="3"/>
  <c r="H1958" i="3"/>
  <c r="G1958" i="3"/>
  <c r="F1958" i="3"/>
  <c r="E1958" i="3"/>
  <c r="D1958" i="3"/>
  <c r="C1958" i="3"/>
  <c r="M1957" i="3"/>
  <c r="L1957" i="3"/>
  <c r="K1957" i="3"/>
  <c r="J1957" i="3"/>
  <c r="I1957" i="3"/>
  <c r="H1957" i="3"/>
  <c r="G1957" i="3"/>
  <c r="F1957" i="3"/>
  <c r="E1957" i="3"/>
  <c r="D1957" i="3"/>
  <c r="C1957" i="3"/>
  <c r="N1956" i="3"/>
  <c r="M1956" i="3"/>
  <c r="L1956" i="3"/>
  <c r="K1956" i="3"/>
  <c r="J1956" i="3"/>
  <c r="I1956" i="3"/>
  <c r="H1956" i="3"/>
  <c r="G1956" i="3"/>
  <c r="F1956" i="3"/>
  <c r="E1956" i="3"/>
  <c r="D1956" i="3"/>
  <c r="C1956" i="3"/>
  <c r="M1955" i="3"/>
  <c r="L1955" i="3"/>
  <c r="K1955" i="3"/>
  <c r="J1955" i="3"/>
  <c r="I1955" i="3"/>
  <c r="H1955" i="3"/>
  <c r="G1955" i="3"/>
  <c r="F1955" i="3"/>
  <c r="E1955" i="3"/>
  <c r="D1955" i="3"/>
  <c r="C1955" i="3"/>
  <c r="M1954" i="3"/>
  <c r="L1954" i="3"/>
  <c r="K1954" i="3"/>
  <c r="J1954" i="3"/>
  <c r="I1954" i="3"/>
  <c r="H1954" i="3"/>
  <c r="G1954" i="3"/>
  <c r="F1954" i="3"/>
  <c r="E1954" i="3"/>
  <c r="D1954" i="3"/>
  <c r="C1954" i="3"/>
  <c r="N1953" i="3"/>
  <c r="M1953" i="3"/>
  <c r="L1953" i="3"/>
  <c r="K1953" i="3"/>
  <c r="J1953" i="3"/>
  <c r="I1953" i="3"/>
  <c r="H1953" i="3"/>
  <c r="G1953" i="3"/>
  <c r="F1953" i="3"/>
  <c r="E1953" i="3"/>
  <c r="D1953" i="3"/>
  <c r="C1953" i="3"/>
  <c r="M1952" i="3"/>
  <c r="L1952" i="3"/>
  <c r="K1952" i="3"/>
  <c r="J1952" i="3"/>
  <c r="I1952" i="3"/>
  <c r="H1952" i="3"/>
  <c r="G1952" i="3"/>
  <c r="F1952" i="3"/>
  <c r="E1952" i="3"/>
  <c r="D1952" i="3"/>
  <c r="C1952" i="3"/>
  <c r="N1951" i="3"/>
  <c r="M1951" i="3"/>
  <c r="L1951" i="3"/>
  <c r="K1951" i="3"/>
  <c r="J1951" i="3"/>
  <c r="I1951" i="3"/>
  <c r="H1951" i="3"/>
  <c r="G1951" i="3"/>
  <c r="F1951" i="3"/>
  <c r="E1951" i="3"/>
  <c r="D1951" i="3"/>
  <c r="C1951" i="3"/>
  <c r="M1950" i="3"/>
  <c r="L1950" i="3"/>
  <c r="K1950" i="3"/>
  <c r="J1950" i="3"/>
  <c r="I1950" i="3"/>
  <c r="H1950" i="3"/>
  <c r="G1950" i="3"/>
  <c r="F1950" i="3"/>
  <c r="E1950" i="3"/>
  <c r="D1950" i="3"/>
  <c r="C1950" i="3"/>
  <c r="N1949" i="3"/>
  <c r="M1949" i="3"/>
  <c r="L1949" i="3"/>
  <c r="K1949" i="3"/>
  <c r="J1949" i="3"/>
  <c r="I1949" i="3"/>
  <c r="H1949" i="3"/>
  <c r="G1949" i="3"/>
  <c r="F1949" i="3"/>
  <c r="E1949" i="3"/>
  <c r="D1949" i="3"/>
  <c r="C1949" i="3"/>
  <c r="M1948" i="3"/>
  <c r="L1948" i="3"/>
  <c r="K1948" i="3"/>
  <c r="J1948" i="3"/>
  <c r="I1948" i="3"/>
  <c r="H1948" i="3"/>
  <c r="G1948" i="3"/>
  <c r="F1948" i="3"/>
  <c r="E1948" i="3"/>
  <c r="D1948" i="3"/>
  <c r="C1948" i="3"/>
  <c r="M1947" i="3"/>
  <c r="L1947" i="3"/>
  <c r="K1947" i="3"/>
  <c r="J1947" i="3"/>
  <c r="I1947" i="3"/>
  <c r="H1947" i="3"/>
  <c r="G1947" i="3"/>
  <c r="F1947" i="3"/>
  <c r="E1947" i="3"/>
  <c r="D1947" i="3"/>
  <c r="C1947" i="3"/>
  <c r="M1946" i="3"/>
  <c r="L1946" i="3"/>
  <c r="K1946" i="3"/>
  <c r="J1946" i="3"/>
  <c r="I1946" i="3"/>
  <c r="H1946" i="3"/>
  <c r="G1946" i="3"/>
  <c r="F1946" i="3"/>
  <c r="E1946" i="3"/>
  <c r="D1946" i="3"/>
  <c r="C1946" i="3"/>
  <c r="M1945" i="3"/>
  <c r="L1945" i="3"/>
  <c r="K1945" i="3"/>
  <c r="J1945" i="3"/>
  <c r="I1945" i="3"/>
  <c r="H1945" i="3"/>
  <c r="G1945" i="3"/>
  <c r="F1945" i="3"/>
  <c r="E1945" i="3"/>
  <c r="D1945" i="3"/>
  <c r="C1945" i="3"/>
  <c r="M1944" i="3"/>
  <c r="L1944" i="3"/>
  <c r="K1944" i="3"/>
  <c r="J1944" i="3"/>
  <c r="I1944" i="3"/>
  <c r="H1944" i="3"/>
  <c r="G1944" i="3"/>
  <c r="F1944" i="3"/>
  <c r="E1944" i="3"/>
  <c r="D1944" i="3"/>
  <c r="C1944" i="3"/>
  <c r="M1943" i="3"/>
  <c r="L1943" i="3"/>
  <c r="K1943" i="3"/>
  <c r="J1943" i="3"/>
  <c r="I1943" i="3"/>
  <c r="H1943" i="3"/>
  <c r="G1943" i="3"/>
  <c r="F1943" i="3"/>
  <c r="E1943" i="3"/>
  <c r="D1943" i="3"/>
  <c r="C1943" i="3"/>
  <c r="M1942" i="3"/>
  <c r="L1942" i="3"/>
  <c r="K1942" i="3"/>
  <c r="J1942" i="3"/>
  <c r="I1942" i="3"/>
  <c r="H1942" i="3"/>
  <c r="G1942" i="3"/>
  <c r="F1942" i="3"/>
  <c r="E1942" i="3"/>
  <c r="D1942" i="3"/>
  <c r="C1942" i="3"/>
  <c r="M1941" i="3"/>
  <c r="L1941" i="3"/>
  <c r="K1941" i="3"/>
  <c r="J1941" i="3"/>
  <c r="I1941" i="3"/>
  <c r="H1941" i="3"/>
  <c r="G1941" i="3"/>
  <c r="F1941" i="3"/>
  <c r="E1941" i="3"/>
  <c r="D1941" i="3"/>
  <c r="C1941" i="3"/>
  <c r="M1940" i="3"/>
  <c r="L1940" i="3"/>
  <c r="K1940" i="3"/>
  <c r="J1940" i="3"/>
  <c r="I1940" i="3"/>
  <c r="H1940" i="3"/>
  <c r="G1940" i="3"/>
  <c r="F1940" i="3"/>
  <c r="E1940" i="3"/>
  <c r="D1940" i="3"/>
  <c r="C1940" i="3"/>
  <c r="M1939" i="3"/>
  <c r="L1939" i="3"/>
  <c r="K1939" i="3"/>
  <c r="J1939" i="3"/>
  <c r="I1939" i="3"/>
  <c r="H1939" i="3"/>
  <c r="G1939" i="3"/>
  <c r="F1939" i="3"/>
  <c r="E1939" i="3"/>
  <c r="D1939" i="3"/>
  <c r="C1939" i="3"/>
  <c r="M1938" i="3"/>
  <c r="L1938" i="3"/>
  <c r="K1938" i="3"/>
  <c r="J1938" i="3"/>
  <c r="I1938" i="3"/>
  <c r="H1938" i="3"/>
  <c r="G1938" i="3"/>
  <c r="F1938" i="3"/>
  <c r="E1938" i="3"/>
  <c r="D1938" i="3"/>
  <c r="C1938" i="3"/>
  <c r="N1937" i="3"/>
  <c r="M1937" i="3"/>
  <c r="L1937" i="3"/>
  <c r="K1937" i="3"/>
  <c r="J1937" i="3"/>
  <c r="I1937" i="3"/>
  <c r="H1937" i="3"/>
  <c r="G1937" i="3"/>
  <c r="F1937" i="3"/>
  <c r="E1937" i="3"/>
  <c r="D1937" i="3"/>
  <c r="C1937" i="3"/>
  <c r="M1936" i="3"/>
  <c r="L1936" i="3"/>
  <c r="K1936" i="3"/>
  <c r="J1936" i="3"/>
  <c r="I1936" i="3"/>
  <c r="H1936" i="3"/>
  <c r="G1936" i="3"/>
  <c r="F1936" i="3"/>
  <c r="E1936" i="3"/>
  <c r="D1936" i="3"/>
  <c r="C1936" i="3"/>
  <c r="N1935" i="3"/>
  <c r="M1935" i="3"/>
  <c r="L1935" i="3"/>
  <c r="K1935" i="3"/>
  <c r="J1935" i="3"/>
  <c r="I1935" i="3"/>
  <c r="H1935" i="3"/>
  <c r="G1935" i="3"/>
  <c r="F1935" i="3"/>
  <c r="E1935" i="3"/>
  <c r="D1935" i="3"/>
  <c r="C1935" i="3"/>
  <c r="N1934" i="3"/>
  <c r="M1934" i="3"/>
  <c r="L1934" i="3"/>
  <c r="K1934" i="3"/>
  <c r="J1934" i="3"/>
  <c r="I1934" i="3"/>
  <c r="H1934" i="3"/>
  <c r="G1934" i="3"/>
  <c r="F1934" i="3"/>
  <c r="E1934" i="3"/>
  <c r="D1934" i="3"/>
  <c r="C1934" i="3"/>
  <c r="M1933" i="3"/>
  <c r="L1933" i="3"/>
  <c r="K1933" i="3"/>
  <c r="J1933" i="3"/>
  <c r="I1933" i="3"/>
  <c r="H1933" i="3"/>
  <c r="G1933" i="3"/>
  <c r="F1933" i="3"/>
  <c r="E1933" i="3"/>
  <c r="D1933" i="3"/>
  <c r="C1933" i="3"/>
  <c r="N1932" i="3"/>
  <c r="M1932" i="3"/>
  <c r="L1932" i="3"/>
  <c r="K1932" i="3"/>
  <c r="J1932" i="3"/>
  <c r="I1932" i="3"/>
  <c r="H1932" i="3"/>
  <c r="G1932" i="3"/>
  <c r="F1932" i="3"/>
  <c r="E1932" i="3"/>
  <c r="D1932" i="3"/>
  <c r="C1932" i="3"/>
  <c r="N1931" i="3"/>
  <c r="M1931" i="3"/>
  <c r="L1931" i="3"/>
  <c r="K1931" i="3"/>
  <c r="J1931" i="3"/>
  <c r="I1931" i="3"/>
  <c r="H1931" i="3"/>
  <c r="G1931" i="3"/>
  <c r="F1931" i="3"/>
  <c r="E1931" i="3"/>
  <c r="D1931" i="3"/>
  <c r="C1931" i="3"/>
  <c r="M1930" i="3"/>
  <c r="L1930" i="3"/>
  <c r="K1930" i="3"/>
  <c r="J1930" i="3"/>
  <c r="I1930" i="3"/>
  <c r="H1930" i="3"/>
  <c r="G1930" i="3"/>
  <c r="F1930" i="3"/>
  <c r="E1930" i="3"/>
  <c r="D1930" i="3"/>
  <c r="C1930" i="3"/>
  <c r="N1929" i="3"/>
  <c r="M1929" i="3"/>
  <c r="L1929" i="3"/>
  <c r="K1929" i="3"/>
  <c r="J1929" i="3"/>
  <c r="I1929" i="3"/>
  <c r="H1929" i="3"/>
  <c r="G1929" i="3"/>
  <c r="F1929" i="3"/>
  <c r="E1929" i="3"/>
  <c r="D1929" i="3"/>
  <c r="C1929" i="3"/>
  <c r="M1928" i="3"/>
  <c r="K1928" i="3"/>
  <c r="J1928" i="3"/>
  <c r="I1928" i="3"/>
  <c r="H1928" i="3"/>
  <c r="F1928" i="3"/>
  <c r="E1928" i="3"/>
  <c r="D1928" i="3"/>
  <c r="C1928" i="3"/>
  <c r="M1927" i="3"/>
  <c r="L1927" i="3"/>
  <c r="K1927" i="3"/>
  <c r="J1927" i="3"/>
  <c r="I1927" i="3"/>
  <c r="H1927" i="3"/>
  <c r="G1927" i="3"/>
  <c r="F1927" i="3"/>
  <c r="E1927" i="3"/>
  <c r="D1927" i="3"/>
  <c r="C1927" i="3"/>
  <c r="M1926" i="3"/>
  <c r="L1926" i="3"/>
  <c r="K1926" i="3"/>
  <c r="J1926" i="3"/>
  <c r="I1926" i="3"/>
  <c r="H1926" i="3"/>
  <c r="G1926" i="3"/>
  <c r="F1926" i="3"/>
  <c r="E1926" i="3"/>
  <c r="D1926" i="3"/>
  <c r="C1926" i="3"/>
  <c r="N1925" i="3"/>
  <c r="L1925" i="3"/>
  <c r="K1925" i="3"/>
  <c r="J1925" i="3"/>
  <c r="I1925" i="3"/>
  <c r="H1925" i="3"/>
  <c r="G1925" i="3"/>
  <c r="F1925" i="3"/>
  <c r="E1925" i="3"/>
  <c r="D1925" i="3"/>
  <c r="C1925" i="3"/>
  <c r="N1924" i="3"/>
  <c r="L1924" i="3"/>
  <c r="K1924" i="3"/>
  <c r="J1924" i="3"/>
  <c r="I1924" i="3"/>
  <c r="H1924" i="3"/>
  <c r="G1924" i="3"/>
  <c r="F1924" i="3"/>
  <c r="E1924" i="3"/>
  <c r="D1924" i="3"/>
  <c r="C1924" i="3"/>
  <c r="N1923" i="3"/>
  <c r="K1923" i="3"/>
  <c r="J1923" i="3"/>
  <c r="I1923" i="3"/>
  <c r="H1923" i="3"/>
  <c r="F1923" i="3"/>
  <c r="E1923" i="3"/>
  <c r="D1923" i="3"/>
  <c r="C1923" i="3"/>
  <c r="N1922" i="3"/>
  <c r="K1922" i="3"/>
  <c r="J1922" i="3"/>
  <c r="I1922" i="3"/>
  <c r="H1922" i="3"/>
  <c r="F1922" i="3"/>
  <c r="E1922" i="3"/>
  <c r="D1922" i="3"/>
  <c r="C1922" i="3"/>
  <c r="N1921" i="3"/>
  <c r="L1921" i="3"/>
  <c r="K1921" i="3"/>
  <c r="J1921" i="3"/>
  <c r="I1921" i="3"/>
  <c r="H1921" i="3"/>
  <c r="G1921" i="3"/>
  <c r="F1921" i="3"/>
  <c r="E1921" i="3"/>
  <c r="D1921" i="3"/>
  <c r="C1921" i="3"/>
  <c r="M1920" i="3"/>
  <c r="L1920" i="3"/>
  <c r="K1920" i="3"/>
  <c r="J1920" i="3"/>
  <c r="I1920" i="3"/>
  <c r="H1920" i="3"/>
  <c r="G1920" i="3"/>
  <c r="F1920" i="3"/>
  <c r="E1920" i="3"/>
  <c r="D1920" i="3"/>
  <c r="C1920" i="3"/>
  <c r="M1919" i="3"/>
  <c r="L1919" i="3"/>
  <c r="K1919" i="3"/>
  <c r="J1919" i="3"/>
  <c r="I1919" i="3"/>
  <c r="H1919" i="3"/>
  <c r="G1919" i="3"/>
  <c r="F1919" i="3"/>
  <c r="E1919" i="3"/>
  <c r="D1919" i="3"/>
  <c r="C1919" i="3"/>
  <c r="M1918" i="3"/>
  <c r="L1918" i="3"/>
  <c r="K1918" i="3"/>
  <c r="J1918" i="3"/>
  <c r="I1918" i="3"/>
  <c r="H1918" i="3"/>
  <c r="G1918" i="3"/>
  <c r="F1918" i="3"/>
  <c r="E1918" i="3"/>
  <c r="D1918" i="3"/>
  <c r="C1918" i="3"/>
  <c r="N1917" i="3"/>
  <c r="L1917" i="3"/>
  <c r="K1917" i="3"/>
  <c r="J1917" i="3"/>
  <c r="I1917" i="3"/>
  <c r="H1917" i="3"/>
  <c r="G1917" i="3"/>
  <c r="F1917" i="3"/>
  <c r="E1917" i="3"/>
  <c r="D1917" i="3"/>
  <c r="C1917" i="3"/>
  <c r="M1916" i="3"/>
  <c r="L1916" i="3"/>
  <c r="K1916" i="3"/>
  <c r="J1916" i="3"/>
  <c r="I1916" i="3"/>
  <c r="H1916" i="3"/>
  <c r="G1916" i="3"/>
  <c r="F1916" i="3"/>
  <c r="E1916" i="3"/>
  <c r="D1916" i="3"/>
  <c r="C1916" i="3"/>
  <c r="N1915" i="3"/>
  <c r="L1915" i="3"/>
  <c r="K1915" i="3"/>
  <c r="J1915" i="3"/>
  <c r="I1915" i="3"/>
  <c r="H1915" i="3"/>
  <c r="G1915" i="3"/>
  <c r="F1915" i="3"/>
  <c r="E1915" i="3"/>
  <c r="D1915" i="3"/>
  <c r="C1915" i="3"/>
  <c r="M1914" i="3"/>
  <c r="L1914" i="3"/>
  <c r="K1914" i="3"/>
  <c r="J1914" i="3"/>
  <c r="I1914" i="3"/>
  <c r="H1914" i="3"/>
  <c r="G1914" i="3"/>
  <c r="F1914" i="3"/>
  <c r="E1914" i="3"/>
  <c r="D1914" i="3"/>
  <c r="C1914" i="3"/>
  <c r="M1913" i="3"/>
  <c r="L1913" i="3"/>
  <c r="K1913" i="3"/>
  <c r="J1913" i="3"/>
  <c r="I1913" i="3"/>
  <c r="H1913" i="3"/>
  <c r="G1913" i="3"/>
  <c r="F1913" i="3"/>
  <c r="E1913" i="3"/>
  <c r="D1913" i="3"/>
  <c r="C1913" i="3"/>
  <c r="N1912" i="3"/>
  <c r="M1912" i="3"/>
  <c r="K1912" i="3"/>
  <c r="J1912" i="3"/>
  <c r="I1912" i="3"/>
  <c r="H1912" i="3"/>
  <c r="F1912" i="3"/>
  <c r="E1912" i="3"/>
  <c r="D1912" i="3"/>
  <c r="C1912" i="3"/>
  <c r="N1911" i="3"/>
  <c r="M1911" i="3"/>
  <c r="L1911" i="3"/>
  <c r="K1911" i="3"/>
  <c r="J1911" i="3"/>
  <c r="I1911" i="3"/>
  <c r="H1911" i="3"/>
  <c r="G1911" i="3"/>
  <c r="F1911" i="3"/>
  <c r="E1911" i="3"/>
  <c r="D1911" i="3"/>
  <c r="C1911" i="3"/>
  <c r="M1910" i="3"/>
  <c r="L1910" i="3"/>
  <c r="K1910" i="3"/>
  <c r="J1910" i="3"/>
  <c r="I1910" i="3"/>
  <c r="H1910" i="3"/>
  <c r="G1910" i="3"/>
  <c r="F1910" i="3"/>
  <c r="E1910" i="3"/>
  <c r="D1910" i="3"/>
  <c r="C1910" i="3"/>
  <c r="N1909" i="3"/>
  <c r="K1909" i="3"/>
  <c r="J1909" i="3"/>
  <c r="I1909" i="3"/>
  <c r="H1909" i="3"/>
  <c r="F1909" i="3"/>
  <c r="E1909" i="3"/>
  <c r="D1909" i="3"/>
  <c r="C1909" i="3"/>
  <c r="M1908" i="3"/>
  <c r="L1908" i="3"/>
  <c r="K1908" i="3"/>
  <c r="J1908" i="3"/>
  <c r="I1908" i="3"/>
  <c r="H1908" i="3"/>
  <c r="G1908" i="3"/>
  <c r="F1908" i="3"/>
  <c r="E1908" i="3"/>
  <c r="D1908" i="3"/>
  <c r="C1908" i="3"/>
  <c r="M1907" i="3"/>
  <c r="L1907" i="3"/>
  <c r="K1907" i="3"/>
  <c r="J1907" i="3"/>
  <c r="I1907" i="3"/>
  <c r="H1907" i="3"/>
  <c r="G1907" i="3"/>
  <c r="F1907" i="3"/>
  <c r="E1907" i="3"/>
  <c r="D1907" i="3"/>
  <c r="C1907" i="3"/>
  <c r="M1906" i="3"/>
  <c r="L1906" i="3"/>
  <c r="K1906" i="3"/>
  <c r="J1906" i="3"/>
  <c r="I1906" i="3"/>
  <c r="H1906" i="3"/>
  <c r="G1906" i="3"/>
  <c r="F1906" i="3"/>
  <c r="E1906" i="3"/>
  <c r="D1906" i="3"/>
  <c r="C1906" i="3"/>
  <c r="N1905" i="3"/>
  <c r="L1905" i="3"/>
  <c r="K1905" i="3"/>
  <c r="J1905" i="3"/>
  <c r="I1905" i="3"/>
  <c r="H1905" i="3"/>
  <c r="G1905" i="3"/>
  <c r="F1905" i="3"/>
  <c r="E1905" i="3"/>
  <c r="D1905" i="3"/>
  <c r="C1905" i="3"/>
  <c r="M1904" i="3"/>
  <c r="L1904" i="3"/>
  <c r="K1904" i="3"/>
  <c r="J1904" i="3"/>
  <c r="I1904" i="3"/>
  <c r="H1904" i="3"/>
  <c r="G1904" i="3"/>
  <c r="F1904" i="3"/>
  <c r="E1904" i="3"/>
  <c r="D1904" i="3"/>
  <c r="C1904" i="3"/>
  <c r="N1903" i="3"/>
  <c r="L1903" i="3"/>
  <c r="K1903" i="3"/>
  <c r="J1903" i="3"/>
  <c r="I1903" i="3"/>
  <c r="H1903" i="3"/>
  <c r="G1903" i="3"/>
  <c r="F1903" i="3"/>
  <c r="E1903" i="3"/>
  <c r="D1903" i="3"/>
  <c r="C1903" i="3"/>
  <c r="M1902" i="3"/>
  <c r="L1902" i="3"/>
  <c r="K1902" i="3"/>
  <c r="J1902" i="3"/>
  <c r="I1902" i="3"/>
  <c r="H1902" i="3"/>
  <c r="G1902" i="3"/>
  <c r="F1902" i="3"/>
  <c r="E1902" i="3"/>
  <c r="D1902" i="3"/>
  <c r="C1902" i="3"/>
  <c r="N1901" i="3"/>
  <c r="M1901" i="3"/>
  <c r="K1901" i="3"/>
  <c r="J1901" i="3"/>
  <c r="I1901" i="3"/>
  <c r="H1901" i="3"/>
  <c r="F1901" i="3"/>
  <c r="E1901" i="3"/>
  <c r="D1901" i="3"/>
  <c r="C1901" i="3"/>
  <c r="M1900" i="3"/>
  <c r="L1900" i="3"/>
  <c r="K1900" i="3"/>
  <c r="J1900" i="3"/>
  <c r="I1900" i="3"/>
  <c r="H1900" i="3"/>
  <c r="G1900" i="3"/>
  <c r="F1900" i="3"/>
  <c r="E1900" i="3"/>
  <c r="D1900" i="3"/>
  <c r="C1900" i="3"/>
  <c r="N1899" i="3"/>
  <c r="L1899" i="3"/>
  <c r="K1899" i="3"/>
  <c r="J1899" i="3"/>
  <c r="I1899" i="3"/>
  <c r="H1899" i="3"/>
  <c r="G1899" i="3"/>
  <c r="F1899" i="3"/>
  <c r="E1899" i="3"/>
  <c r="D1899" i="3"/>
  <c r="C1899" i="3"/>
  <c r="N1898" i="3"/>
  <c r="K1898" i="3"/>
  <c r="J1898" i="3"/>
  <c r="I1898" i="3"/>
  <c r="H1898" i="3"/>
  <c r="F1898" i="3"/>
  <c r="E1898" i="3"/>
  <c r="D1898" i="3"/>
  <c r="C1898" i="3"/>
  <c r="L1897" i="3"/>
  <c r="K1897" i="3"/>
  <c r="J1897" i="3"/>
  <c r="I1897" i="3"/>
  <c r="H1897" i="3"/>
  <c r="G1897" i="3"/>
  <c r="F1897" i="3"/>
  <c r="E1897" i="3"/>
  <c r="D1897" i="3"/>
  <c r="C1897" i="3"/>
  <c r="M1896" i="3"/>
  <c r="L1896" i="3"/>
  <c r="K1896" i="3"/>
  <c r="J1896" i="3"/>
  <c r="I1896" i="3"/>
  <c r="H1896" i="3"/>
  <c r="G1896" i="3"/>
  <c r="F1896" i="3"/>
  <c r="E1896" i="3"/>
  <c r="D1896" i="3"/>
  <c r="C1896" i="3"/>
  <c r="L1895" i="3"/>
  <c r="K1895" i="3"/>
  <c r="J1895" i="3"/>
  <c r="I1895" i="3"/>
  <c r="H1895" i="3"/>
  <c r="G1895" i="3"/>
  <c r="F1895" i="3"/>
  <c r="E1895" i="3"/>
  <c r="D1895" i="3"/>
  <c r="C1895" i="3"/>
  <c r="M1894" i="3"/>
  <c r="L1894" i="3"/>
  <c r="K1894" i="3"/>
  <c r="J1894" i="3"/>
  <c r="I1894" i="3"/>
  <c r="H1894" i="3"/>
  <c r="G1894" i="3"/>
  <c r="F1894" i="3"/>
  <c r="E1894" i="3"/>
  <c r="D1894" i="3"/>
  <c r="C1894" i="3"/>
  <c r="M1893" i="3"/>
  <c r="L1893" i="3"/>
  <c r="K1893" i="3"/>
  <c r="J1893" i="3"/>
  <c r="I1893" i="3"/>
  <c r="H1893" i="3"/>
  <c r="G1893" i="3"/>
  <c r="F1893" i="3"/>
  <c r="E1893" i="3"/>
  <c r="D1893" i="3"/>
  <c r="C1893" i="3"/>
  <c r="M1892" i="3"/>
  <c r="L1892" i="3"/>
  <c r="K1892" i="3"/>
  <c r="J1892" i="3"/>
  <c r="I1892" i="3"/>
  <c r="H1892" i="3"/>
  <c r="G1892" i="3"/>
  <c r="F1892" i="3"/>
  <c r="E1892" i="3"/>
  <c r="D1892" i="3"/>
  <c r="C1892" i="3"/>
  <c r="M1891" i="3"/>
  <c r="L1891" i="3"/>
  <c r="K1891" i="3"/>
  <c r="J1891" i="3"/>
  <c r="I1891" i="3"/>
  <c r="H1891" i="3"/>
  <c r="G1891" i="3"/>
  <c r="F1891" i="3"/>
  <c r="E1891" i="3"/>
  <c r="D1891" i="3"/>
  <c r="C1891" i="3"/>
  <c r="N1890" i="3"/>
  <c r="K1890" i="3"/>
  <c r="J1890" i="3"/>
  <c r="I1890" i="3"/>
  <c r="H1890" i="3"/>
  <c r="F1890" i="3"/>
  <c r="E1890" i="3"/>
  <c r="D1890" i="3"/>
  <c r="C1890" i="3"/>
  <c r="N1889" i="3"/>
  <c r="M1889" i="3"/>
  <c r="L1889" i="3"/>
  <c r="K1889" i="3"/>
  <c r="J1889" i="3"/>
  <c r="I1889" i="3"/>
  <c r="H1889" i="3"/>
  <c r="G1889" i="3"/>
  <c r="F1889" i="3"/>
  <c r="E1889" i="3"/>
  <c r="D1889" i="3"/>
  <c r="C1889" i="3"/>
  <c r="N1888" i="3"/>
  <c r="M1888" i="3"/>
  <c r="L1888" i="3"/>
  <c r="K1888" i="3"/>
  <c r="J1888" i="3"/>
  <c r="I1888" i="3"/>
  <c r="H1888" i="3"/>
  <c r="G1888" i="3"/>
  <c r="F1888" i="3"/>
  <c r="E1888" i="3"/>
  <c r="D1888" i="3"/>
  <c r="C1888" i="3"/>
  <c r="N1887" i="3"/>
  <c r="L1887" i="3"/>
  <c r="K1887" i="3"/>
  <c r="J1887" i="3"/>
  <c r="I1887" i="3"/>
  <c r="H1887" i="3"/>
  <c r="G1887" i="3"/>
  <c r="F1887" i="3"/>
  <c r="E1887" i="3"/>
  <c r="D1887" i="3"/>
  <c r="C1887" i="3"/>
  <c r="N1886" i="3"/>
  <c r="M1886" i="3"/>
  <c r="L1886" i="3"/>
  <c r="K1886" i="3"/>
  <c r="J1886" i="3"/>
  <c r="I1886" i="3"/>
  <c r="H1886" i="3"/>
  <c r="G1886" i="3"/>
  <c r="F1886" i="3"/>
  <c r="E1886" i="3"/>
  <c r="D1886" i="3"/>
  <c r="C1886" i="3"/>
  <c r="N1885" i="3"/>
  <c r="L1885" i="3"/>
  <c r="K1885" i="3"/>
  <c r="J1885" i="3"/>
  <c r="I1885" i="3"/>
  <c r="H1885" i="3"/>
  <c r="G1885" i="3"/>
  <c r="F1885" i="3"/>
  <c r="E1885" i="3"/>
  <c r="D1885" i="3"/>
  <c r="C1885" i="3"/>
  <c r="M1884" i="3"/>
  <c r="L1884" i="3"/>
  <c r="K1884" i="3"/>
  <c r="J1884" i="3"/>
  <c r="I1884" i="3"/>
  <c r="H1884" i="3"/>
  <c r="G1884" i="3"/>
  <c r="F1884" i="3"/>
  <c r="E1884" i="3"/>
  <c r="D1884" i="3"/>
  <c r="C1884" i="3"/>
  <c r="N1883" i="3"/>
  <c r="L1883" i="3"/>
  <c r="K1883" i="3"/>
  <c r="J1883" i="3"/>
  <c r="I1883" i="3"/>
  <c r="H1883" i="3"/>
  <c r="G1883" i="3"/>
  <c r="F1883" i="3"/>
  <c r="E1883" i="3"/>
  <c r="D1883" i="3"/>
  <c r="C1883" i="3"/>
  <c r="M1882" i="3"/>
  <c r="L1882" i="3"/>
  <c r="K1882" i="3"/>
  <c r="J1882" i="3"/>
  <c r="I1882" i="3"/>
  <c r="H1882" i="3"/>
  <c r="G1882" i="3"/>
  <c r="F1882" i="3"/>
  <c r="E1882" i="3"/>
  <c r="D1882" i="3"/>
  <c r="C1882" i="3"/>
  <c r="M1881" i="3"/>
  <c r="L1881" i="3"/>
  <c r="K1881" i="3"/>
  <c r="J1881" i="3"/>
  <c r="I1881" i="3"/>
  <c r="H1881" i="3"/>
  <c r="G1881" i="3"/>
  <c r="F1881" i="3"/>
  <c r="E1881" i="3"/>
  <c r="D1881" i="3"/>
  <c r="C1881" i="3"/>
  <c r="M1880" i="3"/>
  <c r="L1880" i="3"/>
  <c r="K1880" i="3"/>
  <c r="J1880" i="3"/>
  <c r="I1880" i="3"/>
  <c r="H1880" i="3"/>
  <c r="G1880" i="3"/>
  <c r="F1880" i="3"/>
  <c r="E1880" i="3"/>
  <c r="D1880" i="3"/>
  <c r="C1880" i="3"/>
  <c r="M1879" i="3"/>
  <c r="L1879" i="3"/>
  <c r="K1879" i="3"/>
  <c r="J1879" i="3"/>
  <c r="I1879" i="3"/>
  <c r="H1879" i="3"/>
  <c r="G1879" i="3"/>
  <c r="F1879" i="3"/>
  <c r="E1879" i="3"/>
  <c r="D1879" i="3"/>
  <c r="C1879" i="3"/>
  <c r="M1878" i="3"/>
  <c r="L1878" i="3"/>
  <c r="K1878" i="3"/>
  <c r="J1878" i="3"/>
  <c r="I1878" i="3"/>
  <c r="H1878" i="3"/>
  <c r="G1878" i="3"/>
  <c r="F1878" i="3"/>
  <c r="E1878" i="3"/>
  <c r="D1878" i="3"/>
  <c r="C1878" i="3"/>
  <c r="N1877" i="3"/>
  <c r="L1877" i="3"/>
  <c r="K1877" i="3"/>
  <c r="J1877" i="3"/>
  <c r="I1877" i="3"/>
  <c r="H1877" i="3"/>
  <c r="G1877" i="3"/>
  <c r="F1877" i="3"/>
  <c r="E1877" i="3"/>
  <c r="D1877" i="3"/>
  <c r="C1877" i="3"/>
  <c r="M1876" i="3"/>
  <c r="L1876" i="3"/>
  <c r="K1876" i="3"/>
  <c r="J1876" i="3"/>
  <c r="I1876" i="3"/>
  <c r="H1876" i="3"/>
  <c r="G1876" i="3"/>
  <c r="F1876" i="3"/>
  <c r="E1876" i="3"/>
  <c r="D1876" i="3"/>
  <c r="C1876" i="3"/>
  <c r="N1875" i="3"/>
  <c r="M1875" i="3"/>
  <c r="L1875" i="3"/>
  <c r="K1875" i="3"/>
  <c r="J1875" i="3"/>
  <c r="I1875" i="3"/>
  <c r="H1875" i="3"/>
  <c r="G1875" i="3"/>
  <c r="F1875" i="3"/>
  <c r="E1875" i="3"/>
  <c r="D1875" i="3"/>
  <c r="C1875" i="3"/>
  <c r="N1874" i="3"/>
  <c r="M1874" i="3"/>
  <c r="L1874" i="3"/>
  <c r="K1874" i="3"/>
  <c r="J1874" i="3"/>
  <c r="I1874" i="3"/>
  <c r="H1874" i="3"/>
  <c r="G1874" i="3"/>
  <c r="F1874" i="3"/>
  <c r="E1874" i="3"/>
  <c r="D1874" i="3"/>
  <c r="C1874" i="3"/>
  <c r="M1873" i="3"/>
  <c r="L1873" i="3"/>
  <c r="K1873" i="3"/>
  <c r="J1873" i="3"/>
  <c r="I1873" i="3"/>
  <c r="H1873" i="3"/>
  <c r="G1873" i="3"/>
  <c r="F1873" i="3"/>
  <c r="E1873" i="3"/>
  <c r="D1873" i="3"/>
  <c r="C1873" i="3"/>
  <c r="N1872" i="3"/>
  <c r="L1872" i="3"/>
  <c r="K1872" i="3"/>
  <c r="J1872" i="3"/>
  <c r="I1872" i="3"/>
  <c r="H1872" i="3"/>
  <c r="G1872" i="3"/>
  <c r="F1872" i="3"/>
  <c r="E1872" i="3"/>
  <c r="D1872" i="3"/>
  <c r="C1872" i="3"/>
  <c r="M1871" i="3"/>
  <c r="L1871" i="3"/>
  <c r="K1871" i="3"/>
  <c r="J1871" i="3"/>
  <c r="I1871" i="3"/>
  <c r="H1871" i="3"/>
  <c r="G1871" i="3"/>
  <c r="F1871" i="3"/>
  <c r="E1871" i="3"/>
  <c r="D1871" i="3"/>
  <c r="C1871" i="3"/>
  <c r="N1870" i="3"/>
  <c r="M1870" i="3"/>
  <c r="L1870" i="3"/>
  <c r="K1870" i="3"/>
  <c r="J1870" i="3"/>
  <c r="I1870" i="3"/>
  <c r="H1870" i="3"/>
  <c r="G1870" i="3"/>
  <c r="F1870" i="3"/>
  <c r="E1870" i="3"/>
  <c r="D1870" i="3"/>
  <c r="C1870" i="3"/>
  <c r="M1869" i="3"/>
  <c r="L1869" i="3"/>
  <c r="K1869" i="3"/>
  <c r="J1869" i="3"/>
  <c r="I1869" i="3"/>
  <c r="H1869" i="3"/>
  <c r="G1869" i="3"/>
  <c r="F1869" i="3"/>
  <c r="E1869" i="3"/>
  <c r="D1869" i="3"/>
  <c r="C1869" i="3"/>
  <c r="N1868" i="3"/>
  <c r="L1868" i="3"/>
  <c r="K1868" i="3"/>
  <c r="J1868" i="3"/>
  <c r="I1868" i="3"/>
  <c r="H1868" i="3"/>
  <c r="G1868" i="3"/>
  <c r="F1868" i="3"/>
  <c r="E1868" i="3"/>
  <c r="D1868" i="3"/>
  <c r="C1868" i="3"/>
  <c r="N1867" i="3"/>
  <c r="L1867" i="3"/>
  <c r="K1867" i="3"/>
  <c r="J1867" i="3"/>
  <c r="I1867" i="3"/>
  <c r="H1867" i="3"/>
  <c r="G1867" i="3"/>
  <c r="F1867" i="3"/>
  <c r="E1867" i="3"/>
  <c r="D1867" i="3"/>
  <c r="C1867" i="3"/>
  <c r="M1866" i="3"/>
  <c r="K1866" i="3"/>
  <c r="J1866" i="3"/>
  <c r="I1866" i="3"/>
  <c r="H1866" i="3"/>
  <c r="F1866" i="3"/>
  <c r="E1866" i="3"/>
  <c r="D1866" i="3"/>
  <c r="C1866" i="3"/>
  <c r="M1865" i="3"/>
  <c r="L1865" i="3"/>
  <c r="K1865" i="3"/>
  <c r="J1865" i="3"/>
  <c r="I1865" i="3"/>
  <c r="H1865" i="3"/>
  <c r="G1865" i="3"/>
  <c r="F1865" i="3"/>
  <c r="E1865" i="3"/>
  <c r="D1865" i="3"/>
  <c r="C1865" i="3"/>
  <c r="M1864" i="3"/>
  <c r="L1864" i="3"/>
  <c r="K1864" i="3"/>
  <c r="J1864" i="3"/>
  <c r="I1864" i="3"/>
  <c r="H1864" i="3"/>
  <c r="G1864" i="3"/>
  <c r="F1864" i="3"/>
  <c r="E1864" i="3"/>
  <c r="D1864" i="3"/>
  <c r="C1864" i="3"/>
  <c r="N1863" i="3"/>
  <c r="L1863" i="3"/>
  <c r="K1863" i="3"/>
  <c r="J1863" i="3"/>
  <c r="I1863" i="3"/>
  <c r="H1863" i="3"/>
  <c r="G1863" i="3"/>
  <c r="F1863" i="3"/>
  <c r="E1863" i="3"/>
  <c r="D1863" i="3"/>
  <c r="C1863" i="3"/>
  <c r="M1862" i="3"/>
  <c r="L1862" i="3"/>
  <c r="K1862" i="3"/>
  <c r="J1862" i="3"/>
  <c r="I1862" i="3"/>
  <c r="H1862" i="3"/>
  <c r="G1862" i="3"/>
  <c r="F1862" i="3"/>
  <c r="E1862" i="3"/>
  <c r="D1862" i="3"/>
  <c r="C1862" i="3"/>
  <c r="N1861" i="3"/>
  <c r="M1861" i="3"/>
  <c r="L1861" i="3"/>
  <c r="K1861" i="3"/>
  <c r="J1861" i="3"/>
  <c r="I1861" i="3"/>
  <c r="H1861" i="3"/>
  <c r="G1861" i="3"/>
  <c r="F1861" i="3"/>
  <c r="E1861" i="3"/>
  <c r="D1861" i="3"/>
  <c r="C1861" i="3"/>
  <c r="M1860" i="3"/>
  <c r="L1860" i="3"/>
  <c r="K1860" i="3"/>
  <c r="J1860" i="3"/>
  <c r="I1860" i="3"/>
  <c r="H1860" i="3"/>
  <c r="G1860" i="3"/>
  <c r="F1860" i="3"/>
  <c r="E1860" i="3"/>
  <c r="D1860" i="3"/>
  <c r="C1860" i="3"/>
  <c r="M1859" i="3"/>
  <c r="K1859" i="3"/>
  <c r="J1859" i="3"/>
  <c r="I1859" i="3"/>
  <c r="H1859" i="3"/>
  <c r="F1859" i="3"/>
  <c r="E1859" i="3"/>
  <c r="D1859" i="3"/>
  <c r="C1859" i="3"/>
  <c r="M1858" i="3"/>
  <c r="L1858" i="3"/>
  <c r="K1858" i="3"/>
  <c r="J1858" i="3"/>
  <c r="I1858" i="3"/>
  <c r="H1858" i="3"/>
  <c r="G1858" i="3"/>
  <c r="F1858" i="3"/>
  <c r="E1858" i="3"/>
  <c r="D1858" i="3"/>
  <c r="C1858" i="3"/>
  <c r="N1857" i="3"/>
  <c r="M1857" i="3"/>
  <c r="L1857" i="3"/>
  <c r="K1857" i="3"/>
  <c r="J1857" i="3"/>
  <c r="I1857" i="3"/>
  <c r="H1857" i="3"/>
  <c r="G1857" i="3"/>
  <c r="F1857" i="3"/>
  <c r="E1857" i="3"/>
  <c r="D1857" i="3"/>
  <c r="C1857" i="3"/>
  <c r="N1856" i="3"/>
  <c r="M1856" i="3"/>
  <c r="L1856" i="3"/>
  <c r="K1856" i="3"/>
  <c r="J1856" i="3"/>
  <c r="I1856" i="3"/>
  <c r="H1856" i="3"/>
  <c r="G1856" i="3"/>
  <c r="F1856" i="3"/>
  <c r="E1856" i="3"/>
  <c r="D1856" i="3"/>
  <c r="C1856" i="3"/>
  <c r="N1855" i="3"/>
  <c r="M1855" i="3"/>
  <c r="K1855" i="3"/>
  <c r="J1855" i="3"/>
  <c r="I1855" i="3"/>
  <c r="H1855" i="3"/>
  <c r="F1855" i="3"/>
  <c r="E1855" i="3"/>
  <c r="D1855" i="3"/>
  <c r="C1855" i="3"/>
  <c r="M1854" i="3"/>
  <c r="L1854" i="3"/>
  <c r="K1854" i="3"/>
  <c r="J1854" i="3"/>
  <c r="I1854" i="3"/>
  <c r="H1854" i="3"/>
  <c r="G1854" i="3"/>
  <c r="F1854" i="3"/>
  <c r="E1854" i="3"/>
  <c r="D1854" i="3"/>
  <c r="C1854" i="3"/>
  <c r="M1853" i="3"/>
  <c r="L1853" i="3"/>
  <c r="K1853" i="3"/>
  <c r="J1853" i="3"/>
  <c r="I1853" i="3"/>
  <c r="H1853" i="3"/>
  <c r="G1853" i="3"/>
  <c r="F1853" i="3"/>
  <c r="E1853" i="3"/>
  <c r="D1853" i="3"/>
  <c r="C1853" i="3"/>
  <c r="K1852" i="3"/>
  <c r="J1852" i="3"/>
  <c r="I1852" i="3"/>
  <c r="H1852" i="3"/>
  <c r="F1852" i="3"/>
  <c r="E1852" i="3"/>
  <c r="D1852" i="3"/>
  <c r="C1852" i="3"/>
  <c r="M1851" i="3"/>
  <c r="L1851" i="3"/>
  <c r="K1851" i="3"/>
  <c r="J1851" i="3"/>
  <c r="I1851" i="3"/>
  <c r="H1851" i="3"/>
  <c r="G1851" i="3"/>
  <c r="F1851" i="3"/>
  <c r="E1851" i="3"/>
  <c r="D1851" i="3"/>
  <c r="C1851" i="3"/>
  <c r="M1850" i="3"/>
  <c r="L1850" i="3"/>
  <c r="K1850" i="3"/>
  <c r="J1850" i="3"/>
  <c r="I1850" i="3"/>
  <c r="H1850" i="3"/>
  <c r="G1850" i="3"/>
  <c r="F1850" i="3"/>
  <c r="E1850" i="3"/>
  <c r="D1850" i="3"/>
  <c r="C1850" i="3"/>
  <c r="M1849" i="3"/>
  <c r="L1849" i="3"/>
  <c r="K1849" i="3"/>
  <c r="J1849" i="3"/>
  <c r="I1849" i="3"/>
  <c r="H1849" i="3"/>
  <c r="G1849" i="3"/>
  <c r="F1849" i="3"/>
  <c r="E1849" i="3"/>
  <c r="D1849" i="3"/>
  <c r="C1849" i="3"/>
  <c r="N1848" i="3"/>
  <c r="L1848" i="3"/>
  <c r="K1848" i="3"/>
  <c r="J1848" i="3"/>
  <c r="I1848" i="3"/>
  <c r="H1848" i="3"/>
  <c r="G1848" i="3"/>
  <c r="F1848" i="3"/>
  <c r="E1848" i="3"/>
  <c r="D1848" i="3"/>
  <c r="C1848" i="3"/>
  <c r="M1847" i="3"/>
  <c r="L1847" i="3"/>
  <c r="K1847" i="3"/>
  <c r="J1847" i="3"/>
  <c r="I1847" i="3"/>
  <c r="H1847" i="3"/>
  <c r="G1847" i="3"/>
  <c r="F1847" i="3"/>
  <c r="E1847" i="3"/>
  <c r="D1847" i="3"/>
  <c r="C1847" i="3"/>
  <c r="N1846" i="3"/>
  <c r="L1846" i="3"/>
  <c r="K1846" i="3"/>
  <c r="J1846" i="3"/>
  <c r="I1846" i="3"/>
  <c r="H1846" i="3"/>
  <c r="G1846" i="3"/>
  <c r="F1846" i="3"/>
  <c r="E1846" i="3"/>
  <c r="D1846" i="3"/>
  <c r="C1846" i="3"/>
  <c r="M1845" i="3"/>
  <c r="L1845" i="3"/>
  <c r="K1845" i="3"/>
  <c r="J1845" i="3"/>
  <c r="I1845" i="3"/>
  <c r="H1845" i="3"/>
  <c r="G1845" i="3"/>
  <c r="F1845" i="3"/>
  <c r="E1845" i="3"/>
  <c r="D1845" i="3"/>
  <c r="C1845" i="3"/>
  <c r="N1844" i="3"/>
  <c r="M1844" i="3"/>
  <c r="K1844" i="3"/>
  <c r="J1844" i="3"/>
  <c r="I1844" i="3"/>
  <c r="H1844" i="3"/>
  <c r="F1844" i="3"/>
  <c r="E1844" i="3"/>
  <c r="D1844" i="3"/>
  <c r="C1844" i="3"/>
  <c r="M1843" i="3"/>
  <c r="L1843" i="3"/>
  <c r="K1843" i="3"/>
  <c r="J1843" i="3"/>
  <c r="I1843" i="3"/>
  <c r="H1843" i="3"/>
  <c r="G1843" i="3"/>
  <c r="F1843" i="3"/>
  <c r="E1843" i="3"/>
  <c r="D1843" i="3"/>
  <c r="C1843" i="3"/>
  <c r="M1842" i="3"/>
  <c r="L1842" i="3"/>
  <c r="K1842" i="3"/>
  <c r="J1842" i="3"/>
  <c r="I1842" i="3"/>
  <c r="H1842" i="3"/>
  <c r="G1842" i="3"/>
  <c r="F1842" i="3"/>
  <c r="E1842" i="3"/>
  <c r="D1842" i="3"/>
  <c r="C1842" i="3"/>
  <c r="M1841" i="3"/>
  <c r="L1841" i="3"/>
  <c r="K1841" i="3"/>
  <c r="J1841" i="3"/>
  <c r="I1841" i="3"/>
  <c r="H1841" i="3"/>
  <c r="G1841" i="3"/>
  <c r="F1841" i="3"/>
  <c r="E1841" i="3"/>
  <c r="D1841" i="3"/>
  <c r="C1841" i="3"/>
  <c r="M1840" i="3"/>
  <c r="L1840" i="3"/>
  <c r="K1840" i="3"/>
  <c r="J1840" i="3"/>
  <c r="I1840" i="3"/>
  <c r="H1840" i="3"/>
  <c r="G1840" i="3"/>
  <c r="F1840" i="3"/>
  <c r="E1840" i="3"/>
  <c r="D1840" i="3"/>
  <c r="C1840" i="3"/>
  <c r="K1839" i="3"/>
  <c r="J1839" i="3"/>
  <c r="I1839" i="3"/>
  <c r="H1839" i="3"/>
  <c r="F1839" i="3"/>
  <c r="E1839" i="3"/>
  <c r="D1839" i="3"/>
  <c r="C1839" i="3"/>
  <c r="N1838" i="3"/>
  <c r="L1838" i="3"/>
  <c r="K1838" i="3"/>
  <c r="J1838" i="3"/>
  <c r="I1838" i="3"/>
  <c r="H1838" i="3"/>
  <c r="G1838" i="3"/>
  <c r="F1838" i="3"/>
  <c r="E1838" i="3"/>
  <c r="D1838" i="3"/>
  <c r="C1838" i="3"/>
  <c r="N1837" i="3"/>
  <c r="L1837" i="3"/>
  <c r="K1837" i="3"/>
  <c r="J1837" i="3"/>
  <c r="I1837" i="3"/>
  <c r="H1837" i="3"/>
  <c r="G1837" i="3"/>
  <c r="F1837" i="3"/>
  <c r="E1837" i="3"/>
  <c r="D1837" i="3"/>
  <c r="C1837" i="3"/>
  <c r="M1836" i="3"/>
  <c r="L1836" i="3"/>
  <c r="K1836" i="3"/>
  <c r="J1836" i="3"/>
  <c r="I1836" i="3"/>
  <c r="H1836" i="3"/>
  <c r="G1836" i="3"/>
  <c r="F1836" i="3"/>
  <c r="E1836" i="3"/>
  <c r="D1836" i="3"/>
  <c r="C1836" i="3"/>
  <c r="N1835" i="3"/>
  <c r="M1835" i="3"/>
  <c r="L1835" i="3"/>
  <c r="K1835" i="3"/>
  <c r="J1835" i="3"/>
  <c r="I1835" i="3"/>
  <c r="H1835" i="3"/>
  <c r="G1835" i="3"/>
  <c r="F1835" i="3"/>
  <c r="E1835" i="3"/>
  <c r="D1835" i="3"/>
  <c r="C1835" i="3"/>
  <c r="N1834" i="3"/>
  <c r="L1834" i="3"/>
  <c r="K1834" i="3"/>
  <c r="J1834" i="3"/>
  <c r="I1834" i="3"/>
  <c r="H1834" i="3"/>
  <c r="G1834" i="3"/>
  <c r="F1834" i="3"/>
  <c r="E1834" i="3"/>
  <c r="D1834" i="3"/>
  <c r="C1834" i="3"/>
  <c r="N1833" i="3"/>
  <c r="L1833" i="3"/>
  <c r="K1833" i="3"/>
  <c r="J1833" i="3"/>
  <c r="I1833" i="3"/>
  <c r="H1833" i="3"/>
  <c r="G1833" i="3"/>
  <c r="F1833" i="3"/>
  <c r="E1833" i="3"/>
  <c r="D1833" i="3"/>
  <c r="C1833" i="3"/>
  <c r="M1832" i="3"/>
  <c r="L1832" i="3"/>
  <c r="K1832" i="3"/>
  <c r="J1832" i="3"/>
  <c r="I1832" i="3"/>
  <c r="H1832" i="3"/>
  <c r="G1832" i="3"/>
  <c r="F1832" i="3"/>
  <c r="E1832" i="3"/>
  <c r="D1832" i="3"/>
  <c r="C1832" i="3"/>
  <c r="N1831" i="3"/>
  <c r="L1831" i="3"/>
  <c r="K1831" i="3"/>
  <c r="J1831" i="3"/>
  <c r="I1831" i="3"/>
  <c r="H1831" i="3"/>
  <c r="G1831" i="3"/>
  <c r="F1831" i="3"/>
  <c r="E1831" i="3"/>
  <c r="D1831" i="3"/>
  <c r="C1831" i="3"/>
  <c r="N1830" i="3"/>
  <c r="L1830" i="3"/>
  <c r="K1830" i="3"/>
  <c r="J1830" i="3"/>
  <c r="I1830" i="3"/>
  <c r="H1830" i="3"/>
  <c r="G1830" i="3"/>
  <c r="F1830" i="3"/>
  <c r="E1830" i="3"/>
  <c r="D1830" i="3"/>
  <c r="C1830" i="3"/>
  <c r="N1829" i="3"/>
  <c r="M1829" i="3"/>
  <c r="K1829" i="3"/>
  <c r="J1829" i="3"/>
  <c r="I1829" i="3"/>
  <c r="H1829" i="3"/>
  <c r="F1829" i="3"/>
  <c r="E1829" i="3"/>
  <c r="D1829" i="3"/>
  <c r="C1829" i="3"/>
  <c r="M1828" i="3"/>
  <c r="L1828" i="3"/>
  <c r="K1828" i="3"/>
  <c r="J1828" i="3"/>
  <c r="I1828" i="3"/>
  <c r="H1828" i="3"/>
  <c r="G1828" i="3"/>
  <c r="F1828" i="3"/>
  <c r="E1828" i="3"/>
  <c r="D1828" i="3"/>
  <c r="C1828" i="3"/>
  <c r="M1827" i="3"/>
  <c r="L1827" i="3"/>
  <c r="K1827" i="3"/>
  <c r="J1827" i="3"/>
  <c r="I1827" i="3"/>
  <c r="H1827" i="3"/>
  <c r="G1827" i="3"/>
  <c r="F1827" i="3"/>
  <c r="E1827" i="3"/>
  <c r="D1827" i="3"/>
  <c r="C1827" i="3"/>
  <c r="N1826" i="3"/>
  <c r="M1826" i="3"/>
  <c r="K1826" i="3"/>
  <c r="J1826" i="3"/>
  <c r="I1826" i="3"/>
  <c r="H1826" i="3"/>
  <c r="F1826" i="3"/>
  <c r="E1826" i="3"/>
  <c r="D1826" i="3"/>
  <c r="C1826" i="3"/>
  <c r="M1825" i="3"/>
  <c r="L1825" i="3"/>
  <c r="K1825" i="3"/>
  <c r="J1825" i="3"/>
  <c r="I1825" i="3"/>
  <c r="H1825" i="3"/>
  <c r="G1825" i="3"/>
  <c r="F1825" i="3"/>
  <c r="E1825" i="3"/>
  <c r="D1825" i="3"/>
  <c r="C1825" i="3"/>
  <c r="M1824" i="3"/>
  <c r="L1824" i="3"/>
  <c r="K1824" i="3"/>
  <c r="J1824" i="3"/>
  <c r="I1824" i="3"/>
  <c r="H1824" i="3"/>
  <c r="G1824" i="3"/>
  <c r="F1824" i="3"/>
  <c r="E1824" i="3"/>
  <c r="D1824" i="3"/>
  <c r="C1824" i="3"/>
  <c r="M1823" i="3"/>
  <c r="L1823" i="3"/>
  <c r="K1823" i="3"/>
  <c r="J1823" i="3"/>
  <c r="I1823" i="3"/>
  <c r="H1823" i="3"/>
  <c r="G1823" i="3"/>
  <c r="F1823" i="3"/>
  <c r="E1823" i="3"/>
  <c r="D1823" i="3"/>
  <c r="C1823" i="3"/>
  <c r="M1822" i="3"/>
  <c r="L1822" i="3"/>
  <c r="K1822" i="3"/>
  <c r="J1822" i="3"/>
  <c r="I1822" i="3"/>
  <c r="H1822" i="3"/>
  <c r="G1822" i="3"/>
  <c r="F1822" i="3"/>
  <c r="E1822" i="3"/>
  <c r="D1822" i="3"/>
  <c r="C1822" i="3"/>
  <c r="M1821" i="3"/>
  <c r="L1821" i="3"/>
  <c r="K1821" i="3"/>
  <c r="J1821" i="3"/>
  <c r="I1821" i="3"/>
  <c r="H1821" i="3"/>
  <c r="G1821" i="3"/>
  <c r="F1821" i="3"/>
  <c r="E1821" i="3"/>
  <c r="D1821" i="3"/>
  <c r="C1821" i="3"/>
  <c r="N1820" i="3"/>
  <c r="M1820" i="3"/>
  <c r="K1820" i="3"/>
  <c r="J1820" i="3"/>
  <c r="I1820" i="3"/>
  <c r="H1820" i="3"/>
  <c r="F1820" i="3"/>
  <c r="E1820" i="3"/>
  <c r="D1820" i="3"/>
  <c r="C1820" i="3"/>
  <c r="M1819" i="3"/>
  <c r="L1819" i="3"/>
  <c r="K1819" i="3"/>
  <c r="J1819" i="3"/>
  <c r="I1819" i="3"/>
  <c r="H1819" i="3"/>
  <c r="G1819" i="3"/>
  <c r="F1819" i="3"/>
  <c r="E1819" i="3"/>
  <c r="D1819" i="3"/>
  <c r="C1819" i="3"/>
  <c r="M1818" i="3"/>
  <c r="L1818" i="3"/>
  <c r="K1818" i="3"/>
  <c r="J1818" i="3"/>
  <c r="I1818" i="3"/>
  <c r="H1818" i="3"/>
  <c r="G1818" i="3"/>
  <c r="F1818" i="3"/>
  <c r="E1818" i="3"/>
  <c r="D1818" i="3"/>
  <c r="C1818" i="3"/>
  <c r="M1817" i="3"/>
  <c r="L1817" i="3"/>
  <c r="K1817" i="3"/>
  <c r="J1817" i="3"/>
  <c r="I1817" i="3"/>
  <c r="H1817" i="3"/>
  <c r="G1817" i="3"/>
  <c r="F1817" i="3"/>
  <c r="E1817" i="3"/>
  <c r="D1817" i="3"/>
  <c r="C1817" i="3"/>
  <c r="M1816" i="3"/>
  <c r="L1816" i="3"/>
  <c r="K1816" i="3"/>
  <c r="J1816" i="3"/>
  <c r="I1816" i="3"/>
  <c r="H1816" i="3"/>
  <c r="G1816" i="3"/>
  <c r="F1816" i="3"/>
  <c r="E1816" i="3"/>
  <c r="D1816" i="3"/>
  <c r="C1816" i="3"/>
  <c r="N1815" i="3"/>
  <c r="L1815" i="3"/>
  <c r="K1815" i="3"/>
  <c r="J1815" i="3"/>
  <c r="I1815" i="3"/>
  <c r="H1815" i="3"/>
  <c r="G1815" i="3"/>
  <c r="F1815" i="3"/>
  <c r="E1815" i="3"/>
  <c r="D1815" i="3"/>
  <c r="C1815" i="3"/>
  <c r="M1814" i="3"/>
  <c r="L1814" i="3"/>
  <c r="K1814" i="3"/>
  <c r="J1814" i="3"/>
  <c r="I1814" i="3"/>
  <c r="H1814" i="3"/>
  <c r="G1814" i="3"/>
  <c r="F1814" i="3"/>
  <c r="E1814" i="3"/>
  <c r="D1814" i="3"/>
  <c r="C1814" i="3"/>
  <c r="M1813" i="3"/>
  <c r="L1813" i="3"/>
  <c r="K1813" i="3"/>
  <c r="J1813" i="3"/>
  <c r="I1813" i="3"/>
  <c r="H1813" i="3"/>
  <c r="G1813" i="3"/>
  <c r="F1813" i="3"/>
  <c r="E1813" i="3"/>
  <c r="D1813" i="3"/>
  <c r="C1813" i="3"/>
  <c r="M1812" i="3"/>
  <c r="L1812" i="3"/>
  <c r="K1812" i="3"/>
  <c r="J1812" i="3"/>
  <c r="I1812" i="3"/>
  <c r="H1812" i="3"/>
  <c r="G1812" i="3"/>
  <c r="F1812" i="3"/>
  <c r="E1812" i="3"/>
  <c r="D1812" i="3"/>
  <c r="C1812" i="3"/>
  <c r="M1811" i="3"/>
  <c r="L1811" i="3"/>
  <c r="K1811" i="3"/>
  <c r="J1811" i="3"/>
  <c r="I1811" i="3"/>
  <c r="H1811" i="3"/>
  <c r="G1811" i="3"/>
  <c r="F1811" i="3"/>
  <c r="E1811" i="3"/>
  <c r="D1811" i="3"/>
  <c r="C1811" i="3"/>
  <c r="N1810" i="3"/>
  <c r="L1810" i="3"/>
  <c r="K1810" i="3"/>
  <c r="J1810" i="3"/>
  <c r="I1810" i="3"/>
  <c r="H1810" i="3"/>
  <c r="G1810" i="3"/>
  <c r="F1810" i="3"/>
  <c r="E1810" i="3"/>
  <c r="D1810" i="3"/>
  <c r="C1810" i="3"/>
  <c r="N1809" i="3"/>
  <c r="M1809" i="3"/>
  <c r="K1809" i="3"/>
  <c r="J1809" i="3"/>
  <c r="I1809" i="3"/>
  <c r="H1809" i="3"/>
  <c r="E1809" i="3"/>
  <c r="D1809" i="3"/>
  <c r="C1809" i="3"/>
  <c r="M1808" i="3"/>
  <c r="L1808" i="3"/>
  <c r="K1808" i="3"/>
  <c r="J1808" i="3"/>
  <c r="I1808" i="3"/>
  <c r="H1808" i="3"/>
  <c r="G1808" i="3"/>
  <c r="F1808" i="3"/>
  <c r="E1808" i="3"/>
  <c r="D1808" i="3"/>
  <c r="C1808" i="3"/>
  <c r="N1807" i="3"/>
  <c r="L1807" i="3"/>
  <c r="K1807" i="3"/>
  <c r="J1807" i="3"/>
  <c r="I1807" i="3"/>
  <c r="H1807" i="3"/>
  <c r="G1807" i="3"/>
  <c r="F1807" i="3"/>
  <c r="E1807" i="3"/>
  <c r="D1807" i="3"/>
  <c r="C1807" i="3"/>
  <c r="M1806" i="3"/>
  <c r="L1806" i="3"/>
  <c r="K1806" i="3"/>
  <c r="J1806" i="3"/>
  <c r="I1806" i="3"/>
  <c r="H1806" i="3"/>
  <c r="G1806" i="3"/>
  <c r="F1806" i="3"/>
  <c r="E1806" i="3"/>
  <c r="D1806" i="3"/>
  <c r="C1806" i="3"/>
  <c r="M1805" i="3"/>
  <c r="L1805" i="3"/>
  <c r="K1805" i="3"/>
  <c r="J1805" i="3"/>
  <c r="I1805" i="3"/>
  <c r="H1805" i="3"/>
  <c r="G1805" i="3"/>
  <c r="F1805" i="3"/>
  <c r="E1805" i="3"/>
  <c r="D1805" i="3"/>
  <c r="C1805" i="3"/>
  <c r="M1804" i="3"/>
  <c r="L1804" i="3"/>
  <c r="K1804" i="3"/>
  <c r="J1804" i="3"/>
  <c r="I1804" i="3"/>
  <c r="H1804" i="3"/>
  <c r="G1804" i="3"/>
  <c r="F1804" i="3"/>
  <c r="E1804" i="3"/>
  <c r="D1804" i="3"/>
  <c r="C1804" i="3"/>
  <c r="L1803" i="3"/>
  <c r="K1803" i="3"/>
  <c r="J1803" i="3"/>
  <c r="I1803" i="3"/>
  <c r="H1803" i="3"/>
  <c r="G1803" i="3"/>
  <c r="F1803" i="3"/>
  <c r="E1803" i="3"/>
  <c r="D1803" i="3"/>
  <c r="C1803" i="3"/>
  <c r="M1802" i="3"/>
  <c r="K1802" i="3"/>
  <c r="J1802" i="3"/>
  <c r="I1802" i="3"/>
  <c r="H1802" i="3"/>
  <c r="F1802" i="3"/>
  <c r="E1802" i="3"/>
  <c r="D1802" i="3"/>
  <c r="C1802" i="3"/>
  <c r="M1801" i="3"/>
  <c r="L1801" i="3"/>
  <c r="K1801" i="3"/>
  <c r="J1801" i="3"/>
  <c r="I1801" i="3"/>
  <c r="H1801" i="3"/>
  <c r="G1801" i="3"/>
  <c r="F1801" i="3"/>
  <c r="E1801" i="3"/>
  <c r="D1801" i="3"/>
  <c r="C1801" i="3"/>
  <c r="M1800" i="3"/>
  <c r="L1800" i="3"/>
  <c r="K1800" i="3"/>
  <c r="J1800" i="3"/>
  <c r="I1800" i="3"/>
  <c r="H1800" i="3"/>
  <c r="G1800" i="3"/>
  <c r="F1800" i="3"/>
  <c r="E1800" i="3"/>
  <c r="D1800" i="3"/>
  <c r="C1800" i="3"/>
  <c r="M1799" i="3"/>
  <c r="L1799" i="3"/>
  <c r="K1799" i="3"/>
  <c r="J1799" i="3"/>
  <c r="I1799" i="3"/>
  <c r="H1799" i="3"/>
  <c r="G1799" i="3"/>
  <c r="F1799" i="3"/>
  <c r="E1799" i="3"/>
  <c r="D1799" i="3"/>
  <c r="C1799" i="3"/>
  <c r="M1798" i="3"/>
  <c r="L1798" i="3"/>
  <c r="K1798" i="3"/>
  <c r="J1798" i="3"/>
  <c r="I1798" i="3"/>
  <c r="H1798" i="3"/>
  <c r="G1798" i="3"/>
  <c r="F1798" i="3"/>
  <c r="E1798" i="3"/>
  <c r="D1798" i="3"/>
  <c r="C1798" i="3"/>
  <c r="M1797" i="3"/>
  <c r="L1797" i="3"/>
  <c r="K1797" i="3"/>
  <c r="J1797" i="3"/>
  <c r="I1797" i="3"/>
  <c r="H1797" i="3"/>
  <c r="G1797" i="3"/>
  <c r="F1797" i="3"/>
  <c r="E1797" i="3"/>
  <c r="D1797" i="3"/>
  <c r="C1797" i="3"/>
  <c r="N1796" i="3"/>
  <c r="L1796" i="3"/>
  <c r="K1796" i="3"/>
  <c r="J1796" i="3"/>
  <c r="I1796" i="3"/>
  <c r="H1796" i="3"/>
  <c r="G1796" i="3"/>
  <c r="F1796" i="3"/>
  <c r="E1796" i="3"/>
  <c r="D1796" i="3"/>
  <c r="C1796" i="3"/>
  <c r="N1795" i="3"/>
  <c r="M1795" i="3"/>
  <c r="L1795" i="3"/>
  <c r="K1795" i="3"/>
  <c r="J1795" i="3"/>
  <c r="I1795" i="3"/>
  <c r="H1795" i="3"/>
  <c r="G1795" i="3"/>
  <c r="F1795" i="3"/>
  <c r="E1795" i="3"/>
  <c r="D1795" i="3"/>
  <c r="C1795" i="3"/>
  <c r="M1794" i="3"/>
  <c r="L1794" i="3"/>
  <c r="K1794" i="3"/>
  <c r="J1794" i="3"/>
  <c r="I1794" i="3"/>
  <c r="H1794" i="3"/>
  <c r="G1794" i="3"/>
  <c r="F1794" i="3"/>
  <c r="E1794" i="3"/>
  <c r="D1794" i="3"/>
  <c r="C1794" i="3"/>
  <c r="M1793" i="3"/>
  <c r="L1793" i="3"/>
  <c r="K1793" i="3"/>
  <c r="J1793" i="3"/>
  <c r="I1793" i="3"/>
  <c r="H1793" i="3"/>
  <c r="G1793" i="3"/>
  <c r="F1793" i="3"/>
  <c r="E1793" i="3"/>
  <c r="D1793" i="3"/>
  <c r="C1793" i="3"/>
  <c r="M1792" i="3"/>
  <c r="L1792" i="3"/>
  <c r="K1792" i="3"/>
  <c r="J1792" i="3"/>
  <c r="I1792" i="3"/>
  <c r="H1792" i="3"/>
  <c r="G1792" i="3"/>
  <c r="F1792" i="3"/>
  <c r="E1792" i="3"/>
  <c r="D1792" i="3"/>
  <c r="C1792" i="3"/>
  <c r="M1791" i="3"/>
  <c r="L1791" i="3"/>
  <c r="K1791" i="3"/>
  <c r="J1791" i="3"/>
  <c r="I1791" i="3"/>
  <c r="H1791" i="3"/>
  <c r="G1791" i="3"/>
  <c r="F1791" i="3"/>
  <c r="E1791" i="3"/>
  <c r="D1791" i="3"/>
  <c r="C1791" i="3"/>
  <c r="M1790" i="3"/>
  <c r="L1790" i="3"/>
  <c r="K1790" i="3"/>
  <c r="J1790" i="3"/>
  <c r="I1790" i="3"/>
  <c r="H1790" i="3"/>
  <c r="G1790" i="3"/>
  <c r="F1790" i="3"/>
  <c r="E1790" i="3"/>
  <c r="D1790" i="3"/>
  <c r="C1790" i="3"/>
  <c r="M1789" i="3"/>
  <c r="L1789" i="3"/>
  <c r="K1789" i="3"/>
  <c r="J1789" i="3"/>
  <c r="I1789" i="3"/>
  <c r="H1789" i="3"/>
  <c r="G1789" i="3"/>
  <c r="F1789" i="3"/>
  <c r="E1789" i="3"/>
  <c r="D1789" i="3"/>
  <c r="C1789" i="3"/>
  <c r="N1788" i="3"/>
  <c r="M1788" i="3"/>
  <c r="K1788" i="3"/>
  <c r="J1788" i="3"/>
  <c r="I1788" i="3"/>
  <c r="H1788" i="3"/>
  <c r="F1788" i="3"/>
  <c r="E1788" i="3"/>
  <c r="D1788" i="3"/>
  <c r="C1788" i="3"/>
  <c r="M1787" i="3"/>
  <c r="L1787" i="3"/>
  <c r="K1787" i="3"/>
  <c r="J1787" i="3"/>
  <c r="I1787" i="3"/>
  <c r="H1787" i="3"/>
  <c r="G1787" i="3"/>
  <c r="F1787" i="3"/>
  <c r="E1787" i="3"/>
  <c r="D1787" i="3"/>
  <c r="C1787" i="3"/>
  <c r="M1786" i="3"/>
  <c r="L1786" i="3"/>
  <c r="K1786" i="3"/>
  <c r="J1786" i="3"/>
  <c r="I1786" i="3"/>
  <c r="H1786" i="3"/>
  <c r="G1786" i="3"/>
  <c r="F1786" i="3"/>
  <c r="E1786" i="3"/>
  <c r="D1786" i="3"/>
  <c r="C1786" i="3"/>
  <c r="N1785" i="3"/>
  <c r="L1785" i="3"/>
  <c r="K1785" i="3"/>
  <c r="J1785" i="3"/>
  <c r="I1785" i="3"/>
  <c r="H1785" i="3"/>
  <c r="G1785" i="3"/>
  <c r="F1785" i="3"/>
  <c r="E1785" i="3"/>
  <c r="D1785" i="3"/>
  <c r="C1785" i="3"/>
  <c r="M1784" i="3"/>
  <c r="L1784" i="3"/>
  <c r="K1784" i="3"/>
  <c r="J1784" i="3"/>
  <c r="I1784" i="3"/>
  <c r="H1784" i="3"/>
  <c r="G1784" i="3"/>
  <c r="F1784" i="3"/>
  <c r="E1784" i="3"/>
  <c r="D1784" i="3"/>
  <c r="C1784" i="3"/>
  <c r="N1783" i="3"/>
  <c r="M1783" i="3"/>
  <c r="L1783" i="3"/>
  <c r="K1783" i="3"/>
  <c r="J1783" i="3"/>
  <c r="I1783" i="3"/>
  <c r="H1783" i="3"/>
  <c r="G1783" i="3"/>
  <c r="F1783" i="3"/>
  <c r="E1783" i="3"/>
  <c r="D1783" i="3"/>
  <c r="C1783" i="3"/>
  <c r="N1782" i="3"/>
  <c r="M1782" i="3"/>
  <c r="L1782" i="3"/>
  <c r="K1782" i="3"/>
  <c r="J1782" i="3"/>
  <c r="I1782" i="3"/>
  <c r="H1782" i="3"/>
  <c r="G1782" i="3"/>
  <c r="F1782" i="3"/>
  <c r="E1782" i="3"/>
  <c r="D1782" i="3"/>
  <c r="C1782" i="3"/>
  <c r="M1781" i="3"/>
  <c r="L1781" i="3"/>
  <c r="K1781" i="3"/>
  <c r="J1781" i="3"/>
  <c r="I1781" i="3"/>
  <c r="H1781" i="3"/>
  <c r="G1781" i="3"/>
  <c r="F1781" i="3"/>
  <c r="E1781" i="3"/>
  <c r="D1781" i="3"/>
  <c r="C1781" i="3"/>
  <c r="M1780" i="3"/>
  <c r="K1780" i="3"/>
  <c r="J1780" i="3"/>
  <c r="I1780" i="3"/>
  <c r="H1780" i="3"/>
  <c r="E1780" i="3"/>
  <c r="D1780" i="3"/>
  <c r="C1780" i="3"/>
  <c r="M1779" i="3"/>
  <c r="L1779" i="3"/>
  <c r="K1779" i="3"/>
  <c r="J1779" i="3"/>
  <c r="I1779" i="3"/>
  <c r="H1779" i="3"/>
  <c r="G1779" i="3"/>
  <c r="F1779" i="3"/>
  <c r="E1779" i="3"/>
  <c r="D1779" i="3"/>
  <c r="C1779" i="3"/>
  <c r="M1778" i="3"/>
  <c r="L1778" i="3"/>
  <c r="K1778" i="3"/>
  <c r="J1778" i="3"/>
  <c r="I1778" i="3"/>
  <c r="H1778" i="3"/>
  <c r="G1778" i="3"/>
  <c r="F1778" i="3"/>
  <c r="E1778" i="3"/>
  <c r="D1778" i="3"/>
  <c r="C1778" i="3"/>
  <c r="M1777" i="3"/>
  <c r="L1777" i="3"/>
  <c r="K1777" i="3"/>
  <c r="J1777" i="3"/>
  <c r="I1777" i="3"/>
  <c r="H1777" i="3"/>
  <c r="G1777" i="3"/>
  <c r="F1777" i="3"/>
  <c r="E1777" i="3"/>
  <c r="D1777" i="3"/>
  <c r="C1777" i="3"/>
  <c r="M1776" i="3"/>
  <c r="L1776" i="3"/>
  <c r="K1776" i="3"/>
  <c r="J1776" i="3"/>
  <c r="I1776" i="3"/>
  <c r="H1776" i="3"/>
  <c r="G1776" i="3"/>
  <c r="F1776" i="3"/>
  <c r="E1776" i="3"/>
  <c r="D1776" i="3"/>
  <c r="C1776" i="3"/>
  <c r="N1775" i="3"/>
  <c r="L1775" i="3"/>
  <c r="K1775" i="3"/>
  <c r="J1775" i="3"/>
  <c r="I1775" i="3"/>
  <c r="H1775" i="3"/>
  <c r="G1775" i="3"/>
  <c r="F1775" i="3"/>
  <c r="E1775" i="3"/>
  <c r="D1775" i="3"/>
  <c r="C1775" i="3"/>
  <c r="N1774" i="3"/>
  <c r="K1774" i="3"/>
  <c r="J1774" i="3"/>
  <c r="I1774" i="3"/>
  <c r="H1774" i="3"/>
  <c r="F1774" i="3"/>
  <c r="E1774" i="3"/>
  <c r="D1774" i="3"/>
  <c r="C1774" i="3"/>
  <c r="M1773" i="3"/>
  <c r="L1773" i="3"/>
  <c r="K1773" i="3"/>
  <c r="J1773" i="3"/>
  <c r="I1773" i="3"/>
  <c r="H1773" i="3"/>
  <c r="G1773" i="3"/>
  <c r="F1773" i="3"/>
  <c r="E1773" i="3"/>
  <c r="D1773" i="3"/>
  <c r="C1773" i="3"/>
  <c r="M1772" i="3"/>
  <c r="L1772" i="3"/>
  <c r="K1772" i="3"/>
  <c r="J1772" i="3"/>
  <c r="I1772" i="3"/>
  <c r="H1772" i="3"/>
  <c r="G1772" i="3"/>
  <c r="F1772" i="3"/>
  <c r="E1772" i="3"/>
  <c r="D1772" i="3"/>
  <c r="C1772" i="3"/>
  <c r="N1771" i="3"/>
  <c r="L1771" i="3"/>
  <c r="K1771" i="3"/>
  <c r="J1771" i="3"/>
  <c r="I1771" i="3"/>
  <c r="H1771" i="3"/>
  <c r="G1771" i="3"/>
  <c r="F1771" i="3"/>
  <c r="E1771" i="3"/>
  <c r="D1771" i="3"/>
  <c r="C1771" i="3"/>
  <c r="M1770" i="3"/>
  <c r="L1770" i="3"/>
  <c r="K1770" i="3"/>
  <c r="J1770" i="3"/>
  <c r="I1770" i="3"/>
  <c r="H1770" i="3"/>
  <c r="G1770" i="3"/>
  <c r="F1770" i="3"/>
  <c r="E1770" i="3"/>
  <c r="D1770" i="3"/>
  <c r="C1770" i="3"/>
  <c r="M1769" i="3"/>
  <c r="L1769" i="3"/>
  <c r="K1769" i="3"/>
  <c r="J1769" i="3"/>
  <c r="I1769" i="3"/>
  <c r="H1769" i="3"/>
  <c r="G1769" i="3"/>
  <c r="F1769" i="3"/>
  <c r="E1769" i="3"/>
  <c r="D1769" i="3"/>
  <c r="C1769" i="3"/>
  <c r="M1768" i="3"/>
  <c r="L1768" i="3"/>
  <c r="K1768" i="3"/>
  <c r="J1768" i="3"/>
  <c r="I1768" i="3"/>
  <c r="H1768" i="3"/>
  <c r="G1768" i="3"/>
  <c r="F1768" i="3"/>
  <c r="E1768" i="3"/>
  <c r="D1768" i="3"/>
  <c r="C1768" i="3"/>
  <c r="N1767" i="3"/>
  <c r="L1767" i="3"/>
  <c r="K1767" i="3"/>
  <c r="J1767" i="3"/>
  <c r="I1767" i="3"/>
  <c r="H1767" i="3"/>
  <c r="G1767" i="3"/>
  <c r="F1767" i="3"/>
  <c r="E1767" i="3"/>
  <c r="D1767" i="3"/>
  <c r="C1767" i="3"/>
  <c r="M1766" i="3"/>
  <c r="L1766" i="3"/>
  <c r="K1766" i="3"/>
  <c r="J1766" i="3"/>
  <c r="I1766" i="3"/>
  <c r="H1766" i="3"/>
  <c r="G1766" i="3"/>
  <c r="F1766" i="3"/>
  <c r="E1766" i="3"/>
  <c r="D1766" i="3"/>
  <c r="C1766" i="3"/>
  <c r="N1765" i="3"/>
  <c r="K1765" i="3"/>
  <c r="J1765" i="3"/>
  <c r="I1765" i="3"/>
  <c r="H1765" i="3"/>
  <c r="F1765" i="3"/>
  <c r="E1765" i="3"/>
  <c r="D1765" i="3"/>
  <c r="C1765" i="3"/>
  <c r="M1764" i="3"/>
  <c r="L1764" i="3"/>
  <c r="K1764" i="3"/>
  <c r="J1764" i="3"/>
  <c r="I1764" i="3"/>
  <c r="H1764" i="3"/>
  <c r="G1764" i="3"/>
  <c r="F1764" i="3"/>
  <c r="E1764" i="3"/>
  <c r="D1764" i="3"/>
  <c r="C1764" i="3"/>
  <c r="M1763" i="3"/>
  <c r="L1763" i="3"/>
  <c r="K1763" i="3"/>
  <c r="J1763" i="3"/>
  <c r="I1763" i="3"/>
  <c r="H1763" i="3"/>
  <c r="G1763" i="3"/>
  <c r="F1763" i="3"/>
  <c r="E1763" i="3"/>
  <c r="D1763" i="3"/>
  <c r="C1763" i="3"/>
  <c r="M1762" i="3"/>
  <c r="L1762" i="3"/>
  <c r="K1762" i="3"/>
  <c r="J1762" i="3"/>
  <c r="I1762" i="3"/>
  <c r="H1762" i="3"/>
  <c r="G1762" i="3"/>
  <c r="F1762" i="3"/>
  <c r="E1762" i="3"/>
  <c r="D1762" i="3"/>
  <c r="C1762" i="3"/>
  <c r="N1761" i="3"/>
  <c r="L1761" i="3"/>
  <c r="K1761" i="3"/>
  <c r="J1761" i="3"/>
  <c r="I1761" i="3"/>
  <c r="H1761" i="3"/>
  <c r="G1761" i="3"/>
  <c r="F1761" i="3"/>
  <c r="E1761" i="3"/>
  <c r="D1761" i="3"/>
  <c r="C1761" i="3"/>
  <c r="N1760" i="3"/>
  <c r="L1760" i="3"/>
  <c r="K1760" i="3"/>
  <c r="J1760" i="3"/>
  <c r="I1760" i="3"/>
  <c r="H1760" i="3"/>
  <c r="G1760" i="3"/>
  <c r="F1760" i="3"/>
  <c r="E1760" i="3"/>
  <c r="D1760" i="3"/>
  <c r="C1760" i="3"/>
  <c r="M1759" i="3"/>
  <c r="L1759" i="3"/>
  <c r="K1759" i="3"/>
  <c r="J1759" i="3"/>
  <c r="I1759" i="3"/>
  <c r="H1759" i="3"/>
  <c r="G1759" i="3"/>
  <c r="F1759" i="3"/>
  <c r="E1759" i="3"/>
  <c r="D1759" i="3"/>
  <c r="C1759" i="3"/>
  <c r="M1758" i="3"/>
  <c r="L1758" i="3"/>
  <c r="K1758" i="3"/>
  <c r="J1758" i="3"/>
  <c r="I1758" i="3"/>
  <c r="H1758" i="3"/>
  <c r="G1758" i="3"/>
  <c r="F1758" i="3"/>
  <c r="E1758" i="3"/>
  <c r="D1758" i="3"/>
  <c r="C1758" i="3"/>
  <c r="N1757" i="3"/>
  <c r="L1757" i="3"/>
  <c r="K1757" i="3"/>
  <c r="J1757" i="3"/>
  <c r="I1757" i="3"/>
  <c r="H1757" i="3"/>
  <c r="G1757" i="3"/>
  <c r="F1757" i="3"/>
  <c r="E1757" i="3"/>
  <c r="D1757" i="3"/>
  <c r="C1757" i="3"/>
  <c r="M1756" i="3"/>
  <c r="L1756" i="3"/>
  <c r="K1756" i="3"/>
  <c r="J1756" i="3"/>
  <c r="I1756" i="3"/>
  <c r="H1756" i="3"/>
  <c r="G1756" i="3"/>
  <c r="F1756" i="3"/>
  <c r="E1756" i="3"/>
  <c r="D1756" i="3"/>
  <c r="C1756" i="3"/>
  <c r="M1755" i="3"/>
  <c r="L1755" i="3"/>
  <c r="K1755" i="3"/>
  <c r="J1755" i="3"/>
  <c r="I1755" i="3"/>
  <c r="H1755" i="3"/>
  <c r="G1755" i="3"/>
  <c r="F1755" i="3"/>
  <c r="E1755" i="3"/>
  <c r="D1755" i="3"/>
  <c r="C1755" i="3"/>
  <c r="N1754" i="3"/>
  <c r="L1754" i="3"/>
  <c r="K1754" i="3"/>
  <c r="J1754" i="3"/>
  <c r="I1754" i="3"/>
  <c r="H1754" i="3"/>
  <c r="G1754" i="3"/>
  <c r="F1754" i="3"/>
  <c r="E1754" i="3"/>
  <c r="D1754" i="3"/>
  <c r="C1754" i="3"/>
  <c r="N1753" i="3"/>
  <c r="M1753" i="3"/>
  <c r="K1753" i="3"/>
  <c r="J1753" i="3"/>
  <c r="I1753" i="3"/>
  <c r="H1753" i="3"/>
  <c r="F1753" i="3"/>
  <c r="E1753" i="3"/>
  <c r="D1753" i="3"/>
  <c r="C1753" i="3"/>
  <c r="M1752" i="3"/>
  <c r="K1752" i="3"/>
  <c r="J1752" i="3"/>
  <c r="I1752" i="3"/>
  <c r="H1752" i="3"/>
  <c r="F1752" i="3"/>
  <c r="E1752" i="3"/>
  <c r="D1752" i="3"/>
  <c r="C1752" i="3"/>
  <c r="M1751" i="3"/>
  <c r="K1751" i="3"/>
  <c r="J1751" i="3"/>
  <c r="I1751" i="3"/>
  <c r="H1751" i="3"/>
  <c r="F1751" i="3"/>
  <c r="E1751" i="3"/>
  <c r="D1751" i="3"/>
  <c r="C1751" i="3"/>
  <c r="M1750" i="3"/>
  <c r="L1750" i="3"/>
  <c r="K1750" i="3"/>
  <c r="J1750" i="3"/>
  <c r="I1750" i="3"/>
  <c r="H1750" i="3"/>
  <c r="G1750" i="3"/>
  <c r="F1750" i="3"/>
  <c r="E1750" i="3"/>
  <c r="D1750" i="3"/>
  <c r="C1750" i="3"/>
  <c r="M1749" i="3"/>
  <c r="L1749" i="3"/>
  <c r="K1749" i="3"/>
  <c r="J1749" i="3"/>
  <c r="I1749" i="3"/>
  <c r="H1749" i="3"/>
  <c r="G1749" i="3"/>
  <c r="F1749" i="3"/>
  <c r="E1749" i="3"/>
  <c r="D1749" i="3"/>
  <c r="C1749" i="3"/>
  <c r="M1748" i="3"/>
  <c r="L1748" i="3"/>
  <c r="K1748" i="3"/>
  <c r="J1748" i="3"/>
  <c r="I1748" i="3"/>
  <c r="H1748" i="3"/>
  <c r="G1748" i="3"/>
  <c r="F1748" i="3"/>
  <c r="E1748" i="3"/>
  <c r="D1748" i="3"/>
  <c r="C1748" i="3"/>
  <c r="M1747" i="3"/>
  <c r="L1747" i="3"/>
  <c r="K1747" i="3"/>
  <c r="J1747" i="3"/>
  <c r="I1747" i="3"/>
  <c r="H1747" i="3"/>
  <c r="G1747" i="3"/>
  <c r="F1747" i="3"/>
  <c r="E1747" i="3"/>
  <c r="D1747" i="3"/>
  <c r="C1747" i="3"/>
  <c r="M1746" i="3"/>
  <c r="L1746" i="3"/>
  <c r="K1746" i="3"/>
  <c r="J1746" i="3"/>
  <c r="I1746" i="3"/>
  <c r="H1746" i="3"/>
  <c r="G1746" i="3"/>
  <c r="F1746" i="3"/>
  <c r="E1746" i="3"/>
  <c r="D1746" i="3"/>
  <c r="C1746" i="3"/>
  <c r="N1745" i="3"/>
  <c r="M1745" i="3"/>
  <c r="L1745" i="3"/>
  <c r="K1745" i="3"/>
  <c r="J1745" i="3"/>
  <c r="I1745" i="3"/>
  <c r="H1745" i="3"/>
  <c r="G1745" i="3"/>
  <c r="F1745" i="3"/>
  <c r="E1745" i="3"/>
  <c r="D1745" i="3"/>
  <c r="C1745" i="3"/>
  <c r="M1744" i="3"/>
  <c r="L1744" i="3"/>
  <c r="K1744" i="3"/>
  <c r="J1744" i="3"/>
  <c r="I1744" i="3"/>
  <c r="H1744" i="3"/>
  <c r="G1744" i="3"/>
  <c r="F1744" i="3"/>
  <c r="E1744" i="3"/>
  <c r="D1744" i="3"/>
  <c r="C1744" i="3"/>
  <c r="N1743" i="3"/>
  <c r="L1743" i="3"/>
  <c r="K1743" i="3"/>
  <c r="J1743" i="3"/>
  <c r="I1743" i="3"/>
  <c r="H1743" i="3"/>
  <c r="G1743" i="3"/>
  <c r="F1743" i="3"/>
  <c r="E1743" i="3"/>
  <c r="D1743" i="3"/>
  <c r="C1743" i="3"/>
  <c r="M1742" i="3"/>
  <c r="L1742" i="3"/>
  <c r="K1742" i="3"/>
  <c r="J1742" i="3"/>
  <c r="I1742" i="3"/>
  <c r="H1742" i="3"/>
  <c r="G1742" i="3"/>
  <c r="F1742" i="3"/>
  <c r="E1742" i="3"/>
  <c r="D1742" i="3"/>
  <c r="C1742" i="3"/>
  <c r="N1741" i="3"/>
  <c r="L1741" i="3"/>
  <c r="K1741" i="3"/>
  <c r="J1741" i="3"/>
  <c r="I1741" i="3"/>
  <c r="H1741" i="3"/>
  <c r="G1741" i="3"/>
  <c r="F1741" i="3"/>
  <c r="E1741" i="3"/>
  <c r="D1741" i="3"/>
  <c r="C1741" i="3"/>
  <c r="N1740" i="3"/>
  <c r="M1740" i="3"/>
  <c r="L1740" i="3"/>
  <c r="K1740" i="3"/>
  <c r="J1740" i="3"/>
  <c r="I1740" i="3"/>
  <c r="H1740" i="3"/>
  <c r="G1740" i="3"/>
  <c r="F1740" i="3"/>
  <c r="E1740" i="3"/>
  <c r="D1740" i="3"/>
  <c r="C1740" i="3"/>
  <c r="M1739" i="3"/>
  <c r="L1739" i="3"/>
  <c r="K1739" i="3"/>
  <c r="J1739" i="3"/>
  <c r="I1739" i="3"/>
  <c r="H1739" i="3"/>
  <c r="G1739" i="3"/>
  <c r="F1739" i="3"/>
  <c r="E1739" i="3"/>
  <c r="D1739" i="3"/>
  <c r="C1739" i="3"/>
  <c r="L1738" i="3"/>
  <c r="K1738" i="3"/>
  <c r="J1738" i="3"/>
  <c r="I1738" i="3"/>
  <c r="H1738" i="3"/>
  <c r="G1738" i="3"/>
  <c r="F1738" i="3"/>
  <c r="E1738" i="3"/>
  <c r="D1738" i="3"/>
  <c r="C1738" i="3"/>
  <c r="M1737" i="3"/>
  <c r="L1737" i="3"/>
  <c r="K1737" i="3"/>
  <c r="J1737" i="3"/>
  <c r="I1737" i="3"/>
  <c r="H1737" i="3"/>
  <c r="G1737" i="3"/>
  <c r="F1737" i="3"/>
  <c r="E1737" i="3"/>
  <c r="D1737" i="3"/>
  <c r="C1737" i="3"/>
  <c r="M1736" i="3"/>
  <c r="L1736" i="3"/>
  <c r="K1736" i="3"/>
  <c r="J1736" i="3"/>
  <c r="I1736" i="3"/>
  <c r="H1736" i="3"/>
  <c r="G1736" i="3"/>
  <c r="F1736" i="3"/>
  <c r="E1736" i="3"/>
  <c r="D1736" i="3"/>
  <c r="C1736" i="3"/>
  <c r="N1735" i="3"/>
  <c r="M1735" i="3"/>
  <c r="L1735" i="3"/>
  <c r="K1735" i="3"/>
  <c r="J1735" i="3"/>
  <c r="I1735" i="3"/>
  <c r="H1735" i="3"/>
  <c r="G1735" i="3"/>
  <c r="F1735" i="3"/>
  <c r="E1735" i="3"/>
  <c r="D1735" i="3"/>
  <c r="C1735" i="3"/>
  <c r="M1734" i="3"/>
  <c r="L1734" i="3"/>
  <c r="K1734" i="3"/>
  <c r="J1734" i="3"/>
  <c r="I1734" i="3"/>
  <c r="H1734" i="3"/>
  <c r="G1734" i="3"/>
  <c r="F1734" i="3"/>
  <c r="E1734" i="3"/>
  <c r="D1734" i="3"/>
  <c r="C1734" i="3"/>
  <c r="M1733" i="3"/>
  <c r="L1733" i="3"/>
  <c r="K1733" i="3"/>
  <c r="J1733" i="3"/>
  <c r="I1733" i="3"/>
  <c r="H1733" i="3"/>
  <c r="G1733" i="3"/>
  <c r="F1733" i="3"/>
  <c r="E1733" i="3"/>
  <c r="D1733" i="3"/>
  <c r="C1733" i="3"/>
  <c r="L1732" i="3"/>
  <c r="K1732" i="3"/>
  <c r="J1732" i="3"/>
  <c r="I1732" i="3"/>
  <c r="H1732" i="3"/>
  <c r="G1732" i="3"/>
  <c r="F1732" i="3"/>
  <c r="E1732" i="3"/>
  <c r="D1732" i="3"/>
  <c r="C1732" i="3"/>
  <c r="N1731" i="3"/>
  <c r="K1731" i="3"/>
  <c r="J1731" i="3"/>
  <c r="I1731" i="3"/>
  <c r="H1731" i="3"/>
  <c r="F1731" i="3"/>
  <c r="E1731" i="3"/>
  <c r="D1731" i="3"/>
  <c r="C1731" i="3"/>
  <c r="M1730" i="3"/>
  <c r="L1730" i="3"/>
  <c r="K1730" i="3"/>
  <c r="J1730" i="3"/>
  <c r="I1730" i="3"/>
  <c r="H1730" i="3"/>
  <c r="G1730" i="3"/>
  <c r="F1730" i="3"/>
  <c r="E1730" i="3"/>
  <c r="D1730" i="3"/>
  <c r="C1730" i="3"/>
  <c r="N1729" i="3"/>
  <c r="L1729" i="3"/>
  <c r="K1729" i="3"/>
  <c r="J1729" i="3"/>
  <c r="I1729" i="3"/>
  <c r="H1729" i="3"/>
  <c r="G1729" i="3"/>
  <c r="F1729" i="3"/>
  <c r="E1729" i="3"/>
  <c r="D1729" i="3"/>
  <c r="C1729" i="3"/>
  <c r="N1728" i="3"/>
  <c r="M1728" i="3"/>
  <c r="L1728" i="3"/>
  <c r="K1728" i="3"/>
  <c r="J1728" i="3"/>
  <c r="I1728" i="3"/>
  <c r="H1728" i="3"/>
  <c r="G1728" i="3"/>
  <c r="F1728" i="3"/>
  <c r="E1728" i="3"/>
  <c r="D1728" i="3"/>
  <c r="C1728" i="3"/>
  <c r="N1727" i="3"/>
  <c r="L1727" i="3"/>
  <c r="K1727" i="3"/>
  <c r="J1727" i="3"/>
  <c r="I1727" i="3"/>
  <c r="H1727" i="3"/>
  <c r="G1727" i="3"/>
  <c r="F1727" i="3"/>
  <c r="E1727" i="3"/>
  <c r="D1727" i="3"/>
  <c r="C1727" i="3"/>
  <c r="M1726" i="3"/>
  <c r="L1726" i="3"/>
  <c r="K1726" i="3"/>
  <c r="J1726" i="3"/>
  <c r="I1726" i="3"/>
  <c r="H1726" i="3"/>
  <c r="G1726" i="3"/>
  <c r="F1726" i="3"/>
  <c r="E1726" i="3"/>
  <c r="D1726" i="3"/>
  <c r="C1726" i="3"/>
  <c r="M1725" i="3"/>
  <c r="L1725" i="3"/>
  <c r="K1725" i="3"/>
  <c r="J1725" i="3"/>
  <c r="I1725" i="3"/>
  <c r="H1725" i="3"/>
  <c r="G1725" i="3"/>
  <c r="F1725" i="3"/>
  <c r="E1725" i="3"/>
  <c r="D1725" i="3"/>
  <c r="C1725" i="3"/>
  <c r="M1724" i="3"/>
  <c r="K1724" i="3"/>
  <c r="J1724" i="3"/>
  <c r="I1724" i="3"/>
  <c r="H1724" i="3"/>
  <c r="F1724" i="3"/>
  <c r="E1724" i="3"/>
  <c r="D1724" i="3"/>
  <c r="C1724" i="3"/>
  <c r="M1723" i="3"/>
  <c r="L1723" i="3"/>
  <c r="K1723" i="3"/>
  <c r="J1723" i="3"/>
  <c r="I1723" i="3"/>
  <c r="H1723" i="3"/>
  <c r="G1723" i="3"/>
  <c r="F1723" i="3"/>
  <c r="E1723" i="3"/>
  <c r="D1723" i="3"/>
  <c r="C1723" i="3"/>
  <c r="N1722" i="3"/>
  <c r="M1722" i="3"/>
  <c r="L1722" i="3"/>
  <c r="K1722" i="3"/>
  <c r="J1722" i="3"/>
  <c r="I1722" i="3"/>
  <c r="H1722" i="3"/>
  <c r="G1722" i="3"/>
  <c r="F1722" i="3"/>
  <c r="E1722" i="3"/>
  <c r="D1722" i="3"/>
  <c r="C1722" i="3"/>
  <c r="N1721" i="3"/>
  <c r="M1721" i="3"/>
  <c r="L1721" i="3"/>
  <c r="K1721" i="3"/>
  <c r="J1721" i="3"/>
  <c r="I1721" i="3"/>
  <c r="H1721" i="3"/>
  <c r="G1721" i="3"/>
  <c r="F1721" i="3"/>
  <c r="E1721" i="3"/>
  <c r="D1721" i="3"/>
  <c r="C1721" i="3"/>
  <c r="N1720" i="3"/>
  <c r="M1720" i="3"/>
  <c r="L1720" i="3"/>
  <c r="K1720" i="3"/>
  <c r="J1720" i="3"/>
  <c r="I1720" i="3"/>
  <c r="H1720" i="3"/>
  <c r="G1720" i="3"/>
  <c r="F1720" i="3"/>
  <c r="E1720" i="3"/>
  <c r="D1720" i="3"/>
  <c r="C1720" i="3"/>
  <c r="M1719" i="3"/>
  <c r="L1719" i="3"/>
  <c r="K1719" i="3"/>
  <c r="J1719" i="3"/>
  <c r="I1719" i="3"/>
  <c r="H1719" i="3"/>
  <c r="G1719" i="3"/>
  <c r="F1719" i="3"/>
  <c r="E1719" i="3"/>
  <c r="D1719" i="3"/>
  <c r="C1719" i="3"/>
  <c r="M1718" i="3"/>
  <c r="L1718" i="3"/>
  <c r="K1718" i="3"/>
  <c r="J1718" i="3"/>
  <c r="I1718" i="3"/>
  <c r="H1718" i="3"/>
  <c r="G1718" i="3"/>
  <c r="F1718" i="3"/>
  <c r="E1718" i="3"/>
  <c r="D1718" i="3"/>
  <c r="C1718" i="3"/>
  <c r="M1717" i="3"/>
  <c r="K1717" i="3"/>
  <c r="J1717" i="3"/>
  <c r="I1717" i="3"/>
  <c r="H1717" i="3"/>
  <c r="F1717" i="3"/>
  <c r="E1717" i="3"/>
  <c r="D1717" i="3"/>
  <c r="C1717" i="3"/>
  <c r="N1716" i="3"/>
  <c r="M1716" i="3"/>
  <c r="L1716" i="3"/>
  <c r="K1716" i="3"/>
  <c r="J1716" i="3"/>
  <c r="I1716" i="3"/>
  <c r="H1716" i="3"/>
  <c r="G1716" i="3"/>
  <c r="F1716" i="3"/>
  <c r="E1716" i="3"/>
  <c r="D1716" i="3"/>
  <c r="C1716" i="3"/>
  <c r="M1715" i="3"/>
  <c r="L1715" i="3"/>
  <c r="K1715" i="3"/>
  <c r="J1715" i="3"/>
  <c r="I1715" i="3"/>
  <c r="H1715" i="3"/>
  <c r="G1715" i="3"/>
  <c r="F1715" i="3"/>
  <c r="E1715" i="3"/>
  <c r="D1715" i="3"/>
  <c r="C1715" i="3"/>
  <c r="N1714" i="3"/>
  <c r="L1714" i="3"/>
  <c r="K1714" i="3"/>
  <c r="J1714" i="3"/>
  <c r="I1714" i="3"/>
  <c r="H1714" i="3"/>
  <c r="G1714" i="3"/>
  <c r="F1714" i="3"/>
  <c r="E1714" i="3"/>
  <c r="D1714" i="3"/>
  <c r="C1714" i="3"/>
  <c r="M1713" i="3"/>
  <c r="L1713" i="3"/>
  <c r="K1713" i="3"/>
  <c r="J1713" i="3"/>
  <c r="I1713" i="3"/>
  <c r="H1713" i="3"/>
  <c r="G1713" i="3"/>
  <c r="F1713" i="3"/>
  <c r="E1713" i="3"/>
  <c r="D1713" i="3"/>
  <c r="C1713" i="3"/>
  <c r="N1712" i="3"/>
  <c r="M1712" i="3"/>
  <c r="K1712" i="3"/>
  <c r="J1712" i="3"/>
  <c r="I1712" i="3"/>
  <c r="H1712" i="3"/>
  <c r="F1712" i="3"/>
  <c r="E1712" i="3"/>
  <c r="D1712" i="3"/>
  <c r="C1712" i="3"/>
  <c r="N1711" i="3"/>
  <c r="M1711" i="3"/>
  <c r="K1711" i="3"/>
  <c r="J1711" i="3"/>
  <c r="I1711" i="3"/>
  <c r="H1711" i="3"/>
  <c r="F1711" i="3"/>
  <c r="E1711" i="3"/>
  <c r="D1711" i="3"/>
  <c r="C1711" i="3"/>
  <c r="N1710" i="3"/>
  <c r="M1710" i="3"/>
  <c r="K1710" i="3"/>
  <c r="J1710" i="3"/>
  <c r="I1710" i="3"/>
  <c r="H1710" i="3"/>
  <c r="F1710" i="3"/>
  <c r="E1710" i="3"/>
  <c r="D1710" i="3"/>
  <c r="C1710" i="3"/>
  <c r="M1709" i="3"/>
  <c r="L1709" i="3"/>
  <c r="K1709" i="3"/>
  <c r="J1709" i="3"/>
  <c r="I1709" i="3"/>
  <c r="H1709" i="3"/>
  <c r="G1709" i="3"/>
  <c r="F1709" i="3"/>
  <c r="E1709" i="3"/>
  <c r="D1709" i="3"/>
  <c r="C1709" i="3"/>
  <c r="M1708" i="3"/>
  <c r="L1708" i="3"/>
  <c r="K1708" i="3"/>
  <c r="J1708" i="3"/>
  <c r="I1708" i="3"/>
  <c r="H1708" i="3"/>
  <c r="G1708" i="3"/>
  <c r="F1708" i="3"/>
  <c r="E1708" i="3"/>
  <c r="D1708" i="3"/>
  <c r="C1708" i="3"/>
  <c r="M1707" i="3"/>
  <c r="L1707" i="3"/>
  <c r="K1707" i="3"/>
  <c r="J1707" i="3"/>
  <c r="I1707" i="3"/>
  <c r="H1707" i="3"/>
  <c r="G1707" i="3"/>
  <c r="F1707" i="3"/>
  <c r="E1707" i="3"/>
  <c r="D1707" i="3"/>
  <c r="C1707" i="3"/>
  <c r="M1706" i="3"/>
  <c r="L1706" i="3"/>
  <c r="K1706" i="3"/>
  <c r="J1706" i="3"/>
  <c r="I1706" i="3"/>
  <c r="H1706" i="3"/>
  <c r="G1706" i="3"/>
  <c r="F1706" i="3"/>
  <c r="E1706" i="3"/>
  <c r="D1706" i="3"/>
  <c r="C1706" i="3"/>
  <c r="N1705" i="3"/>
  <c r="L1705" i="3"/>
  <c r="K1705" i="3"/>
  <c r="J1705" i="3"/>
  <c r="I1705" i="3"/>
  <c r="H1705" i="3"/>
  <c r="G1705" i="3"/>
  <c r="F1705" i="3"/>
  <c r="E1705" i="3"/>
  <c r="D1705" i="3"/>
  <c r="C1705" i="3"/>
  <c r="M1704" i="3"/>
  <c r="L1704" i="3"/>
  <c r="K1704" i="3"/>
  <c r="J1704" i="3"/>
  <c r="I1704" i="3"/>
  <c r="H1704" i="3"/>
  <c r="G1704" i="3"/>
  <c r="F1704" i="3"/>
  <c r="E1704" i="3"/>
  <c r="D1704" i="3"/>
  <c r="C1704" i="3"/>
  <c r="N1703" i="3"/>
  <c r="L1703" i="3"/>
  <c r="K1703" i="3"/>
  <c r="J1703" i="3"/>
  <c r="I1703" i="3"/>
  <c r="H1703" i="3"/>
  <c r="G1703" i="3"/>
  <c r="F1703" i="3"/>
  <c r="E1703" i="3"/>
  <c r="D1703" i="3"/>
  <c r="C1703" i="3"/>
  <c r="N1702" i="3"/>
  <c r="M1702" i="3"/>
  <c r="L1702" i="3"/>
  <c r="K1702" i="3"/>
  <c r="J1702" i="3"/>
  <c r="I1702" i="3"/>
  <c r="H1702" i="3"/>
  <c r="G1702" i="3"/>
  <c r="F1702" i="3"/>
  <c r="E1702" i="3"/>
  <c r="D1702" i="3"/>
  <c r="C1702" i="3"/>
  <c r="N1701" i="3"/>
  <c r="M1701" i="3"/>
  <c r="L1701" i="3"/>
  <c r="K1701" i="3"/>
  <c r="J1701" i="3"/>
  <c r="I1701" i="3"/>
  <c r="H1701" i="3"/>
  <c r="G1701" i="3"/>
  <c r="F1701" i="3"/>
  <c r="E1701" i="3"/>
  <c r="D1701" i="3"/>
  <c r="C1701" i="3"/>
  <c r="K1700" i="3"/>
  <c r="J1700" i="3"/>
  <c r="I1700" i="3"/>
  <c r="H1700" i="3"/>
  <c r="F1700" i="3"/>
  <c r="E1700" i="3"/>
  <c r="D1700" i="3"/>
  <c r="C1700" i="3"/>
  <c r="M1699" i="3"/>
  <c r="L1699" i="3"/>
  <c r="K1699" i="3"/>
  <c r="J1699" i="3"/>
  <c r="I1699" i="3"/>
  <c r="H1699" i="3"/>
  <c r="G1699" i="3"/>
  <c r="F1699" i="3"/>
  <c r="E1699" i="3"/>
  <c r="D1699" i="3"/>
  <c r="C1699" i="3"/>
  <c r="M1698" i="3"/>
  <c r="L1698" i="3"/>
  <c r="K1698" i="3"/>
  <c r="J1698" i="3"/>
  <c r="I1698" i="3"/>
  <c r="H1698" i="3"/>
  <c r="G1698" i="3"/>
  <c r="F1698" i="3"/>
  <c r="E1698" i="3"/>
  <c r="D1698" i="3"/>
  <c r="C1698" i="3"/>
  <c r="N1697" i="3"/>
  <c r="M1697" i="3"/>
  <c r="L1697" i="3"/>
  <c r="K1697" i="3"/>
  <c r="J1697" i="3"/>
  <c r="I1697" i="3"/>
  <c r="H1697" i="3"/>
  <c r="G1697" i="3"/>
  <c r="F1697" i="3"/>
  <c r="E1697" i="3"/>
  <c r="D1697" i="3"/>
  <c r="C1697" i="3"/>
  <c r="M1696" i="3"/>
  <c r="L1696" i="3"/>
  <c r="K1696" i="3"/>
  <c r="J1696" i="3"/>
  <c r="I1696" i="3"/>
  <c r="H1696" i="3"/>
  <c r="G1696" i="3"/>
  <c r="F1696" i="3"/>
  <c r="E1696" i="3"/>
  <c r="D1696" i="3"/>
  <c r="C1696" i="3"/>
  <c r="N1695" i="3"/>
  <c r="L1695" i="3"/>
  <c r="K1695" i="3"/>
  <c r="J1695" i="3"/>
  <c r="I1695" i="3"/>
  <c r="H1695" i="3"/>
  <c r="G1695" i="3"/>
  <c r="F1695" i="3"/>
  <c r="E1695" i="3"/>
  <c r="D1695" i="3"/>
  <c r="C1695" i="3"/>
  <c r="N1694" i="3"/>
  <c r="L1694" i="3"/>
  <c r="K1694" i="3"/>
  <c r="J1694" i="3"/>
  <c r="I1694" i="3"/>
  <c r="H1694" i="3"/>
  <c r="G1694" i="3"/>
  <c r="F1694" i="3"/>
  <c r="E1694" i="3"/>
  <c r="D1694" i="3"/>
  <c r="C1694" i="3"/>
  <c r="M1693" i="3"/>
  <c r="L1693" i="3"/>
  <c r="K1693" i="3"/>
  <c r="J1693" i="3"/>
  <c r="I1693" i="3"/>
  <c r="H1693" i="3"/>
  <c r="G1693" i="3"/>
  <c r="F1693" i="3"/>
  <c r="E1693" i="3"/>
  <c r="D1693" i="3"/>
  <c r="C1693" i="3"/>
  <c r="M1692" i="3"/>
  <c r="L1692" i="3"/>
  <c r="K1692" i="3"/>
  <c r="J1692" i="3"/>
  <c r="I1692" i="3"/>
  <c r="H1692" i="3"/>
  <c r="G1692" i="3"/>
  <c r="F1692" i="3"/>
  <c r="E1692" i="3"/>
  <c r="D1692" i="3"/>
  <c r="C1692" i="3"/>
  <c r="M1691" i="3"/>
  <c r="L1691" i="3"/>
  <c r="K1691" i="3"/>
  <c r="J1691" i="3"/>
  <c r="I1691" i="3"/>
  <c r="H1691" i="3"/>
  <c r="G1691" i="3"/>
  <c r="F1691" i="3"/>
  <c r="E1691" i="3"/>
  <c r="D1691" i="3"/>
  <c r="C1691" i="3"/>
  <c r="M1690" i="3"/>
  <c r="L1690" i="3"/>
  <c r="K1690" i="3"/>
  <c r="J1690" i="3"/>
  <c r="I1690" i="3"/>
  <c r="H1690" i="3"/>
  <c r="G1690" i="3"/>
  <c r="F1690" i="3"/>
  <c r="E1690" i="3"/>
  <c r="D1690" i="3"/>
  <c r="C1690" i="3"/>
  <c r="N1689" i="3"/>
  <c r="L1689" i="3"/>
  <c r="K1689" i="3"/>
  <c r="J1689" i="3"/>
  <c r="I1689" i="3"/>
  <c r="H1689" i="3"/>
  <c r="G1689" i="3"/>
  <c r="F1689" i="3"/>
  <c r="E1689" i="3"/>
  <c r="D1689" i="3"/>
  <c r="C1689" i="3"/>
  <c r="M1688" i="3"/>
  <c r="L1688" i="3"/>
  <c r="K1688" i="3"/>
  <c r="J1688" i="3"/>
  <c r="I1688" i="3"/>
  <c r="H1688" i="3"/>
  <c r="G1688" i="3"/>
  <c r="F1688" i="3"/>
  <c r="E1688" i="3"/>
  <c r="D1688" i="3"/>
  <c r="C1688" i="3"/>
  <c r="M1687" i="3"/>
  <c r="L1687" i="3"/>
  <c r="K1687" i="3"/>
  <c r="J1687" i="3"/>
  <c r="I1687" i="3"/>
  <c r="H1687" i="3"/>
  <c r="G1687" i="3"/>
  <c r="F1687" i="3"/>
  <c r="E1687" i="3"/>
  <c r="D1687" i="3"/>
  <c r="C1687" i="3"/>
  <c r="N1686" i="3"/>
  <c r="L1686" i="3"/>
  <c r="K1686" i="3"/>
  <c r="J1686" i="3"/>
  <c r="I1686" i="3"/>
  <c r="H1686" i="3"/>
  <c r="G1686" i="3"/>
  <c r="F1686" i="3"/>
  <c r="E1686" i="3"/>
  <c r="D1686" i="3"/>
  <c r="C1686" i="3"/>
  <c r="N1685" i="3"/>
  <c r="K1685" i="3"/>
  <c r="J1685" i="3"/>
  <c r="I1685" i="3"/>
  <c r="H1685" i="3"/>
  <c r="F1685" i="3"/>
  <c r="E1685" i="3"/>
  <c r="D1685" i="3"/>
  <c r="C1685" i="3"/>
  <c r="M1684" i="3"/>
  <c r="K1684" i="3"/>
  <c r="J1684" i="3"/>
  <c r="I1684" i="3"/>
  <c r="H1684" i="3"/>
  <c r="F1684" i="3"/>
  <c r="E1684" i="3"/>
  <c r="D1684" i="3"/>
  <c r="C1684" i="3"/>
  <c r="N1683" i="3"/>
  <c r="M1683" i="3"/>
  <c r="L1683" i="3"/>
  <c r="K1683" i="3"/>
  <c r="J1683" i="3"/>
  <c r="I1683" i="3"/>
  <c r="H1683" i="3"/>
  <c r="G1683" i="3"/>
  <c r="F1683" i="3"/>
  <c r="E1683" i="3"/>
  <c r="D1683" i="3"/>
  <c r="C1683" i="3"/>
  <c r="M1682" i="3"/>
  <c r="L1682" i="3"/>
  <c r="K1682" i="3"/>
  <c r="J1682" i="3"/>
  <c r="I1682" i="3"/>
  <c r="H1682" i="3"/>
  <c r="G1682" i="3"/>
  <c r="F1682" i="3"/>
  <c r="E1682" i="3"/>
  <c r="D1682" i="3"/>
  <c r="C1682" i="3"/>
  <c r="M1681" i="3"/>
  <c r="L1681" i="3"/>
  <c r="K1681" i="3"/>
  <c r="J1681" i="3"/>
  <c r="I1681" i="3"/>
  <c r="H1681" i="3"/>
  <c r="G1681" i="3"/>
  <c r="F1681" i="3"/>
  <c r="E1681" i="3"/>
  <c r="D1681" i="3"/>
  <c r="C1681" i="3"/>
  <c r="M1680" i="3"/>
  <c r="L1680" i="3"/>
  <c r="K1680" i="3"/>
  <c r="J1680" i="3"/>
  <c r="I1680" i="3"/>
  <c r="H1680" i="3"/>
  <c r="G1680" i="3"/>
  <c r="F1680" i="3"/>
  <c r="E1680" i="3"/>
  <c r="D1680" i="3"/>
  <c r="C1680" i="3"/>
  <c r="N1679" i="3"/>
  <c r="L1679" i="3"/>
  <c r="K1679" i="3"/>
  <c r="J1679" i="3"/>
  <c r="I1679" i="3"/>
  <c r="H1679" i="3"/>
  <c r="G1679" i="3"/>
  <c r="F1679" i="3"/>
  <c r="E1679" i="3"/>
  <c r="D1679" i="3"/>
  <c r="C1679" i="3"/>
  <c r="M1678" i="3"/>
  <c r="L1678" i="3"/>
  <c r="K1678" i="3"/>
  <c r="J1678" i="3"/>
  <c r="I1678" i="3"/>
  <c r="H1678" i="3"/>
  <c r="G1678" i="3"/>
  <c r="F1678" i="3"/>
  <c r="E1678" i="3"/>
  <c r="D1678" i="3"/>
  <c r="C1678" i="3"/>
  <c r="N1677" i="3"/>
  <c r="M1677" i="3"/>
  <c r="L1677" i="3"/>
  <c r="K1677" i="3"/>
  <c r="J1677" i="3"/>
  <c r="I1677" i="3"/>
  <c r="H1677" i="3"/>
  <c r="G1677" i="3"/>
  <c r="F1677" i="3"/>
  <c r="E1677" i="3"/>
  <c r="D1677" i="3"/>
  <c r="C1677" i="3"/>
  <c r="M1676" i="3"/>
  <c r="K1676" i="3"/>
  <c r="J1676" i="3"/>
  <c r="I1676" i="3"/>
  <c r="H1676" i="3"/>
  <c r="F1676" i="3"/>
  <c r="E1676" i="3"/>
  <c r="D1676" i="3"/>
  <c r="C1676" i="3"/>
  <c r="N1675" i="3"/>
  <c r="M1675" i="3"/>
  <c r="L1675" i="3"/>
  <c r="K1675" i="3"/>
  <c r="J1675" i="3"/>
  <c r="I1675" i="3"/>
  <c r="H1675" i="3"/>
  <c r="G1675" i="3"/>
  <c r="F1675" i="3"/>
  <c r="E1675" i="3"/>
  <c r="D1675" i="3"/>
  <c r="C1675" i="3"/>
  <c r="M1674" i="3"/>
  <c r="K1674" i="3"/>
  <c r="J1674" i="3"/>
  <c r="I1674" i="3"/>
  <c r="H1674" i="3"/>
  <c r="F1674" i="3"/>
  <c r="E1674" i="3"/>
  <c r="D1674" i="3"/>
  <c r="C1674" i="3"/>
  <c r="N1673" i="3"/>
  <c r="M1673" i="3"/>
  <c r="K1673" i="3"/>
  <c r="J1673" i="3"/>
  <c r="I1673" i="3"/>
  <c r="H1673" i="3"/>
  <c r="F1673" i="3"/>
  <c r="E1673" i="3"/>
  <c r="D1673" i="3"/>
  <c r="C1673" i="3"/>
  <c r="N1672" i="3"/>
  <c r="M1672" i="3"/>
  <c r="L1672" i="3"/>
  <c r="K1672" i="3"/>
  <c r="J1672" i="3"/>
  <c r="I1672" i="3"/>
  <c r="H1672" i="3"/>
  <c r="G1672" i="3"/>
  <c r="F1672" i="3"/>
  <c r="E1672" i="3"/>
  <c r="D1672" i="3"/>
  <c r="C1672" i="3"/>
  <c r="M1671" i="3"/>
  <c r="L1671" i="3"/>
  <c r="K1671" i="3"/>
  <c r="J1671" i="3"/>
  <c r="I1671" i="3"/>
  <c r="H1671" i="3"/>
  <c r="G1671" i="3"/>
  <c r="F1671" i="3"/>
  <c r="E1671" i="3"/>
  <c r="D1671" i="3"/>
  <c r="C1671" i="3"/>
  <c r="N1670" i="3"/>
  <c r="M1670" i="3"/>
  <c r="L1670" i="3"/>
  <c r="K1670" i="3"/>
  <c r="J1670" i="3"/>
  <c r="I1670" i="3"/>
  <c r="H1670" i="3"/>
  <c r="G1670" i="3"/>
  <c r="F1670" i="3"/>
  <c r="E1670" i="3"/>
  <c r="D1670" i="3"/>
  <c r="C1670" i="3"/>
  <c r="M1669" i="3"/>
  <c r="L1669" i="3"/>
  <c r="K1669" i="3"/>
  <c r="J1669" i="3"/>
  <c r="I1669" i="3"/>
  <c r="H1669" i="3"/>
  <c r="G1669" i="3"/>
  <c r="F1669" i="3"/>
  <c r="E1669" i="3"/>
  <c r="D1669" i="3"/>
  <c r="C1669" i="3"/>
  <c r="M1668" i="3"/>
  <c r="L1668" i="3"/>
  <c r="K1668" i="3"/>
  <c r="J1668" i="3"/>
  <c r="I1668" i="3"/>
  <c r="H1668" i="3"/>
  <c r="G1668" i="3"/>
  <c r="F1668" i="3"/>
  <c r="E1668" i="3"/>
  <c r="D1668" i="3"/>
  <c r="C1668" i="3"/>
  <c r="N1667" i="3"/>
  <c r="L1667" i="3"/>
  <c r="K1667" i="3"/>
  <c r="J1667" i="3"/>
  <c r="I1667" i="3"/>
  <c r="H1667" i="3"/>
  <c r="G1667" i="3"/>
  <c r="F1667" i="3"/>
  <c r="E1667" i="3"/>
  <c r="D1667" i="3"/>
  <c r="C1667" i="3"/>
  <c r="M1666" i="3"/>
  <c r="L1666" i="3"/>
  <c r="K1666" i="3"/>
  <c r="J1666" i="3"/>
  <c r="I1666" i="3"/>
  <c r="H1666" i="3"/>
  <c r="G1666" i="3"/>
  <c r="F1666" i="3"/>
  <c r="E1666" i="3"/>
  <c r="D1666" i="3"/>
  <c r="C1666" i="3"/>
  <c r="N1665" i="3"/>
  <c r="K1665" i="3"/>
  <c r="J1665" i="3"/>
  <c r="I1665" i="3"/>
  <c r="H1665" i="3"/>
  <c r="F1665" i="3"/>
  <c r="E1665" i="3"/>
  <c r="D1665" i="3"/>
  <c r="C1665" i="3"/>
  <c r="N1664" i="3"/>
  <c r="L1664" i="3"/>
  <c r="K1664" i="3"/>
  <c r="J1664" i="3"/>
  <c r="I1664" i="3"/>
  <c r="H1664" i="3"/>
  <c r="G1664" i="3"/>
  <c r="F1664" i="3"/>
  <c r="E1664" i="3"/>
  <c r="D1664" i="3"/>
  <c r="C1664" i="3"/>
  <c r="N1663" i="3"/>
  <c r="K1663" i="3"/>
  <c r="J1663" i="3"/>
  <c r="I1663" i="3"/>
  <c r="H1663" i="3"/>
  <c r="F1663" i="3"/>
  <c r="E1663" i="3"/>
  <c r="D1663" i="3"/>
  <c r="C1663" i="3"/>
  <c r="M1662" i="3"/>
  <c r="L1662" i="3"/>
  <c r="K1662" i="3"/>
  <c r="J1662" i="3"/>
  <c r="I1662" i="3"/>
  <c r="H1662" i="3"/>
  <c r="G1662" i="3"/>
  <c r="F1662" i="3"/>
  <c r="E1662" i="3"/>
  <c r="D1662" i="3"/>
  <c r="C1662" i="3"/>
  <c r="M1661" i="3"/>
  <c r="L1661" i="3"/>
  <c r="K1661" i="3"/>
  <c r="J1661" i="3"/>
  <c r="I1661" i="3"/>
  <c r="H1661" i="3"/>
  <c r="G1661" i="3"/>
  <c r="F1661" i="3"/>
  <c r="E1661" i="3"/>
  <c r="D1661" i="3"/>
  <c r="C1661" i="3"/>
  <c r="M1660" i="3"/>
  <c r="L1660" i="3"/>
  <c r="K1660" i="3"/>
  <c r="J1660" i="3"/>
  <c r="I1660" i="3"/>
  <c r="H1660" i="3"/>
  <c r="G1660" i="3"/>
  <c r="F1660" i="3"/>
  <c r="E1660" i="3"/>
  <c r="D1660" i="3"/>
  <c r="C1660" i="3"/>
  <c r="M1659" i="3"/>
  <c r="L1659" i="3"/>
  <c r="K1659" i="3"/>
  <c r="J1659" i="3"/>
  <c r="I1659" i="3"/>
  <c r="H1659" i="3"/>
  <c r="G1659" i="3"/>
  <c r="F1659" i="3"/>
  <c r="E1659" i="3"/>
  <c r="D1659" i="3"/>
  <c r="C1659" i="3"/>
  <c r="M1658" i="3"/>
  <c r="L1658" i="3"/>
  <c r="K1658" i="3"/>
  <c r="J1658" i="3"/>
  <c r="I1658" i="3"/>
  <c r="H1658" i="3"/>
  <c r="G1658" i="3"/>
  <c r="F1658" i="3"/>
  <c r="E1658" i="3"/>
  <c r="D1658" i="3"/>
  <c r="C1658" i="3"/>
  <c r="M1657" i="3"/>
  <c r="L1657" i="3"/>
  <c r="K1657" i="3"/>
  <c r="J1657" i="3"/>
  <c r="I1657" i="3"/>
  <c r="H1657" i="3"/>
  <c r="G1657" i="3"/>
  <c r="F1657" i="3"/>
  <c r="E1657" i="3"/>
  <c r="D1657" i="3"/>
  <c r="C1657" i="3"/>
  <c r="M1656" i="3"/>
  <c r="L1656" i="3"/>
  <c r="K1656" i="3"/>
  <c r="J1656" i="3"/>
  <c r="I1656" i="3"/>
  <c r="H1656" i="3"/>
  <c r="G1656" i="3"/>
  <c r="F1656" i="3"/>
  <c r="E1656" i="3"/>
  <c r="D1656" i="3"/>
  <c r="C1656" i="3"/>
  <c r="M1655" i="3"/>
  <c r="K1655" i="3"/>
  <c r="J1655" i="3"/>
  <c r="I1655" i="3"/>
  <c r="H1655" i="3"/>
  <c r="F1655" i="3"/>
  <c r="E1655" i="3"/>
  <c r="D1655" i="3"/>
  <c r="C1655" i="3"/>
  <c r="M1654" i="3"/>
  <c r="L1654" i="3"/>
  <c r="K1654" i="3"/>
  <c r="J1654" i="3"/>
  <c r="I1654" i="3"/>
  <c r="H1654" i="3"/>
  <c r="G1654" i="3"/>
  <c r="F1654" i="3"/>
  <c r="E1654" i="3"/>
  <c r="D1654" i="3"/>
  <c r="C1654" i="3"/>
  <c r="N1653" i="3"/>
  <c r="L1653" i="3"/>
  <c r="K1653" i="3"/>
  <c r="J1653" i="3"/>
  <c r="I1653" i="3"/>
  <c r="H1653" i="3"/>
  <c r="G1653" i="3"/>
  <c r="F1653" i="3"/>
  <c r="E1653" i="3"/>
  <c r="D1653" i="3"/>
  <c r="C1653" i="3"/>
  <c r="N1652" i="3"/>
  <c r="L1652" i="3"/>
  <c r="K1652" i="3"/>
  <c r="J1652" i="3"/>
  <c r="I1652" i="3"/>
  <c r="H1652" i="3"/>
  <c r="G1652" i="3"/>
  <c r="F1652" i="3"/>
  <c r="E1652" i="3"/>
  <c r="D1652" i="3"/>
  <c r="C1652" i="3"/>
  <c r="N1651" i="3"/>
  <c r="M1651" i="3"/>
  <c r="L1651" i="3"/>
  <c r="K1651" i="3"/>
  <c r="J1651" i="3"/>
  <c r="I1651" i="3"/>
  <c r="H1651" i="3"/>
  <c r="G1651" i="3"/>
  <c r="F1651" i="3"/>
  <c r="E1651" i="3"/>
  <c r="D1651" i="3"/>
  <c r="C1651" i="3"/>
  <c r="M1650" i="3"/>
  <c r="L1650" i="3"/>
  <c r="K1650" i="3"/>
  <c r="J1650" i="3"/>
  <c r="I1650" i="3"/>
  <c r="H1650" i="3"/>
  <c r="G1650" i="3"/>
  <c r="F1650" i="3"/>
  <c r="E1650" i="3"/>
  <c r="D1650" i="3"/>
  <c r="C1650" i="3"/>
  <c r="N1649" i="3"/>
  <c r="L1649" i="3"/>
  <c r="K1649" i="3"/>
  <c r="J1649" i="3"/>
  <c r="I1649" i="3"/>
  <c r="H1649" i="3"/>
  <c r="G1649" i="3"/>
  <c r="F1649" i="3"/>
  <c r="E1649" i="3"/>
  <c r="D1649" i="3"/>
  <c r="C1649" i="3"/>
  <c r="M1648" i="3"/>
  <c r="L1648" i="3"/>
  <c r="K1648" i="3"/>
  <c r="J1648" i="3"/>
  <c r="I1648" i="3"/>
  <c r="H1648" i="3"/>
  <c r="G1648" i="3"/>
  <c r="F1648" i="3"/>
  <c r="E1648" i="3"/>
  <c r="D1648" i="3"/>
  <c r="C1648" i="3"/>
  <c r="M1647" i="3"/>
  <c r="L1647" i="3"/>
  <c r="K1647" i="3"/>
  <c r="J1647" i="3"/>
  <c r="I1647" i="3"/>
  <c r="H1647" i="3"/>
  <c r="G1647" i="3"/>
  <c r="F1647" i="3"/>
  <c r="E1647" i="3"/>
  <c r="D1647" i="3"/>
  <c r="C1647" i="3"/>
  <c r="N1646" i="3"/>
  <c r="M1646" i="3"/>
  <c r="K1646" i="3"/>
  <c r="J1646" i="3"/>
  <c r="I1646" i="3"/>
  <c r="H1646" i="3"/>
  <c r="F1646" i="3"/>
  <c r="E1646" i="3"/>
  <c r="D1646" i="3"/>
  <c r="C1646" i="3"/>
  <c r="N1645" i="3"/>
  <c r="M1645" i="3"/>
  <c r="K1645" i="3"/>
  <c r="J1645" i="3"/>
  <c r="I1645" i="3"/>
  <c r="H1645" i="3"/>
  <c r="F1645" i="3"/>
  <c r="E1645" i="3"/>
  <c r="D1645" i="3"/>
  <c r="C1645" i="3"/>
  <c r="N1644" i="3"/>
  <c r="L1644" i="3"/>
  <c r="K1644" i="3"/>
  <c r="J1644" i="3"/>
  <c r="I1644" i="3"/>
  <c r="H1644" i="3"/>
  <c r="G1644" i="3"/>
  <c r="F1644" i="3"/>
  <c r="E1644" i="3"/>
  <c r="D1644" i="3"/>
  <c r="C1644" i="3"/>
  <c r="N1643" i="3"/>
  <c r="L1643" i="3"/>
  <c r="K1643" i="3"/>
  <c r="J1643" i="3"/>
  <c r="I1643" i="3"/>
  <c r="H1643" i="3"/>
  <c r="G1643" i="3"/>
  <c r="F1643" i="3"/>
  <c r="E1643" i="3"/>
  <c r="D1643" i="3"/>
  <c r="C1643" i="3"/>
  <c r="M1642" i="3"/>
  <c r="L1642" i="3"/>
  <c r="K1642" i="3"/>
  <c r="J1642" i="3"/>
  <c r="I1642" i="3"/>
  <c r="H1642" i="3"/>
  <c r="G1642" i="3"/>
  <c r="F1642" i="3"/>
  <c r="E1642" i="3"/>
  <c r="D1642" i="3"/>
  <c r="C1642" i="3"/>
  <c r="M1641" i="3"/>
  <c r="L1641" i="3"/>
  <c r="K1641" i="3"/>
  <c r="J1641" i="3"/>
  <c r="I1641" i="3"/>
  <c r="H1641" i="3"/>
  <c r="G1641" i="3"/>
  <c r="F1641" i="3"/>
  <c r="E1641" i="3"/>
  <c r="D1641" i="3"/>
  <c r="C1641" i="3"/>
  <c r="M1640" i="3"/>
  <c r="L1640" i="3"/>
  <c r="K1640" i="3"/>
  <c r="J1640" i="3"/>
  <c r="I1640" i="3"/>
  <c r="H1640" i="3"/>
  <c r="G1640" i="3"/>
  <c r="F1640" i="3"/>
  <c r="E1640" i="3"/>
  <c r="D1640" i="3"/>
  <c r="C1640" i="3"/>
  <c r="M1639" i="3"/>
  <c r="L1639" i="3"/>
  <c r="K1639" i="3"/>
  <c r="J1639" i="3"/>
  <c r="I1639" i="3"/>
  <c r="H1639" i="3"/>
  <c r="G1639" i="3"/>
  <c r="F1639" i="3"/>
  <c r="E1639" i="3"/>
  <c r="D1639" i="3"/>
  <c r="C1639" i="3"/>
  <c r="K1638" i="3"/>
  <c r="J1638" i="3"/>
  <c r="I1638" i="3"/>
  <c r="H1638" i="3"/>
  <c r="F1638" i="3"/>
  <c r="E1638" i="3"/>
  <c r="D1638" i="3"/>
  <c r="C1638" i="3"/>
  <c r="L1637" i="3"/>
  <c r="K1637" i="3"/>
  <c r="J1637" i="3"/>
  <c r="I1637" i="3"/>
  <c r="H1637" i="3"/>
  <c r="G1637" i="3"/>
  <c r="F1637" i="3"/>
  <c r="E1637" i="3"/>
  <c r="D1637" i="3"/>
  <c r="C1637" i="3"/>
  <c r="M1636" i="3"/>
  <c r="L1636" i="3"/>
  <c r="K1636" i="3"/>
  <c r="J1636" i="3"/>
  <c r="I1636" i="3"/>
  <c r="H1636" i="3"/>
  <c r="G1636" i="3"/>
  <c r="F1636" i="3"/>
  <c r="E1636" i="3"/>
  <c r="D1636" i="3"/>
  <c r="C1636" i="3"/>
  <c r="N1635" i="3"/>
  <c r="M1635" i="3"/>
  <c r="L1635" i="3"/>
  <c r="K1635" i="3"/>
  <c r="J1635" i="3"/>
  <c r="I1635" i="3"/>
  <c r="H1635" i="3"/>
  <c r="G1635" i="3"/>
  <c r="F1635" i="3"/>
  <c r="E1635" i="3"/>
  <c r="D1635" i="3"/>
  <c r="C1635" i="3"/>
  <c r="N1634" i="3"/>
  <c r="M1634" i="3"/>
  <c r="L1634" i="3"/>
  <c r="K1634" i="3"/>
  <c r="J1634" i="3"/>
  <c r="I1634" i="3"/>
  <c r="H1634" i="3"/>
  <c r="G1634" i="3"/>
  <c r="F1634" i="3"/>
  <c r="E1634" i="3"/>
  <c r="D1634" i="3"/>
  <c r="C1634" i="3"/>
  <c r="N1633" i="3"/>
  <c r="M1633" i="3"/>
  <c r="L1633" i="3"/>
  <c r="K1633" i="3"/>
  <c r="J1633" i="3"/>
  <c r="I1633" i="3"/>
  <c r="H1633" i="3"/>
  <c r="G1633" i="3"/>
  <c r="F1633" i="3"/>
  <c r="E1633" i="3"/>
  <c r="D1633" i="3"/>
  <c r="C1633" i="3"/>
  <c r="N1632" i="3"/>
  <c r="M1632" i="3"/>
  <c r="L1632" i="3"/>
  <c r="K1632" i="3"/>
  <c r="J1632" i="3"/>
  <c r="I1632" i="3"/>
  <c r="H1632" i="3"/>
  <c r="G1632" i="3"/>
  <c r="F1632" i="3"/>
  <c r="E1632" i="3"/>
  <c r="D1632" i="3"/>
  <c r="C1632" i="3"/>
  <c r="N1631" i="3"/>
  <c r="M1631" i="3"/>
  <c r="L1631" i="3"/>
  <c r="K1631" i="3"/>
  <c r="J1631" i="3"/>
  <c r="I1631" i="3"/>
  <c r="H1631" i="3"/>
  <c r="G1631" i="3"/>
  <c r="F1631" i="3"/>
  <c r="E1631" i="3"/>
  <c r="D1631" i="3"/>
  <c r="C1631" i="3"/>
  <c r="N1630" i="3"/>
  <c r="M1630" i="3"/>
  <c r="L1630" i="3"/>
  <c r="K1630" i="3"/>
  <c r="J1630" i="3"/>
  <c r="I1630" i="3"/>
  <c r="H1630" i="3"/>
  <c r="G1630" i="3"/>
  <c r="F1630" i="3"/>
  <c r="E1630" i="3"/>
  <c r="D1630" i="3"/>
  <c r="C1630" i="3"/>
  <c r="N1629" i="3"/>
  <c r="M1629" i="3"/>
  <c r="L1629" i="3"/>
  <c r="K1629" i="3"/>
  <c r="J1629" i="3"/>
  <c r="I1629" i="3"/>
  <c r="H1629" i="3"/>
  <c r="G1629" i="3"/>
  <c r="F1629" i="3"/>
  <c r="E1629" i="3"/>
  <c r="D1629" i="3"/>
  <c r="C1629" i="3"/>
  <c r="N1628" i="3"/>
  <c r="M1628" i="3"/>
  <c r="L1628" i="3"/>
  <c r="K1628" i="3"/>
  <c r="J1628" i="3"/>
  <c r="I1628" i="3"/>
  <c r="H1628" i="3"/>
  <c r="G1628" i="3"/>
  <c r="F1628" i="3"/>
  <c r="E1628" i="3"/>
  <c r="D1628" i="3"/>
  <c r="C1628" i="3"/>
  <c r="M1627" i="3"/>
  <c r="L1627" i="3"/>
  <c r="K1627" i="3"/>
  <c r="J1627" i="3"/>
  <c r="I1627" i="3"/>
  <c r="H1627" i="3"/>
  <c r="G1627" i="3"/>
  <c r="F1627" i="3"/>
  <c r="E1627" i="3"/>
  <c r="D1627" i="3"/>
  <c r="C1627" i="3"/>
  <c r="M1626" i="3"/>
  <c r="L1626" i="3"/>
  <c r="K1626" i="3"/>
  <c r="J1626" i="3"/>
  <c r="I1626" i="3"/>
  <c r="H1626" i="3"/>
  <c r="G1626" i="3"/>
  <c r="F1626" i="3"/>
  <c r="E1626" i="3"/>
  <c r="D1626" i="3"/>
  <c r="C1626" i="3"/>
  <c r="M1625" i="3"/>
  <c r="L1625" i="3"/>
  <c r="K1625" i="3"/>
  <c r="J1625" i="3"/>
  <c r="I1625" i="3"/>
  <c r="H1625" i="3"/>
  <c r="G1625" i="3"/>
  <c r="F1625" i="3"/>
  <c r="E1625" i="3"/>
  <c r="D1625" i="3"/>
  <c r="C1625" i="3"/>
  <c r="M1624" i="3"/>
  <c r="L1624" i="3"/>
  <c r="K1624" i="3"/>
  <c r="J1624" i="3"/>
  <c r="I1624" i="3"/>
  <c r="H1624" i="3"/>
  <c r="G1624" i="3"/>
  <c r="F1624" i="3"/>
  <c r="E1624" i="3"/>
  <c r="D1624" i="3"/>
  <c r="C1624" i="3"/>
  <c r="N1623" i="3"/>
  <c r="L1623" i="3"/>
  <c r="K1623" i="3"/>
  <c r="J1623" i="3"/>
  <c r="I1623" i="3"/>
  <c r="H1623" i="3"/>
  <c r="G1623" i="3"/>
  <c r="F1623" i="3"/>
  <c r="E1623" i="3"/>
  <c r="D1623" i="3"/>
  <c r="C1623" i="3"/>
  <c r="N1622" i="3"/>
  <c r="M1622" i="3"/>
  <c r="L1622" i="3"/>
  <c r="K1622" i="3"/>
  <c r="J1622" i="3"/>
  <c r="I1622" i="3"/>
  <c r="H1622" i="3"/>
  <c r="G1622" i="3"/>
  <c r="F1622" i="3"/>
  <c r="E1622" i="3"/>
  <c r="D1622" i="3"/>
  <c r="C1622" i="3"/>
  <c r="M1621" i="3"/>
  <c r="L1621" i="3"/>
  <c r="K1621" i="3"/>
  <c r="J1621" i="3"/>
  <c r="I1621" i="3"/>
  <c r="H1621" i="3"/>
  <c r="G1621" i="3"/>
  <c r="F1621" i="3"/>
  <c r="E1621" i="3"/>
  <c r="D1621" i="3"/>
  <c r="C1621" i="3"/>
  <c r="N1620" i="3"/>
  <c r="M1620" i="3"/>
  <c r="L1620" i="3"/>
  <c r="K1620" i="3"/>
  <c r="J1620" i="3"/>
  <c r="I1620" i="3"/>
  <c r="H1620" i="3"/>
  <c r="G1620" i="3"/>
  <c r="F1620" i="3"/>
  <c r="E1620" i="3"/>
  <c r="D1620" i="3"/>
  <c r="C1620" i="3"/>
  <c r="M1619" i="3"/>
  <c r="L1619" i="3"/>
  <c r="K1619" i="3"/>
  <c r="J1619" i="3"/>
  <c r="I1619" i="3"/>
  <c r="H1619" i="3"/>
  <c r="G1619" i="3"/>
  <c r="F1619" i="3"/>
  <c r="E1619" i="3"/>
  <c r="D1619" i="3"/>
  <c r="C1619" i="3"/>
  <c r="M1618" i="3"/>
  <c r="K1618" i="3"/>
  <c r="J1618" i="3"/>
  <c r="I1618" i="3"/>
  <c r="H1618" i="3"/>
  <c r="F1618" i="3"/>
  <c r="E1618" i="3"/>
  <c r="D1618" i="3"/>
  <c r="C1618" i="3"/>
  <c r="M1617" i="3"/>
  <c r="L1617" i="3"/>
  <c r="K1617" i="3"/>
  <c r="J1617" i="3"/>
  <c r="I1617" i="3"/>
  <c r="H1617" i="3"/>
  <c r="G1617" i="3"/>
  <c r="F1617" i="3"/>
  <c r="E1617" i="3"/>
  <c r="D1617" i="3"/>
  <c r="C1617" i="3"/>
  <c r="N1616" i="3"/>
  <c r="M1616" i="3"/>
  <c r="K1616" i="3"/>
  <c r="J1616" i="3"/>
  <c r="I1616" i="3"/>
  <c r="H1616" i="3"/>
  <c r="F1616" i="3"/>
  <c r="E1616" i="3"/>
  <c r="D1616" i="3"/>
  <c r="C1616" i="3"/>
  <c r="M1615" i="3"/>
  <c r="K1615" i="3"/>
  <c r="J1615" i="3"/>
  <c r="I1615" i="3"/>
  <c r="H1615" i="3"/>
  <c r="F1615" i="3"/>
  <c r="E1615" i="3"/>
  <c r="D1615" i="3"/>
  <c r="C1615" i="3"/>
  <c r="M1614" i="3"/>
  <c r="L1614" i="3"/>
  <c r="K1614" i="3"/>
  <c r="J1614" i="3"/>
  <c r="I1614" i="3"/>
  <c r="H1614" i="3"/>
  <c r="G1614" i="3"/>
  <c r="F1614" i="3"/>
  <c r="E1614" i="3"/>
  <c r="D1614" i="3"/>
  <c r="C1614" i="3"/>
  <c r="M1613" i="3"/>
  <c r="L1613" i="3"/>
  <c r="K1613" i="3"/>
  <c r="J1613" i="3"/>
  <c r="I1613" i="3"/>
  <c r="H1613" i="3"/>
  <c r="G1613" i="3"/>
  <c r="F1613" i="3"/>
  <c r="E1613" i="3"/>
  <c r="D1613" i="3"/>
  <c r="C1613" i="3"/>
  <c r="N1612" i="3"/>
  <c r="L1612" i="3"/>
  <c r="K1612" i="3"/>
  <c r="J1612" i="3"/>
  <c r="I1612" i="3"/>
  <c r="H1612" i="3"/>
  <c r="G1612" i="3"/>
  <c r="F1612" i="3"/>
  <c r="E1612" i="3"/>
  <c r="D1612" i="3"/>
  <c r="C1612" i="3"/>
  <c r="N1611" i="3"/>
  <c r="K1611" i="3"/>
  <c r="J1611" i="3"/>
  <c r="I1611" i="3"/>
  <c r="H1611" i="3"/>
  <c r="F1611" i="3"/>
  <c r="E1611" i="3"/>
  <c r="D1611" i="3"/>
  <c r="C1611" i="3"/>
  <c r="M1610" i="3"/>
  <c r="L1610" i="3"/>
  <c r="K1610" i="3"/>
  <c r="J1610" i="3"/>
  <c r="I1610" i="3"/>
  <c r="H1610" i="3"/>
  <c r="G1610" i="3"/>
  <c r="F1610" i="3"/>
  <c r="E1610" i="3"/>
  <c r="D1610" i="3"/>
  <c r="C1610" i="3"/>
  <c r="L1609" i="3"/>
  <c r="K1609" i="3"/>
  <c r="J1609" i="3"/>
  <c r="I1609" i="3"/>
  <c r="H1609" i="3"/>
  <c r="G1609" i="3"/>
  <c r="F1609" i="3"/>
  <c r="E1609" i="3"/>
  <c r="D1609" i="3"/>
  <c r="C1609" i="3"/>
  <c r="M1608" i="3"/>
  <c r="L1608" i="3"/>
  <c r="K1608" i="3"/>
  <c r="J1608" i="3"/>
  <c r="I1608" i="3"/>
  <c r="H1608" i="3"/>
  <c r="G1608" i="3"/>
  <c r="F1608" i="3"/>
  <c r="E1608" i="3"/>
  <c r="D1608" i="3"/>
  <c r="C1608" i="3"/>
  <c r="N1607" i="3"/>
  <c r="L1607" i="3"/>
  <c r="K1607" i="3"/>
  <c r="J1607" i="3"/>
  <c r="I1607" i="3"/>
  <c r="H1607" i="3"/>
  <c r="G1607" i="3"/>
  <c r="F1607" i="3"/>
  <c r="E1607" i="3"/>
  <c r="D1607" i="3"/>
  <c r="C1607" i="3"/>
  <c r="M1606" i="3"/>
  <c r="L1606" i="3"/>
  <c r="K1606" i="3"/>
  <c r="J1606" i="3"/>
  <c r="I1606" i="3"/>
  <c r="H1606" i="3"/>
  <c r="G1606" i="3"/>
  <c r="F1606" i="3"/>
  <c r="E1606" i="3"/>
  <c r="D1606" i="3"/>
  <c r="C1606" i="3"/>
  <c r="M1605" i="3"/>
  <c r="L1605" i="3"/>
  <c r="K1605" i="3"/>
  <c r="J1605" i="3"/>
  <c r="I1605" i="3"/>
  <c r="H1605" i="3"/>
  <c r="G1605" i="3"/>
  <c r="F1605" i="3"/>
  <c r="E1605" i="3"/>
  <c r="D1605" i="3"/>
  <c r="C1605" i="3"/>
  <c r="M1604" i="3"/>
  <c r="L1604" i="3"/>
  <c r="K1604" i="3"/>
  <c r="J1604" i="3"/>
  <c r="I1604" i="3"/>
  <c r="H1604" i="3"/>
  <c r="G1604" i="3"/>
  <c r="F1604" i="3"/>
  <c r="E1604" i="3"/>
  <c r="D1604" i="3"/>
  <c r="C1604" i="3"/>
  <c r="N1603" i="3"/>
  <c r="L1603" i="3"/>
  <c r="K1603" i="3"/>
  <c r="J1603" i="3"/>
  <c r="I1603" i="3"/>
  <c r="H1603" i="3"/>
  <c r="G1603" i="3"/>
  <c r="F1603" i="3"/>
  <c r="E1603" i="3"/>
  <c r="D1603" i="3"/>
  <c r="C1603" i="3"/>
  <c r="M1602" i="3"/>
  <c r="L1602" i="3"/>
  <c r="K1602" i="3"/>
  <c r="J1602" i="3"/>
  <c r="I1602" i="3"/>
  <c r="H1602" i="3"/>
  <c r="G1602" i="3"/>
  <c r="F1602" i="3"/>
  <c r="E1602" i="3"/>
  <c r="D1602" i="3"/>
  <c r="C1602" i="3"/>
  <c r="M1601" i="3"/>
  <c r="L1601" i="3"/>
  <c r="K1601" i="3"/>
  <c r="J1601" i="3"/>
  <c r="I1601" i="3"/>
  <c r="H1601" i="3"/>
  <c r="G1601" i="3"/>
  <c r="F1601" i="3"/>
  <c r="E1601" i="3"/>
  <c r="D1601" i="3"/>
  <c r="C1601" i="3"/>
  <c r="N1600" i="3"/>
  <c r="M1600" i="3"/>
  <c r="L1600" i="3"/>
  <c r="K1600" i="3"/>
  <c r="J1600" i="3"/>
  <c r="I1600" i="3"/>
  <c r="H1600" i="3"/>
  <c r="G1600" i="3"/>
  <c r="F1600" i="3"/>
  <c r="E1600" i="3"/>
  <c r="D1600" i="3"/>
  <c r="C1600" i="3"/>
  <c r="M1599" i="3"/>
  <c r="L1599" i="3"/>
  <c r="K1599" i="3"/>
  <c r="J1599" i="3"/>
  <c r="I1599" i="3"/>
  <c r="H1599" i="3"/>
  <c r="G1599" i="3"/>
  <c r="F1599" i="3"/>
  <c r="E1599" i="3"/>
  <c r="D1599" i="3"/>
  <c r="C1599" i="3"/>
  <c r="M1598" i="3"/>
  <c r="L1598" i="3"/>
  <c r="K1598" i="3"/>
  <c r="J1598" i="3"/>
  <c r="I1598" i="3"/>
  <c r="H1598" i="3"/>
  <c r="G1598" i="3"/>
  <c r="F1598" i="3"/>
  <c r="E1598" i="3"/>
  <c r="D1598" i="3"/>
  <c r="C1598" i="3"/>
  <c r="M1597" i="3"/>
  <c r="L1597" i="3"/>
  <c r="K1597" i="3"/>
  <c r="J1597" i="3"/>
  <c r="I1597" i="3"/>
  <c r="H1597" i="3"/>
  <c r="G1597" i="3"/>
  <c r="F1597" i="3"/>
  <c r="E1597" i="3"/>
  <c r="D1597" i="3"/>
  <c r="C1597" i="3"/>
  <c r="N1596" i="3"/>
  <c r="M1596" i="3"/>
  <c r="K1596" i="3"/>
  <c r="J1596" i="3"/>
  <c r="I1596" i="3"/>
  <c r="H1596" i="3"/>
  <c r="F1596" i="3"/>
  <c r="E1596" i="3"/>
  <c r="D1596" i="3"/>
  <c r="C1596" i="3"/>
  <c r="M1595" i="3"/>
  <c r="L1595" i="3"/>
  <c r="K1595" i="3"/>
  <c r="J1595" i="3"/>
  <c r="I1595" i="3"/>
  <c r="H1595" i="3"/>
  <c r="G1595" i="3"/>
  <c r="F1595" i="3"/>
  <c r="E1595" i="3"/>
  <c r="D1595" i="3"/>
  <c r="C1595" i="3"/>
  <c r="M1594" i="3"/>
  <c r="L1594" i="3"/>
  <c r="K1594" i="3"/>
  <c r="J1594" i="3"/>
  <c r="I1594" i="3"/>
  <c r="H1594" i="3"/>
  <c r="G1594" i="3"/>
  <c r="F1594" i="3"/>
  <c r="E1594" i="3"/>
  <c r="D1594" i="3"/>
  <c r="C1594" i="3"/>
  <c r="M1593" i="3"/>
  <c r="L1593" i="3"/>
  <c r="K1593" i="3"/>
  <c r="J1593" i="3"/>
  <c r="I1593" i="3"/>
  <c r="H1593" i="3"/>
  <c r="G1593" i="3"/>
  <c r="F1593" i="3"/>
  <c r="E1593" i="3"/>
  <c r="D1593" i="3"/>
  <c r="C1593" i="3"/>
  <c r="M1592" i="3"/>
  <c r="L1592" i="3"/>
  <c r="K1592" i="3"/>
  <c r="J1592" i="3"/>
  <c r="I1592" i="3"/>
  <c r="H1592" i="3"/>
  <c r="G1592" i="3"/>
  <c r="F1592" i="3"/>
  <c r="E1592" i="3"/>
  <c r="D1592" i="3"/>
  <c r="C1592" i="3"/>
  <c r="N1591" i="3"/>
  <c r="L1591" i="3"/>
  <c r="K1591" i="3"/>
  <c r="J1591" i="3"/>
  <c r="I1591" i="3"/>
  <c r="H1591" i="3"/>
  <c r="G1591" i="3"/>
  <c r="F1591" i="3"/>
  <c r="E1591" i="3"/>
  <c r="D1591" i="3"/>
  <c r="C1591" i="3"/>
  <c r="M1590" i="3"/>
  <c r="L1590" i="3"/>
  <c r="K1590" i="3"/>
  <c r="J1590" i="3"/>
  <c r="I1590" i="3"/>
  <c r="H1590" i="3"/>
  <c r="G1590" i="3"/>
  <c r="F1590" i="3"/>
  <c r="E1590" i="3"/>
  <c r="D1590" i="3"/>
  <c r="C1590" i="3"/>
  <c r="M1589" i="3"/>
  <c r="L1589" i="3"/>
  <c r="K1589" i="3"/>
  <c r="J1589" i="3"/>
  <c r="I1589" i="3"/>
  <c r="H1589" i="3"/>
  <c r="G1589" i="3"/>
  <c r="F1589" i="3"/>
  <c r="E1589" i="3"/>
  <c r="D1589" i="3"/>
  <c r="C1589" i="3"/>
  <c r="M1588" i="3"/>
  <c r="L1588" i="3"/>
  <c r="K1588" i="3"/>
  <c r="J1588" i="3"/>
  <c r="I1588" i="3"/>
  <c r="H1588" i="3"/>
  <c r="G1588" i="3"/>
  <c r="F1588" i="3"/>
  <c r="E1588" i="3"/>
  <c r="D1588" i="3"/>
  <c r="C1588" i="3"/>
  <c r="M1587" i="3"/>
  <c r="L1587" i="3"/>
  <c r="K1587" i="3"/>
  <c r="J1587" i="3"/>
  <c r="I1587" i="3"/>
  <c r="H1587" i="3"/>
  <c r="G1587" i="3"/>
  <c r="F1587" i="3"/>
  <c r="E1587" i="3"/>
  <c r="D1587" i="3"/>
  <c r="C1587" i="3"/>
  <c r="N1586" i="3"/>
  <c r="L1586" i="3"/>
  <c r="K1586" i="3"/>
  <c r="J1586" i="3"/>
  <c r="I1586" i="3"/>
  <c r="H1586" i="3"/>
  <c r="G1586" i="3"/>
  <c r="F1586" i="3"/>
  <c r="E1586" i="3"/>
  <c r="D1586" i="3"/>
  <c r="C1586" i="3"/>
  <c r="M1585" i="3"/>
  <c r="L1585" i="3"/>
  <c r="K1585" i="3"/>
  <c r="J1585" i="3"/>
  <c r="I1585" i="3"/>
  <c r="H1585" i="3"/>
  <c r="G1585" i="3"/>
  <c r="F1585" i="3"/>
  <c r="E1585" i="3"/>
  <c r="D1585" i="3"/>
  <c r="C1585" i="3"/>
  <c r="N1584" i="3"/>
  <c r="M1584" i="3"/>
  <c r="L1584" i="3"/>
  <c r="K1584" i="3"/>
  <c r="J1584" i="3"/>
  <c r="I1584" i="3"/>
  <c r="H1584" i="3"/>
  <c r="G1584" i="3"/>
  <c r="F1584" i="3"/>
  <c r="E1584" i="3"/>
  <c r="D1584" i="3"/>
  <c r="C1584" i="3"/>
  <c r="N1583" i="3"/>
  <c r="M1583" i="3"/>
  <c r="L1583" i="3"/>
  <c r="K1583" i="3"/>
  <c r="J1583" i="3"/>
  <c r="I1583" i="3"/>
  <c r="H1583" i="3"/>
  <c r="G1583" i="3"/>
  <c r="F1583" i="3"/>
  <c r="E1583" i="3"/>
  <c r="D1583" i="3"/>
  <c r="C1583" i="3"/>
  <c r="N1582" i="3"/>
  <c r="L1582" i="3"/>
  <c r="K1582" i="3"/>
  <c r="J1582" i="3"/>
  <c r="I1582" i="3"/>
  <c r="H1582" i="3"/>
  <c r="G1582" i="3"/>
  <c r="F1582" i="3"/>
  <c r="E1582" i="3"/>
  <c r="D1582" i="3"/>
  <c r="C1582" i="3"/>
  <c r="M1581" i="3"/>
  <c r="L1581" i="3"/>
  <c r="K1581" i="3"/>
  <c r="J1581" i="3"/>
  <c r="I1581" i="3"/>
  <c r="H1581" i="3"/>
  <c r="G1581" i="3"/>
  <c r="F1581" i="3"/>
  <c r="E1581" i="3"/>
  <c r="D1581" i="3"/>
  <c r="C1581" i="3"/>
  <c r="M1580" i="3"/>
  <c r="L1580" i="3"/>
  <c r="K1580" i="3"/>
  <c r="J1580" i="3"/>
  <c r="I1580" i="3"/>
  <c r="H1580" i="3"/>
  <c r="G1580" i="3"/>
  <c r="F1580" i="3"/>
  <c r="E1580" i="3"/>
  <c r="D1580" i="3"/>
  <c r="C1580" i="3"/>
  <c r="M1579" i="3"/>
  <c r="K1579" i="3"/>
  <c r="J1579" i="3"/>
  <c r="I1579" i="3"/>
  <c r="H1579" i="3"/>
  <c r="F1579" i="3"/>
  <c r="E1579" i="3"/>
  <c r="D1579" i="3"/>
  <c r="C1579" i="3"/>
  <c r="M1578" i="3"/>
  <c r="L1578" i="3"/>
  <c r="K1578" i="3"/>
  <c r="J1578" i="3"/>
  <c r="I1578" i="3"/>
  <c r="H1578" i="3"/>
  <c r="G1578" i="3"/>
  <c r="F1578" i="3"/>
  <c r="E1578" i="3"/>
  <c r="D1578" i="3"/>
  <c r="C1578" i="3"/>
  <c r="N1577" i="3"/>
  <c r="L1577" i="3"/>
  <c r="K1577" i="3"/>
  <c r="J1577" i="3"/>
  <c r="I1577" i="3"/>
  <c r="H1577" i="3"/>
  <c r="G1577" i="3"/>
  <c r="F1577" i="3"/>
  <c r="E1577" i="3"/>
  <c r="D1577" i="3"/>
  <c r="C1577" i="3"/>
  <c r="N1576" i="3"/>
  <c r="M1576" i="3"/>
  <c r="L1576" i="3"/>
  <c r="K1576" i="3"/>
  <c r="J1576" i="3"/>
  <c r="I1576" i="3"/>
  <c r="H1576" i="3"/>
  <c r="G1576" i="3"/>
  <c r="F1576" i="3"/>
  <c r="E1576" i="3"/>
  <c r="D1576" i="3"/>
  <c r="C1576" i="3"/>
  <c r="N1575" i="3"/>
  <c r="M1575" i="3"/>
  <c r="K1575" i="3"/>
  <c r="J1575" i="3"/>
  <c r="I1575" i="3"/>
  <c r="H1575" i="3"/>
  <c r="F1575" i="3"/>
  <c r="E1575" i="3"/>
  <c r="D1575" i="3"/>
  <c r="C1575" i="3"/>
  <c r="N1574" i="3"/>
  <c r="L1574" i="3"/>
  <c r="K1574" i="3"/>
  <c r="J1574" i="3"/>
  <c r="I1574" i="3"/>
  <c r="H1574" i="3"/>
  <c r="G1574" i="3"/>
  <c r="F1574" i="3"/>
  <c r="E1574" i="3"/>
  <c r="D1574" i="3"/>
  <c r="C1574" i="3"/>
  <c r="M1573" i="3"/>
  <c r="L1573" i="3"/>
  <c r="K1573" i="3"/>
  <c r="J1573" i="3"/>
  <c r="I1573" i="3"/>
  <c r="H1573" i="3"/>
  <c r="G1573" i="3"/>
  <c r="F1573" i="3"/>
  <c r="E1573" i="3"/>
  <c r="D1573" i="3"/>
  <c r="C1573" i="3"/>
  <c r="L1572" i="3"/>
  <c r="K1572" i="3"/>
  <c r="J1572" i="3"/>
  <c r="I1572" i="3"/>
  <c r="H1572" i="3"/>
  <c r="G1572" i="3"/>
  <c r="F1572" i="3"/>
  <c r="E1572" i="3"/>
  <c r="D1572" i="3"/>
  <c r="C1572" i="3"/>
  <c r="M1571" i="3"/>
  <c r="L1571" i="3"/>
  <c r="K1571" i="3"/>
  <c r="J1571" i="3"/>
  <c r="I1571" i="3"/>
  <c r="H1571" i="3"/>
  <c r="G1571" i="3"/>
  <c r="F1571" i="3"/>
  <c r="E1571" i="3"/>
  <c r="D1571" i="3"/>
  <c r="C1571" i="3"/>
  <c r="N1570" i="3"/>
  <c r="L1570" i="3"/>
  <c r="K1570" i="3"/>
  <c r="J1570" i="3"/>
  <c r="I1570" i="3"/>
  <c r="H1570" i="3"/>
  <c r="G1570" i="3"/>
  <c r="F1570" i="3"/>
  <c r="E1570" i="3"/>
  <c r="D1570" i="3"/>
  <c r="C1570" i="3"/>
  <c r="M1569" i="3"/>
  <c r="L1569" i="3"/>
  <c r="K1569" i="3"/>
  <c r="J1569" i="3"/>
  <c r="I1569" i="3"/>
  <c r="H1569" i="3"/>
  <c r="G1569" i="3"/>
  <c r="F1569" i="3"/>
  <c r="E1569" i="3"/>
  <c r="D1569" i="3"/>
  <c r="C1569" i="3"/>
  <c r="M1568" i="3"/>
  <c r="L1568" i="3"/>
  <c r="K1568" i="3"/>
  <c r="J1568" i="3"/>
  <c r="I1568" i="3"/>
  <c r="H1568" i="3"/>
  <c r="G1568" i="3"/>
  <c r="F1568" i="3"/>
  <c r="E1568" i="3"/>
  <c r="D1568" i="3"/>
  <c r="C1568" i="3"/>
  <c r="N1567" i="3"/>
  <c r="K1567" i="3"/>
  <c r="J1567" i="3"/>
  <c r="I1567" i="3"/>
  <c r="H1567" i="3"/>
  <c r="F1567" i="3"/>
  <c r="E1567" i="3"/>
  <c r="D1567" i="3"/>
  <c r="C1567" i="3"/>
  <c r="N1566" i="3"/>
  <c r="M1566" i="3"/>
  <c r="K1566" i="3"/>
  <c r="J1566" i="3"/>
  <c r="I1566" i="3"/>
  <c r="H1566" i="3"/>
  <c r="F1566" i="3"/>
  <c r="E1566" i="3"/>
  <c r="D1566" i="3"/>
  <c r="C1566" i="3"/>
  <c r="M1565" i="3"/>
  <c r="L1565" i="3"/>
  <c r="K1565" i="3"/>
  <c r="J1565" i="3"/>
  <c r="I1565" i="3"/>
  <c r="H1565" i="3"/>
  <c r="G1565" i="3"/>
  <c r="F1565" i="3"/>
  <c r="E1565" i="3"/>
  <c r="D1565" i="3"/>
  <c r="C1565" i="3"/>
  <c r="M1564" i="3"/>
  <c r="L1564" i="3"/>
  <c r="K1564" i="3"/>
  <c r="J1564" i="3"/>
  <c r="I1564" i="3"/>
  <c r="H1564" i="3"/>
  <c r="G1564" i="3"/>
  <c r="F1564" i="3"/>
  <c r="E1564" i="3"/>
  <c r="D1564" i="3"/>
  <c r="C1564" i="3"/>
  <c r="M1563" i="3"/>
  <c r="L1563" i="3"/>
  <c r="K1563" i="3"/>
  <c r="J1563" i="3"/>
  <c r="I1563" i="3"/>
  <c r="H1563" i="3"/>
  <c r="G1563" i="3"/>
  <c r="F1563" i="3"/>
  <c r="E1563" i="3"/>
  <c r="D1563" i="3"/>
  <c r="C1563" i="3"/>
  <c r="M1562" i="3"/>
  <c r="L1562" i="3"/>
  <c r="K1562" i="3"/>
  <c r="J1562" i="3"/>
  <c r="I1562" i="3"/>
  <c r="H1562" i="3"/>
  <c r="G1562" i="3"/>
  <c r="F1562" i="3"/>
  <c r="E1562" i="3"/>
  <c r="D1562" i="3"/>
  <c r="C1562" i="3"/>
  <c r="N1561" i="3"/>
  <c r="M1561" i="3"/>
  <c r="L1561" i="3"/>
  <c r="K1561" i="3"/>
  <c r="J1561" i="3"/>
  <c r="I1561" i="3"/>
  <c r="H1561" i="3"/>
  <c r="G1561" i="3"/>
  <c r="F1561" i="3"/>
  <c r="E1561" i="3"/>
  <c r="D1561" i="3"/>
  <c r="C1561" i="3"/>
  <c r="N1560" i="3"/>
  <c r="L1560" i="3"/>
  <c r="K1560" i="3"/>
  <c r="J1560" i="3"/>
  <c r="I1560" i="3"/>
  <c r="H1560" i="3"/>
  <c r="G1560" i="3"/>
  <c r="F1560" i="3"/>
  <c r="E1560" i="3"/>
  <c r="D1560" i="3"/>
  <c r="C1560" i="3"/>
  <c r="M1559" i="3"/>
  <c r="L1559" i="3"/>
  <c r="K1559" i="3"/>
  <c r="J1559" i="3"/>
  <c r="I1559" i="3"/>
  <c r="H1559" i="3"/>
  <c r="G1559" i="3"/>
  <c r="F1559" i="3"/>
  <c r="E1559" i="3"/>
  <c r="D1559" i="3"/>
  <c r="C1559" i="3"/>
  <c r="M1558" i="3"/>
  <c r="L1558" i="3"/>
  <c r="K1558" i="3"/>
  <c r="J1558" i="3"/>
  <c r="I1558" i="3"/>
  <c r="H1558" i="3"/>
  <c r="G1558" i="3"/>
  <c r="F1558" i="3"/>
  <c r="E1558" i="3"/>
  <c r="D1558" i="3"/>
  <c r="C1558" i="3"/>
  <c r="M1557" i="3"/>
  <c r="L1557" i="3"/>
  <c r="K1557" i="3"/>
  <c r="J1557" i="3"/>
  <c r="I1557" i="3"/>
  <c r="H1557" i="3"/>
  <c r="G1557" i="3"/>
  <c r="F1557" i="3"/>
  <c r="E1557" i="3"/>
  <c r="D1557" i="3"/>
  <c r="C1557" i="3"/>
  <c r="M1556" i="3"/>
  <c r="L1556" i="3"/>
  <c r="K1556" i="3"/>
  <c r="J1556" i="3"/>
  <c r="I1556" i="3"/>
  <c r="H1556" i="3"/>
  <c r="G1556" i="3"/>
  <c r="F1556" i="3"/>
  <c r="E1556" i="3"/>
  <c r="D1556" i="3"/>
  <c r="C1556" i="3"/>
  <c r="M1555" i="3"/>
  <c r="L1555" i="3"/>
  <c r="K1555" i="3"/>
  <c r="J1555" i="3"/>
  <c r="I1555" i="3"/>
  <c r="H1555" i="3"/>
  <c r="G1555" i="3"/>
  <c r="F1555" i="3"/>
  <c r="E1555" i="3"/>
  <c r="D1555" i="3"/>
  <c r="C1555" i="3"/>
  <c r="M1554" i="3"/>
  <c r="L1554" i="3"/>
  <c r="K1554" i="3"/>
  <c r="J1554" i="3"/>
  <c r="I1554" i="3"/>
  <c r="H1554" i="3"/>
  <c r="G1554" i="3"/>
  <c r="F1554" i="3"/>
  <c r="E1554" i="3"/>
  <c r="D1554" i="3"/>
  <c r="C1554" i="3"/>
  <c r="M1553" i="3"/>
  <c r="L1553" i="3"/>
  <c r="K1553" i="3"/>
  <c r="J1553" i="3"/>
  <c r="I1553" i="3"/>
  <c r="H1553" i="3"/>
  <c r="G1553" i="3"/>
  <c r="F1553" i="3"/>
  <c r="E1553" i="3"/>
  <c r="D1553" i="3"/>
  <c r="C1553" i="3"/>
  <c r="N1552" i="3"/>
  <c r="M1552" i="3"/>
  <c r="L1552" i="3"/>
  <c r="K1552" i="3"/>
  <c r="J1552" i="3"/>
  <c r="I1552" i="3"/>
  <c r="H1552" i="3"/>
  <c r="G1552" i="3"/>
  <c r="F1552" i="3"/>
  <c r="E1552" i="3"/>
  <c r="D1552" i="3"/>
  <c r="C1552" i="3"/>
  <c r="N1551" i="3"/>
  <c r="L1551" i="3"/>
  <c r="K1551" i="3"/>
  <c r="J1551" i="3"/>
  <c r="I1551" i="3"/>
  <c r="H1551" i="3"/>
  <c r="G1551" i="3"/>
  <c r="F1551" i="3"/>
  <c r="E1551" i="3"/>
  <c r="D1551" i="3"/>
  <c r="C1551" i="3"/>
  <c r="N1550" i="3"/>
  <c r="M1550" i="3"/>
  <c r="L1550" i="3"/>
  <c r="K1550" i="3"/>
  <c r="J1550" i="3"/>
  <c r="I1550" i="3"/>
  <c r="H1550" i="3"/>
  <c r="G1550" i="3"/>
  <c r="F1550" i="3"/>
  <c r="E1550" i="3"/>
  <c r="D1550" i="3"/>
  <c r="C1550" i="3"/>
  <c r="K1549" i="3"/>
  <c r="J1549" i="3"/>
  <c r="I1549" i="3"/>
  <c r="H1549" i="3"/>
  <c r="F1549" i="3"/>
  <c r="E1549" i="3"/>
  <c r="D1549" i="3"/>
  <c r="C1549" i="3"/>
  <c r="N1548" i="3"/>
  <c r="M1548" i="3"/>
  <c r="L1548" i="3"/>
  <c r="K1548" i="3"/>
  <c r="J1548" i="3"/>
  <c r="I1548" i="3"/>
  <c r="H1548" i="3"/>
  <c r="G1548" i="3"/>
  <c r="F1548" i="3"/>
  <c r="E1548" i="3"/>
  <c r="D1548" i="3"/>
  <c r="C1548" i="3"/>
  <c r="M1547" i="3"/>
  <c r="L1547" i="3"/>
  <c r="K1547" i="3"/>
  <c r="J1547" i="3"/>
  <c r="I1547" i="3"/>
  <c r="H1547" i="3"/>
  <c r="G1547" i="3"/>
  <c r="F1547" i="3"/>
  <c r="E1547" i="3"/>
  <c r="D1547" i="3"/>
  <c r="C1547" i="3"/>
  <c r="M1546" i="3"/>
  <c r="K1546" i="3"/>
  <c r="J1546" i="3"/>
  <c r="I1546" i="3"/>
  <c r="H1546" i="3"/>
  <c r="F1546" i="3"/>
  <c r="E1546" i="3"/>
  <c r="D1546" i="3"/>
  <c r="C1546" i="3"/>
  <c r="M1545" i="3"/>
  <c r="L1545" i="3"/>
  <c r="K1545" i="3"/>
  <c r="J1545" i="3"/>
  <c r="I1545" i="3"/>
  <c r="H1545" i="3"/>
  <c r="G1545" i="3"/>
  <c r="F1545" i="3"/>
  <c r="E1545" i="3"/>
  <c r="D1545" i="3"/>
  <c r="C1545" i="3"/>
  <c r="N1544" i="3"/>
  <c r="M1544" i="3"/>
  <c r="L1544" i="3"/>
  <c r="K1544" i="3"/>
  <c r="J1544" i="3"/>
  <c r="I1544" i="3"/>
  <c r="H1544" i="3"/>
  <c r="G1544" i="3"/>
  <c r="F1544" i="3"/>
  <c r="E1544" i="3"/>
  <c r="D1544" i="3"/>
  <c r="C1544" i="3"/>
  <c r="N1543" i="3"/>
  <c r="M1543" i="3"/>
  <c r="L1543" i="3"/>
  <c r="K1543" i="3"/>
  <c r="J1543" i="3"/>
  <c r="I1543" i="3"/>
  <c r="H1543" i="3"/>
  <c r="G1543" i="3"/>
  <c r="F1543" i="3"/>
  <c r="E1543" i="3"/>
  <c r="D1543" i="3"/>
  <c r="C1543" i="3"/>
  <c r="M1542" i="3"/>
  <c r="L1542" i="3"/>
  <c r="K1542" i="3"/>
  <c r="J1542" i="3"/>
  <c r="I1542" i="3"/>
  <c r="H1542" i="3"/>
  <c r="G1542" i="3"/>
  <c r="F1542" i="3"/>
  <c r="E1542" i="3"/>
  <c r="D1542" i="3"/>
  <c r="C1542" i="3"/>
  <c r="M1541" i="3"/>
  <c r="L1541" i="3"/>
  <c r="K1541" i="3"/>
  <c r="J1541" i="3"/>
  <c r="I1541" i="3"/>
  <c r="H1541" i="3"/>
  <c r="G1541" i="3"/>
  <c r="F1541" i="3"/>
  <c r="E1541" i="3"/>
  <c r="D1541" i="3"/>
  <c r="C1541" i="3"/>
  <c r="M1540" i="3"/>
  <c r="L1540" i="3"/>
  <c r="K1540" i="3"/>
  <c r="J1540" i="3"/>
  <c r="I1540" i="3"/>
  <c r="H1540" i="3"/>
  <c r="G1540" i="3"/>
  <c r="F1540" i="3"/>
  <c r="E1540" i="3"/>
  <c r="D1540" i="3"/>
  <c r="C1540" i="3"/>
  <c r="M1539" i="3"/>
  <c r="L1539" i="3"/>
  <c r="K1539" i="3"/>
  <c r="J1539" i="3"/>
  <c r="I1539" i="3"/>
  <c r="H1539" i="3"/>
  <c r="G1539" i="3"/>
  <c r="F1539" i="3"/>
  <c r="E1539" i="3"/>
  <c r="D1539" i="3"/>
  <c r="C1539" i="3"/>
  <c r="N1538" i="3"/>
  <c r="L1538" i="3"/>
  <c r="K1538" i="3"/>
  <c r="J1538" i="3"/>
  <c r="I1538" i="3"/>
  <c r="H1538" i="3"/>
  <c r="G1538" i="3"/>
  <c r="F1538" i="3"/>
  <c r="E1538" i="3"/>
  <c r="D1538" i="3"/>
  <c r="C1538" i="3"/>
  <c r="M1537" i="3"/>
  <c r="L1537" i="3"/>
  <c r="K1537" i="3"/>
  <c r="J1537" i="3"/>
  <c r="I1537" i="3"/>
  <c r="H1537" i="3"/>
  <c r="G1537" i="3"/>
  <c r="F1537" i="3"/>
  <c r="E1537" i="3"/>
  <c r="D1537" i="3"/>
  <c r="C1537" i="3"/>
  <c r="M1536" i="3"/>
  <c r="L1536" i="3"/>
  <c r="K1536" i="3"/>
  <c r="J1536" i="3"/>
  <c r="I1536" i="3"/>
  <c r="H1536" i="3"/>
  <c r="G1536" i="3"/>
  <c r="F1536" i="3"/>
  <c r="E1536" i="3"/>
  <c r="D1536" i="3"/>
  <c r="C1536" i="3"/>
  <c r="L1535" i="3"/>
  <c r="K1535" i="3"/>
  <c r="J1535" i="3"/>
  <c r="I1535" i="3"/>
  <c r="H1535" i="3"/>
  <c r="G1535" i="3"/>
  <c r="F1535" i="3"/>
  <c r="E1535" i="3"/>
  <c r="D1535" i="3"/>
  <c r="C1535" i="3"/>
  <c r="N1534" i="3"/>
  <c r="L1534" i="3"/>
  <c r="K1534" i="3"/>
  <c r="J1534" i="3"/>
  <c r="I1534" i="3"/>
  <c r="H1534" i="3"/>
  <c r="G1534" i="3"/>
  <c r="F1534" i="3"/>
  <c r="E1534" i="3"/>
  <c r="D1534" i="3"/>
  <c r="C1534" i="3"/>
  <c r="N1533" i="3"/>
  <c r="K1533" i="3"/>
  <c r="J1533" i="3"/>
  <c r="I1533" i="3"/>
  <c r="H1533" i="3"/>
  <c r="F1533" i="3"/>
  <c r="E1533" i="3"/>
  <c r="D1533" i="3"/>
  <c r="C1533" i="3"/>
  <c r="M1532" i="3"/>
  <c r="L1532" i="3"/>
  <c r="K1532" i="3"/>
  <c r="J1532" i="3"/>
  <c r="I1532" i="3"/>
  <c r="H1532" i="3"/>
  <c r="G1532" i="3"/>
  <c r="F1532" i="3"/>
  <c r="E1532" i="3"/>
  <c r="D1532" i="3"/>
  <c r="C1532" i="3"/>
  <c r="M1531" i="3"/>
  <c r="L1531" i="3"/>
  <c r="K1531" i="3"/>
  <c r="J1531" i="3"/>
  <c r="I1531" i="3"/>
  <c r="H1531" i="3"/>
  <c r="G1531" i="3"/>
  <c r="F1531" i="3"/>
  <c r="E1531" i="3"/>
  <c r="D1531" i="3"/>
  <c r="C1531" i="3"/>
  <c r="M1530" i="3"/>
  <c r="L1530" i="3"/>
  <c r="K1530" i="3"/>
  <c r="J1530" i="3"/>
  <c r="I1530" i="3"/>
  <c r="H1530" i="3"/>
  <c r="G1530" i="3"/>
  <c r="F1530" i="3"/>
  <c r="E1530" i="3"/>
  <c r="D1530" i="3"/>
  <c r="C1530" i="3"/>
  <c r="N1529" i="3"/>
  <c r="L1529" i="3"/>
  <c r="K1529" i="3"/>
  <c r="J1529" i="3"/>
  <c r="I1529" i="3"/>
  <c r="H1529" i="3"/>
  <c r="G1529" i="3"/>
  <c r="F1529" i="3"/>
  <c r="E1529" i="3"/>
  <c r="D1529" i="3"/>
  <c r="C1529" i="3"/>
  <c r="N1528" i="3"/>
  <c r="L1528" i="3"/>
  <c r="K1528" i="3"/>
  <c r="J1528" i="3"/>
  <c r="I1528" i="3"/>
  <c r="H1528" i="3"/>
  <c r="G1528" i="3"/>
  <c r="F1528" i="3"/>
  <c r="E1528" i="3"/>
  <c r="D1528" i="3"/>
  <c r="C1528" i="3"/>
  <c r="M1527" i="3"/>
  <c r="L1527" i="3"/>
  <c r="K1527" i="3"/>
  <c r="J1527" i="3"/>
  <c r="I1527" i="3"/>
  <c r="H1527" i="3"/>
  <c r="G1527" i="3"/>
  <c r="F1527" i="3"/>
  <c r="E1527" i="3"/>
  <c r="D1527" i="3"/>
  <c r="C1527" i="3"/>
  <c r="M1526" i="3"/>
  <c r="L1526" i="3"/>
  <c r="K1526" i="3"/>
  <c r="J1526" i="3"/>
  <c r="I1526" i="3"/>
  <c r="H1526" i="3"/>
  <c r="G1526" i="3"/>
  <c r="F1526" i="3"/>
  <c r="E1526" i="3"/>
  <c r="D1526" i="3"/>
  <c r="C1526" i="3"/>
  <c r="M1525" i="3"/>
  <c r="L1525" i="3"/>
  <c r="K1525" i="3"/>
  <c r="J1525" i="3"/>
  <c r="I1525" i="3"/>
  <c r="H1525" i="3"/>
  <c r="G1525" i="3"/>
  <c r="F1525" i="3"/>
  <c r="E1525" i="3"/>
  <c r="D1525" i="3"/>
  <c r="C1525" i="3"/>
  <c r="N1524" i="3"/>
  <c r="M1524" i="3"/>
  <c r="L1524" i="3"/>
  <c r="K1524" i="3"/>
  <c r="J1524" i="3"/>
  <c r="I1524" i="3"/>
  <c r="H1524" i="3"/>
  <c r="G1524" i="3"/>
  <c r="F1524" i="3"/>
  <c r="E1524" i="3"/>
  <c r="D1524" i="3"/>
  <c r="C1524" i="3"/>
  <c r="M1523" i="3"/>
  <c r="L1523" i="3"/>
  <c r="K1523" i="3"/>
  <c r="J1523" i="3"/>
  <c r="I1523" i="3"/>
  <c r="H1523" i="3"/>
  <c r="G1523" i="3"/>
  <c r="F1523" i="3"/>
  <c r="E1523" i="3"/>
  <c r="D1523" i="3"/>
  <c r="C1523" i="3"/>
  <c r="N1522" i="3"/>
  <c r="L1522" i="3"/>
  <c r="K1522" i="3"/>
  <c r="J1522" i="3"/>
  <c r="I1522" i="3"/>
  <c r="H1522" i="3"/>
  <c r="G1522" i="3"/>
  <c r="F1522" i="3"/>
  <c r="E1522" i="3"/>
  <c r="D1522" i="3"/>
  <c r="C1522" i="3"/>
  <c r="N1521" i="3"/>
  <c r="L1521" i="3"/>
  <c r="K1521" i="3"/>
  <c r="J1521" i="3"/>
  <c r="I1521" i="3"/>
  <c r="H1521" i="3"/>
  <c r="G1521" i="3"/>
  <c r="F1521" i="3"/>
  <c r="E1521" i="3"/>
  <c r="D1521" i="3"/>
  <c r="C1521" i="3"/>
  <c r="M1520" i="3"/>
  <c r="K1520" i="3"/>
  <c r="J1520" i="3"/>
  <c r="I1520" i="3"/>
  <c r="H1520" i="3"/>
  <c r="F1520" i="3"/>
  <c r="E1520" i="3"/>
  <c r="D1520" i="3"/>
  <c r="C1520" i="3"/>
  <c r="N1519" i="3"/>
  <c r="L1519" i="3"/>
  <c r="K1519" i="3"/>
  <c r="J1519" i="3"/>
  <c r="I1519" i="3"/>
  <c r="H1519" i="3"/>
  <c r="G1519" i="3"/>
  <c r="F1519" i="3"/>
  <c r="E1519" i="3"/>
  <c r="D1519" i="3"/>
  <c r="C1519" i="3"/>
  <c r="M1518" i="3"/>
  <c r="L1518" i="3"/>
  <c r="K1518" i="3"/>
  <c r="J1518" i="3"/>
  <c r="I1518" i="3"/>
  <c r="H1518" i="3"/>
  <c r="G1518" i="3"/>
  <c r="F1518" i="3"/>
  <c r="E1518" i="3"/>
  <c r="D1518" i="3"/>
  <c r="C1518" i="3"/>
  <c r="M1517" i="3"/>
  <c r="L1517" i="3"/>
  <c r="K1517" i="3"/>
  <c r="J1517" i="3"/>
  <c r="I1517" i="3"/>
  <c r="H1517" i="3"/>
  <c r="G1517" i="3"/>
  <c r="F1517" i="3"/>
  <c r="E1517" i="3"/>
  <c r="D1517" i="3"/>
  <c r="C1517" i="3"/>
  <c r="N1516" i="3"/>
  <c r="M1516" i="3"/>
  <c r="L1516" i="3"/>
  <c r="K1516" i="3"/>
  <c r="J1516" i="3"/>
  <c r="I1516" i="3"/>
  <c r="H1516" i="3"/>
  <c r="G1516" i="3"/>
  <c r="F1516" i="3"/>
  <c r="E1516" i="3"/>
  <c r="D1516" i="3"/>
  <c r="C1516" i="3"/>
  <c r="M1515" i="3"/>
  <c r="K1515" i="3"/>
  <c r="J1515" i="3"/>
  <c r="I1515" i="3"/>
  <c r="H1515" i="3"/>
  <c r="F1515" i="3"/>
  <c r="E1515" i="3"/>
  <c r="D1515" i="3"/>
  <c r="C1515" i="3"/>
  <c r="N1514" i="3"/>
  <c r="M1514" i="3"/>
  <c r="L1514" i="3"/>
  <c r="K1514" i="3"/>
  <c r="J1514" i="3"/>
  <c r="I1514" i="3"/>
  <c r="H1514" i="3"/>
  <c r="G1514" i="3"/>
  <c r="F1514" i="3"/>
  <c r="E1514" i="3"/>
  <c r="D1514" i="3"/>
  <c r="C1514" i="3"/>
  <c r="N1513" i="3"/>
  <c r="M1513" i="3"/>
  <c r="L1513" i="3"/>
  <c r="K1513" i="3"/>
  <c r="J1513" i="3"/>
  <c r="I1513" i="3"/>
  <c r="H1513" i="3"/>
  <c r="G1513" i="3"/>
  <c r="F1513" i="3"/>
  <c r="E1513" i="3"/>
  <c r="D1513" i="3"/>
  <c r="C1513" i="3"/>
  <c r="M1512" i="3"/>
  <c r="L1512" i="3"/>
  <c r="K1512" i="3"/>
  <c r="J1512" i="3"/>
  <c r="I1512" i="3"/>
  <c r="H1512" i="3"/>
  <c r="G1512" i="3"/>
  <c r="F1512" i="3"/>
  <c r="E1512" i="3"/>
  <c r="D1512" i="3"/>
  <c r="C1512" i="3"/>
  <c r="M1511" i="3"/>
  <c r="L1511" i="3"/>
  <c r="K1511" i="3"/>
  <c r="J1511" i="3"/>
  <c r="I1511" i="3"/>
  <c r="H1511" i="3"/>
  <c r="G1511" i="3"/>
  <c r="F1511" i="3"/>
  <c r="E1511" i="3"/>
  <c r="D1511" i="3"/>
  <c r="C1511" i="3"/>
  <c r="M1510" i="3"/>
  <c r="L1510" i="3"/>
  <c r="K1510" i="3"/>
  <c r="J1510" i="3"/>
  <c r="I1510" i="3"/>
  <c r="H1510" i="3"/>
  <c r="G1510" i="3"/>
  <c r="F1510" i="3"/>
  <c r="E1510" i="3"/>
  <c r="D1510" i="3"/>
  <c r="C1510" i="3"/>
  <c r="N1509" i="3"/>
  <c r="L1509" i="3"/>
  <c r="K1509" i="3"/>
  <c r="J1509" i="3"/>
  <c r="I1509" i="3"/>
  <c r="H1509" i="3"/>
  <c r="G1509" i="3"/>
  <c r="F1509" i="3"/>
  <c r="E1509" i="3"/>
  <c r="D1509" i="3"/>
  <c r="C1509" i="3"/>
  <c r="M1508" i="3"/>
  <c r="L1508" i="3"/>
  <c r="K1508" i="3"/>
  <c r="J1508" i="3"/>
  <c r="I1508" i="3"/>
  <c r="H1508" i="3"/>
  <c r="G1508" i="3"/>
  <c r="F1508" i="3"/>
  <c r="E1508" i="3"/>
  <c r="D1508" i="3"/>
  <c r="C1508" i="3"/>
  <c r="M1507" i="3"/>
  <c r="L1507" i="3"/>
  <c r="K1507" i="3"/>
  <c r="J1507" i="3"/>
  <c r="I1507" i="3"/>
  <c r="H1507" i="3"/>
  <c r="G1507" i="3"/>
  <c r="F1507" i="3"/>
  <c r="E1507" i="3"/>
  <c r="D1507" i="3"/>
  <c r="C1507" i="3"/>
  <c r="M1506" i="3"/>
  <c r="L1506" i="3"/>
  <c r="K1506" i="3"/>
  <c r="J1506" i="3"/>
  <c r="I1506" i="3"/>
  <c r="H1506" i="3"/>
  <c r="G1506" i="3"/>
  <c r="F1506" i="3"/>
  <c r="E1506" i="3"/>
  <c r="D1506" i="3"/>
  <c r="C1506" i="3"/>
  <c r="N1505" i="3"/>
  <c r="L1505" i="3"/>
  <c r="K1505" i="3"/>
  <c r="J1505" i="3"/>
  <c r="I1505" i="3"/>
  <c r="H1505" i="3"/>
  <c r="G1505" i="3"/>
  <c r="F1505" i="3"/>
  <c r="E1505" i="3"/>
  <c r="D1505" i="3"/>
  <c r="C1505" i="3"/>
  <c r="N1504" i="3"/>
  <c r="M1504" i="3"/>
  <c r="K1504" i="3"/>
  <c r="J1504" i="3"/>
  <c r="I1504" i="3"/>
  <c r="H1504" i="3"/>
  <c r="F1504" i="3"/>
  <c r="E1504" i="3"/>
  <c r="D1504" i="3"/>
  <c r="C1504" i="3"/>
  <c r="M1503" i="3"/>
  <c r="K1503" i="3"/>
  <c r="J1503" i="3"/>
  <c r="I1503" i="3"/>
  <c r="H1503" i="3"/>
  <c r="F1503" i="3"/>
  <c r="E1503" i="3"/>
  <c r="D1503" i="3"/>
  <c r="C1503" i="3"/>
  <c r="N1502" i="3"/>
  <c r="L1502" i="3"/>
  <c r="K1502" i="3"/>
  <c r="J1502" i="3"/>
  <c r="I1502" i="3"/>
  <c r="H1502" i="3"/>
  <c r="G1502" i="3"/>
  <c r="F1502" i="3"/>
  <c r="E1502" i="3"/>
  <c r="D1502" i="3"/>
  <c r="C1502" i="3"/>
  <c r="M1501" i="3"/>
  <c r="L1501" i="3"/>
  <c r="K1501" i="3"/>
  <c r="J1501" i="3"/>
  <c r="I1501" i="3"/>
  <c r="H1501" i="3"/>
  <c r="G1501" i="3"/>
  <c r="F1501" i="3"/>
  <c r="E1501" i="3"/>
  <c r="D1501" i="3"/>
  <c r="C1501" i="3"/>
  <c r="N1500" i="3"/>
  <c r="L1500" i="3"/>
  <c r="K1500" i="3"/>
  <c r="J1500" i="3"/>
  <c r="I1500" i="3"/>
  <c r="H1500" i="3"/>
  <c r="G1500" i="3"/>
  <c r="F1500" i="3"/>
  <c r="E1500" i="3"/>
  <c r="D1500" i="3"/>
  <c r="C1500" i="3"/>
  <c r="M1499" i="3"/>
  <c r="L1499" i="3"/>
  <c r="K1499" i="3"/>
  <c r="J1499" i="3"/>
  <c r="I1499" i="3"/>
  <c r="H1499" i="3"/>
  <c r="G1499" i="3"/>
  <c r="F1499" i="3"/>
  <c r="E1499" i="3"/>
  <c r="D1499" i="3"/>
  <c r="C1499" i="3"/>
  <c r="M1498" i="3"/>
  <c r="L1498" i="3"/>
  <c r="K1498" i="3"/>
  <c r="J1498" i="3"/>
  <c r="I1498" i="3"/>
  <c r="H1498" i="3"/>
  <c r="G1498" i="3"/>
  <c r="F1498" i="3"/>
  <c r="E1498" i="3"/>
  <c r="D1498" i="3"/>
  <c r="C1498" i="3"/>
  <c r="M1497" i="3"/>
  <c r="K1497" i="3"/>
  <c r="J1497" i="3"/>
  <c r="I1497" i="3"/>
  <c r="H1497" i="3"/>
  <c r="F1497" i="3"/>
  <c r="E1497" i="3"/>
  <c r="D1497" i="3"/>
  <c r="C1497" i="3"/>
  <c r="N1496" i="3"/>
  <c r="L1496" i="3"/>
  <c r="K1496" i="3"/>
  <c r="J1496" i="3"/>
  <c r="I1496" i="3"/>
  <c r="H1496" i="3"/>
  <c r="G1496" i="3"/>
  <c r="F1496" i="3"/>
  <c r="E1496" i="3"/>
  <c r="D1496" i="3"/>
  <c r="C1496" i="3"/>
  <c r="N1495" i="3"/>
  <c r="K1495" i="3"/>
  <c r="J1495" i="3"/>
  <c r="I1495" i="3"/>
  <c r="H1495" i="3"/>
  <c r="F1495" i="3"/>
  <c r="E1495" i="3"/>
  <c r="D1495" i="3"/>
  <c r="C1495" i="3"/>
  <c r="M1494" i="3"/>
  <c r="L1494" i="3"/>
  <c r="K1494" i="3"/>
  <c r="J1494" i="3"/>
  <c r="I1494" i="3"/>
  <c r="H1494" i="3"/>
  <c r="G1494" i="3"/>
  <c r="F1494" i="3"/>
  <c r="E1494" i="3"/>
  <c r="D1494" i="3"/>
  <c r="C1494" i="3"/>
  <c r="M1493" i="3"/>
  <c r="L1493" i="3"/>
  <c r="K1493" i="3"/>
  <c r="J1493" i="3"/>
  <c r="I1493" i="3"/>
  <c r="H1493" i="3"/>
  <c r="G1493" i="3"/>
  <c r="F1493" i="3"/>
  <c r="E1493" i="3"/>
  <c r="D1493" i="3"/>
  <c r="C1493" i="3"/>
  <c r="M1492" i="3"/>
  <c r="K1492" i="3"/>
  <c r="J1492" i="3"/>
  <c r="I1492" i="3"/>
  <c r="H1492" i="3"/>
  <c r="F1492" i="3"/>
  <c r="E1492" i="3"/>
  <c r="D1492" i="3"/>
  <c r="C1492" i="3"/>
  <c r="M1491" i="3"/>
  <c r="L1491" i="3"/>
  <c r="K1491" i="3"/>
  <c r="J1491" i="3"/>
  <c r="I1491" i="3"/>
  <c r="H1491" i="3"/>
  <c r="G1491" i="3"/>
  <c r="F1491" i="3"/>
  <c r="E1491" i="3"/>
  <c r="D1491" i="3"/>
  <c r="C1491" i="3"/>
  <c r="M1490" i="3"/>
  <c r="L1490" i="3"/>
  <c r="K1490" i="3"/>
  <c r="J1490" i="3"/>
  <c r="I1490" i="3"/>
  <c r="H1490" i="3"/>
  <c r="G1490" i="3"/>
  <c r="F1490" i="3"/>
  <c r="E1490" i="3"/>
  <c r="D1490" i="3"/>
  <c r="C1490" i="3"/>
  <c r="M1489" i="3"/>
  <c r="L1489" i="3"/>
  <c r="K1489" i="3"/>
  <c r="J1489" i="3"/>
  <c r="I1489" i="3"/>
  <c r="H1489" i="3"/>
  <c r="G1489" i="3"/>
  <c r="F1489" i="3"/>
  <c r="E1489" i="3"/>
  <c r="D1489" i="3"/>
  <c r="C1489" i="3"/>
  <c r="N1488" i="3"/>
  <c r="L1488" i="3"/>
  <c r="K1488" i="3"/>
  <c r="J1488" i="3"/>
  <c r="I1488" i="3"/>
  <c r="H1488" i="3"/>
  <c r="G1488" i="3"/>
  <c r="F1488" i="3"/>
  <c r="E1488" i="3"/>
  <c r="D1488" i="3"/>
  <c r="C1488" i="3"/>
  <c r="M1487" i="3"/>
  <c r="K1487" i="3"/>
  <c r="J1487" i="3"/>
  <c r="I1487" i="3"/>
  <c r="H1487" i="3"/>
  <c r="F1487" i="3"/>
  <c r="E1487" i="3"/>
  <c r="D1487" i="3"/>
  <c r="C1487" i="3"/>
  <c r="N1486" i="3"/>
  <c r="K1486" i="3"/>
  <c r="J1486" i="3"/>
  <c r="I1486" i="3"/>
  <c r="H1486" i="3"/>
  <c r="F1486" i="3"/>
  <c r="E1486" i="3"/>
  <c r="D1486" i="3"/>
  <c r="C1486" i="3"/>
  <c r="N1485" i="3"/>
  <c r="M1485" i="3"/>
  <c r="L1485" i="3"/>
  <c r="K1485" i="3"/>
  <c r="J1485" i="3"/>
  <c r="I1485" i="3"/>
  <c r="H1485" i="3"/>
  <c r="G1485" i="3"/>
  <c r="F1485" i="3"/>
  <c r="E1485" i="3"/>
  <c r="D1485" i="3"/>
  <c r="C1485" i="3"/>
  <c r="N1484" i="3"/>
  <c r="M1484" i="3"/>
  <c r="L1484" i="3"/>
  <c r="K1484" i="3"/>
  <c r="J1484" i="3"/>
  <c r="I1484" i="3"/>
  <c r="H1484" i="3"/>
  <c r="G1484" i="3"/>
  <c r="F1484" i="3"/>
  <c r="E1484" i="3"/>
  <c r="D1484" i="3"/>
  <c r="C1484" i="3"/>
  <c r="N1483" i="3"/>
  <c r="M1483" i="3"/>
  <c r="L1483" i="3"/>
  <c r="K1483" i="3"/>
  <c r="J1483" i="3"/>
  <c r="I1483" i="3"/>
  <c r="H1483" i="3"/>
  <c r="G1483" i="3"/>
  <c r="F1483" i="3"/>
  <c r="E1483" i="3"/>
  <c r="D1483" i="3"/>
  <c r="C1483" i="3"/>
  <c r="N1482" i="3"/>
  <c r="L1482" i="3"/>
  <c r="K1482" i="3"/>
  <c r="J1482" i="3"/>
  <c r="I1482" i="3"/>
  <c r="H1482" i="3"/>
  <c r="G1482" i="3"/>
  <c r="F1482" i="3"/>
  <c r="E1482" i="3"/>
  <c r="D1482" i="3"/>
  <c r="C1482" i="3"/>
  <c r="M1481" i="3"/>
  <c r="L1481" i="3"/>
  <c r="K1481" i="3"/>
  <c r="J1481" i="3"/>
  <c r="I1481" i="3"/>
  <c r="H1481" i="3"/>
  <c r="G1481" i="3"/>
  <c r="F1481" i="3"/>
  <c r="E1481" i="3"/>
  <c r="D1481" i="3"/>
  <c r="C1481" i="3"/>
  <c r="N1480" i="3"/>
  <c r="L1480" i="3"/>
  <c r="K1480" i="3"/>
  <c r="J1480" i="3"/>
  <c r="I1480" i="3"/>
  <c r="H1480" i="3"/>
  <c r="G1480" i="3"/>
  <c r="F1480" i="3"/>
  <c r="E1480" i="3"/>
  <c r="D1480" i="3"/>
  <c r="C1480" i="3"/>
  <c r="M1479" i="3"/>
  <c r="L1479" i="3"/>
  <c r="K1479" i="3"/>
  <c r="J1479" i="3"/>
  <c r="I1479" i="3"/>
  <c r="H1479" i="3"/>
  <c r="G1479" i="3"/>
  <c r="F1479" i="3"/>
  <c r="E1479" i="3"/>
  <c r="D1479" i="3"/>
  <c r="C1479" i="3"/>
  <c r="N1478" i="3"/>
  <c r="L1478" i="3"/>
  <c r="K1478" i="3"/>
  <c r="J1478" i="3"/>
  <c r="I1478" i="3"/>
  <c r="H1478" i="3"/>
  <c r="G1478" i="3"/>
  <c r="F1478" i="3"/>
  <c r="E1478" i="3"/>
  <c r="D1478" i="3"/>
  <c r="C1478" i="3"/>
  <c r="M1477" i="3"/>
  <c r="L1477" i="3"/>
  <c r="K1477" i="3"/>
  <c r="J1477" i="3"/>
  <c r="I1477" i="3"/>
  <c r="H1477" i="3"/>
  <c r="G1477" i="3"/>
  <c r="F1477" i="3"/>
  <c r="E1477" i="3"/>
  <c r="D1477" i="3"/>
  <c r="C1477" i="3"/>
  <c r="N1476" i="3"/>
  <c r="M1476" i="3"/>
  <c r="L1476" i="3"/>
  <c r="K1476" i="3"/>
  <c r="J1476" i="3"/>
  <c r="I1476" i="3"/>
  <c r="H1476" i="3"/>
  <c r="G1476" i="3"/>
  <c r="F1476" i="3"/>
  <c r="E1476" i="3"/>
  <c r="D1476" i="3"/>
  <c r="C1476" i="3"/>
  <c r="N1475" i="3"/>
  <c r="L1475" i="3"/>
  <c r="K1475" i="3"/>
  <c r="J1475" i="3"/>
  <c r="I1475" i="3"/>
  <c r="H1475" i="3"/>
  <c r="G1475" i="3"/>
  <c r="F1475" i="3"/>
  <c r="E1475" i="3"/>
  <c r="D1475" i="3"/>
  <c r="C1475" i="3"/>
  <c r="N1474" i="3"/>
  <c r="M1474" i="3"/>
  <c r="L1474" i="3"/>
  <c r="K1474" i="3"/>
  <c r="J1474" i="3"/>
  <c r="I1474" i="3"/>
  <c r="H1474" i="3"/>
  <c r="G1474" i="3"/>
  <c r="F1474" i="3"/>
  <c r="E1474" i="3"/>
  <c r="D1474" i="3"/>
  <c r="C1474" i="3"/>
  <c r="N1473" i="3"/>
  <c r="L1473" i="3"/>
  <c r="K1473" i="3"/>
  <c r="J1473" i="3"/>
  <c r="I1473" i="3"/>
  <c r="H1473" i="3"/>
  <c r="G1473" i="3"/>
  <c r="F1473" i="3"/>
  <c r="E1473" i="3"/>
  <c r="D1473" i="3"/>
  <c r="C1473" i="3"/>
  <c r="N1472" i="3"/>
  <c r="L1472" i="3"/>
  <c r="K1472" i="3"/>
  <c r="J1472" i="3"/>
  <c r="I1472" i="3"/>
  <c r="H1472" i="3"/>
  <c r="G1472" i="3"/>
  <c r="F1472" i="3"/>
  <c r="E1472" i="3"/>
  <c r="D1472" i="3"/>
  <c r="C1472" i="3"/>
  <c r="N1471" i="3"/>
  <c r="L1471" i="3"/>
  <c r="K1471" i="3"/>
  <c r="J1471" i="3"/>
  <c r="I1471" i="3"/>
  <c r="H1471" i="3"/>
  <c r="G1471" i="3"/>
  <c r="F1471" i="3"/>
  <c r="E1471" i="3"/>
  <c r="D1471" i="3"/>
  <c r="C1471" i="3"/>
  <c r="N1470" i="3"/>
  <c r="M1470" i="3"/>
  <c r="L1470" i="3"/>
  <c r="K1470" i="3"/>
  <c r="J1470" i="3"/>
  <c r="I1470" i="3"/>
  <c r="H1470" i="3"/>
  <c r="G1470" i="3"/>
  <c r="F1470" i="3"/>
  <c r="E1470" i="3"/>
  <c r="D1470" i="3"/>
  <c r="C1470" i="3"/>
  <c r="M1469" i="3"/>
  <c r="L1469" i="3"/>
  <c r="K1469" i="3"/>
  <c r="J1469" i="3"/>
  <c r="I1469" i="3"/>
  <c r="H1469" i="3"/>
  <c r="G1469" i="3"/>
  <c r="F1469" i="3"/>
  <c r="E1469" i="3"/>
  <c r="D1469" i="3"/>
  <c r="C1469" i="3"/>
  <c r="M1468" i="3"/>
  <c r="L1468" i="3"/>
  <c r="K1468" i="3"/>
  <c r="J1468" i="3"/>
  <c r="I1468" i="3"/>
  <c r="H1468" i="3"/>
  <c r="G1468" i="3"/>
  <c r="F1468" i="3"/>
  <c r="E1468" i="3"/>
  <c r="D1468" i="3"/>
  <c r="C1468" i="3"/>
  <c r="M1467" i="3"/>
  <c r="L1467" i="3"/>
  <c r="K1467" i="3"/>
  <c r="J1467" i="3"/>
  <c r="I1467" i="3"/>
  <c r="H1467" i="3"/>
  <c r="G1467" i="3"/>
  <c r="F1467" i="3"/>
  <c r="E1467" i="3"/>
  <c r="D1467" i="3"/>
  <c r="C1467" i="3"/>
  <c r="N1466" i="3"/>
  <c r="M1466" i="3"/>
  <c r="L1466" i="3"/>
  <c r="K1466" i="3"/>
  <c r="J1466" i="3"/>
  <c r="I1466" i="3"/>
  <c r="H1466" i="3"/>
  <c r="G1466" i="3"/>
  <c r="F1466" i="3"/>
  <c r="E1466" i="3"/>
  <c r="D1466" i="3"/>
  <c r="C1466" i="3"/>
  <c r="M1465" i="3"/>
  <c r="L1465" i="3"/>
  <c r="K1465" i="3"/>
  <c r="J1465" i="3"/>
  <c r="I1465" i="3"/>
  <c r="H1465" i="3"/>
  <c r="G1465" i="3"/>
  <c r="F1465" i="3"/>
  <c r="E1465" i="3"/>
  <c r="D1465" i="3"/>
  <c r="C1465" i="3"/>
  <c r="N1464" i="3"/>
  <c r="M1464" i="3"/>
  <c r="L1464" i="3"/>
  <c r="K1464" i="3"/>
  <c r="J1464" i="3"/>
  <c r="I1464" i="3"/>
  <c r="H1464" i="3"/>
  <c r="G1464" i="3"/>
  <c r="F1464" i="3"/>
  <c r="E1464" i="3"/>
  <c r="D1464" i="3"/>
  <c r="C1464" i="3"/>
  <c r="N1463" i="3"/>
  <c r="M1463" i="3"/>
  <c r="L1463" i="3"/>
  <c r="K1463" i="3"/>
  <c r="J1463" i="3"/>
  <c r="I1463" i="3"/>
  <c r="H1463" i="3"/>
  <c r="G1463" i="3"/>
  <c r="F1463" i="3"/>
  <c r="E1463" i="3"/>
  <c r="D1463" i="3"/>
  <c r="C1463" i="3"/>
  <c r="N1462" i="3"/>
  <c r="L1462" i="3"/>
  <c r="K1462" i="3"/>
  <c r="J1462" i="3"/>
  <c r="I1462" i="3"/>
  <c r="H1462" i="3"/>
  <c r="G1462" i="3"/>
  <c r="F1462" i="3"/>
  <c r="E1462" i="3"/>
  <c r="D1462" i="3"/>
  <c r="C1462" i="3"/>
  <c r="N1461" i="3"/>
  <c r="L1461" i="3"/>
  <c r="K1461" i="3"/>
  <c r="J1461" i="3"/>
  <c r="I1461" i="3"/>
  <c r="H1461" i="3"/>
  <c r="G1461" i="3"/>
  <c r="F1461" i="3"/>
  <c r="E1461" i="3"/>
  <c r="D1461" i="3"/>
  <c r="C1461" i="3"/>
  <c r="M1460" i="3"/>
  <c r="L1460" i="3"/>
  <c r="K1460" i="3"/>
  <c r="J1460" i="3"/>
  <c r="I1460" i="3"/>
  <c r="H1460" i="3"/>
  <c r="G1460" i="3"/>
  <c r="F1460" i="3"/>
  <c r="E1460" i="3"/>
  <c r="D1460" i="3"/>
  <c r="C1460" i="3"/>
  <c r="N1459" i="3"/>
  <c r="K1459" i="3"/>
  <c r="J1459" i="3"/>
  <c r="I1459" i="3"/>
  <c r="H1459" i="3"/>
  <c r="F1459" i="3"/>
  <c r="E1459" i="3"/>
  <c r="D1459" i="3"/>
  <c r="C1459" i="3"/>
  <c r="N1458" i="3"/>
  <c r="M1458" i="3"/>
  <c r="K1458" i="3"/>
  <c r="J1458" i="3"/>
  <c r="I1458" i="3"/>
  <c r="H1458" i="3"/>
  <c r="F1458" i="3"/>
  <c r="E1458" i="3"/>
  <c r="D1458" i="3"/>
  <c r="C1458" i="3"/>
  <c r="M1457" i="3"/>
  <c r="K1457" i="3"/>
  <c r="J1457" i="3"/>
  <c r="I1457" i="3"/>
  <c r="H1457" i="3"/>
  <c r="F1457" i="3"/>
  <c r="E1457" i="3"/>
  <c r="D1457" i="3"/>
  <c r="C1457" i="3"/>
  <c r="N1456" i="3"/>
  <c r="M1456" i="3"/>
  <c r="L1456" i="3"/>
  <c r="K1456" i="3"/>
  <c r="J1456" i="3"/>
  <c r="I1456" i="3"/>
  <c r="H1456" i="3"/>
  <c r="G1456" i="3"/>
  <c r="F1456" i="3"/>
  <c r="E1456" i="3"/>
  <c r="D1456" i="3"/>
  <c r="C1456" i="3"/>
  <c r="N1455" i="3"/>
  <c r="M1455" i="3"/>
  <c r="L1455" i="3"/>
  <c r="K1455" i="3"/>
  <c r="J1455" i="3"/>
  <c r="I1455" i="3"/>
  <c r="H1455" i="3"/>
  <c r="G1455" i="3"/>
  <c r="F1455" i="3"/>
  <c r="E1455" i="3"/>
  <c r="D1455" i="3"/>
  <c r="C1455" i="3"/>
  <c r="M1454" i="3"/>
  <c r="L1454" i="3"/>
  <c r="K1454" i="3"/>
  <c r="J1454" i="3"/>
  <c r="I1454" i="3"/>
  <c r="H1454" i="3"/>
  <c r="G1454" i="3"/>
  <c r="F1454" i="3"/>
  <c r="E1454" i="3"/>
  <c r="D1454" i="3"/>
  <c r="C1454" i="3"/>
  <c r="M1453" i="3"/>
  <c r="L1453" i="3"/>
  <c r="K1453" i="3"/>
  <c r="J1453" i="3"/>
  <c r="I1453" i="3"/>
  <c r="H1453" i="3"/>
  <c r="G1453" i="3"/>
  <c r="F1453" i="3"/>
  <c r="E1453" i="3"/>
  <c r="D1453" i="3"/>
  <c r="C1453" i="3"/>
  <c r="N1452" i="3"/>
  <c r="L1452" i="3"/>
  <c r="K1452" i="3"/>
  <c r="J1452" i="3"/>
  <c r="I1452" i="3"/>
  <c r="H1452" i="3"/>
  <c r="G1452" i="3"/>
  <c r="F1452" i="3"/>
  <c r="E1452" i="3"/>
  <c r="D1452" i="3"/>
  <c r="C1452" i="3"/>
  <c r="N1451" i="3"/>
  <c r="L1451" i="3"/>
  <c r="K1451" i="3"/>
  <c r="J1451" i="3"/>
  <c r="I1451" i="3"/>
  <c r="H1451" i="3"/>
  <c r="G1451" i="3"/>
  <c r="F1451" i="3"/>
  <c r="E1451" i="3"/>
  <c r="D1451" i="3"/>
  <c r="C1451" i="3"/>
  <c r="N1450" i="3"/>
  <c r="L1450" i="3"/>
  <c r="K1450" i="3"/>
  <c r="J1450" i="3"/>
  <c r="I1450" i="3"/>
  <c r="H1450" i="3"/>
  <c r="G1450" i="3"/>
  <c r="F1450" i="3"/>
  <c r="E1450" i="3"/>
  <c r="D1450" i="3"/>
  <c r="C1450" i="3"/>
  <c r="N1449" i="3"/>
  <c r="L1449" i="3"/>
  <c r="K1449" i="3"/>
  <c r="J1449" i="3"/>
  <c r="I1449" i="3"/>
  <c r="H1449" i="3"/>
  <c r="G1449" i="3"/>
  <c r="F1449" i="3"/>
  <c r="E1449" i="3"/>
  <c r="D1449" i="3"/>
  <c r="C1449" i="3"/>
  <c r="N1448" i="3"/>
  <c r="M1448" i="3"/>
  <c r="K1448" i="3"/>
  <c r="J1448" i="3"/>
  <c r="I1448" i="3"/>
  <c r="H1448" i="3"/>
  <c r="F1448" i="3"/>
  <c r="E1448" i="3"/>
  <c r="D1448" i="3"/>
  <c r="C1448" i="3"/>
  <c r="N1447" i="3"/>
  <c r="L1447" i="3"/>
  <c r="K1447" i="3"/>
  <c r="J1447" i="3"/>
  <c r="I1447" i="3"/>
  <c r="H1447" i="3"/>
  <c r="G1447" i="3"/>
  <c r="F1447" i="3"/>
  <c r="E1447" i="3"/>
  <c r="D1447" i="3"/>
  <c r="C1447" i="3"/>
  <c r="N1446" i="3"/>
  <c r="L1446" i="3"/>
  <c r="K1446" i="3"/>
  <c r="J1446" i="3"/>
  <c r="I1446" i="3"/>
  <c r="H1446" i="3"/>
  <c r="G1446" i="3"/>
  <c r="F1446" i="3"/>
  <c r="E1446" i="3"/>
  <c r="D1446" i="3"/>
  <c r="C1446" i="3"/>
  <c r="N1445" i="3"/>
  <c r="L1445" i="3"/>
  <c r="K1445" i="3"/>
  <c r="J1445" i="3"/>
  <c r="I1445" i="3"/>
  <c r="H1445" i="3"/>
  <c r="G1445" i="3"/>
  <c r="F1445" i="3"/>
  <c r="E1445" i="3"/>
  <c r="D1445" i="3"/>
  <c r="C1445" i="3"/>
  <c r="N1444" i="3"/>
  <c r="L1444" i="3"/>
  <c r="K1444" i="3"/>
  <c r="J1444" i="3"/>
  <c r="I1444" i="3"/>
  <c r="H1444" i="3"/>
  <c r="G1444" i="3"/>
  <c r="F1444" i="3"/>
  <c r="E1444" i="3"/>
  <c r="D1444" i="3"/>
  <c r="C1444" i="3"/>
  <c r="N1443" i="3"/>
  <c r="L1443" i="3"/>
  <c r="K1443" i="3"/>
  <c r="J1443" i="3"/>
  <c r="I1443" i="3"/>
  <c r="H1443" i="3"/>
  <c r="G1443" i="3"/>
  <c r="F1443" i="3"/>
  <c r="E1443" i="3"/>
  <c r="D1443" i="3"/>
  <c r="C1443" i="3"/>
  <c r="N1442" i="3"/>
  <c r="L1442" i="3"/>
  <c r="K1442" i="3"/>
  <c r="J1442" i="3"/>
  <c r="I1442" i="3"/>
  <c r="H1442" i="3"/>
  <c r="G1442" i="3"/>
  <c r="F1442" i="3"/>
  <c r="E1442" i="3"/>
  <c r="D1442" i="3"/>
  <c r="C1442" i="3"/>
  <c r="N1441" i="3"/>
  <c r="M1441" i="3"/>
  <c r="L1441" i="3"/>
  <c r="K1441" i="3"/>
  <c r="J1441" i="3"/>
  <c r="I1441" i="3"/>
  <c r="H1441" i="3"/>
  <c r="G1441" i="3"/>
  <c r="F1441" i="3"/>
  <c r="E1441" i="3"/>
  <c r="D1441" i="3"/>
  <c r="C1441" i="3"/>
  <c r="N1440" i="3"/>
  <c r="K1440" i="3"/>
  <c r="J1440" i="3"/>
  <c r="I1440" i="3"/>
  <c r="H1440" i="3"/>
  <c r="F1440" i="3"/>
  <c r="E1440" i="3"/>
  <c r="D1440" i="3"/>
  <c r="C1440" i="3"/>
  <c r="N1439" i="3"/>
  <c r="L1439" i="3"/>
  <c r="K1439" i="3"/>
  <c r="J1439" i="3"/>
  <c r="I1439" i="3"/>
  <c r="H1439" i="3"/>
  <c r="G1439" i="3"/>
  <c r="F1439" i="3"/>
  <c r="E1439" i="3"/>
  <c r="D1439" i="3"/>
  <c r="C1439" i="3"/>
  <c r="N1438" i="3"/>
  <c r="L1438" i="3"/>
  <c r="K1438" i="3"/>
  <c r="J1438" i="3"/>
  <c r="I1438" i="3"/>
  <c r="H1438" i="3"/>
  <c r="G1438" i="3"/>
  <c r="F1438" i="3"/>
  <c r="E1438" i="3"/>
  <c r="D1438" i="3"/>
  <c r="C1438" i="3"/>
  <c r="M1437" i="3"/>
  <c r="L1437" i="3"/>
  <c r="K1437" i="3"/>
  <c r="J1437" i="3"/>
  <c r="I1437" i="3"/>
  <c r="H1437" i="3"/>
  <c r="G1437" i="3"/>
  <c r="F1437" i="3"/>
  <c r="E1437" i="3"/>
  <c r="D1437" i="3"/>
  <c r="C1437" i="3"/>
  <c r="N1436" i="3"/>
  <c r="K1436" i="3"/>
  <c r="J1436" i="3"/>
  <c r="I1436" i="3"/>
  <c r="H1436" i="3"/>
  <c r="F1436" i="3"/>
  <c r="E1436" i="3"/>
  <c r="D1436" i="3"/>
  <c r="C1436" i="3"/>
  <c r="N1435" i="3"/>
  <c r="K1435" i="3"/>
  <c r="J1435" i="3"/>
  <c r="I1435" i="3"/>
  <c r="H1435" i="3"/>
  <c r="F1435" i="3"/>
  <c r="E1435" i="3"/>
  <c r="D1435" i="3"/>
  <c r="C1435" i="3"/>
  <c r="N1434" i="3"/>
  <c r="L1434" i="3"/>
  <c r="K1434" i="3"/>
  <c r="J1434" i="3"/>
  <c r="I1434" i="3"/>
  <c r="H1434" i="3"/>
  <c r="G1434" i="3"/>
  <c r="F1434" i="3"/>
  <c r="E1434" i="3"/>
  <c r="D1434" i="3"/>
  <c r="C1434" i="3"/>
  <c r="N1433" i="3"/>
  <c r="L1433" i="3"/>
  <c r="K1433" i="3"/>
  <c r="J1433" i="3"/>
  <c r="I1433" i="3"/>
  <c r="H1433" i="3"/>
  <c r="G1433" i="3"/>
  <c r="F1433" i="3"/>
  <c r="E1433" i="3"/>
  <c r="D1433" i="3"/>
  <c r="C1433" i="3"/>
  <c r="M1432" i="3"/>
  <c r="K1432" i="3"/>
  <c r="J1432" i="3"/>
  <c r="I1432" i="3"/>
  <c r="H1432" i="3"/>
  <c r="F1432" i="3"/>
  <c r="E1432" i="3"/>
  <c r="D1432" i="3"/>
  <c r="C1432" i="3"/>
  <c r="N1431" i="3"/>
  <c r="M1431" i="3"/>
  <c r="L1431" i="3"/>
  <c r="K1431" i="3"/>
  <c r="J1431" i="3"/>
  <c r="I1431" i="3"/>
  <c r="H1431" i="3"/>
  <c r="G1431" i="3"/>
  <c r="F1431" i="3"/>
  <c r="E1431" i="3"/>
  <c r="D1431" i="3"/>
  <c r="C1431" i="3"/>
  <c r="N1430" i="3"/>
  <c r="K1430" i="3"/>
  <c r="J1430" i="3"/>
  <c r="I1430" i="3"/>
  <c r="H1430" i="3"/>
  <c r="F1430" i="3"/>
  <c r="E1430" i="3"/>
  <c r="D1430" i="3"/>
  <c r="C1430" i="3"/>
  <c r="M1429" i="3"/>
  <c r="L1429" i="3"/>
  <c r="K1429" i="3"/>
  <c r="J1429" i="3"/>
  <c r="I1429" i="3"/>
  <c r="H1429" i="3"/>
  <c r="G1429" i="3"/>
  <c r="F1429" i="3"/>
  <c r="E1429" i="3"/>
  <c r="D1429" i="3"/>
  <c r="C1429" i="3"/>
  <c r="M1428" i="3"/>
  <c r="L1428" i="3"/>
  <c r="K1428" i="3"/>
  <c r="J1428" i="3"/>
  <c r="I1428" i="3"/>
  <c r="H1428" i="3"/>
  <c r="G1428" i="3"/>
  <c r="F1428" i="3"/>
  <c r="E1428" i="3"/>
  <c r="D1428" i="3"/>
  <c r="C1428" i="3"/>
  <c r="N1427" i="3"/>
  <c r="L1427" i="3"/>
  <c r="K1427" i="3"/>
  <c r="J1427" i="3"/>
  <c r="I1427" i="3"/>
  <c r="H1427" i="3"/>
  <c r="G1427" i="3"/>
  <c r="F1427" i="3"/>
  <c r="E1427" i="3"/>
  <c r="D1427" i="3"/>
  <c r="C1427" i="3"/>
  <c r="N1426" i="3"/>
  <c r="M1426" i="3"/>
  <c r="L1426" i="3"/>
  <c r="K1426" i="3"/>
  <c r="J1426" i="3"/>
  <c r="I1426" i="3"/>
  <c r="H1426" i="3"/>
  <c r="G1426" i="3"/>
  <c r="F1426" i="3"/>
  <c r="E1426" i="3"/>
  <c r="D1426" i="3"/>
  <c r="C1426" i="3"/>
  <c r="N1425" i="3"/>
  <c r="M1425" i="3"/>
  <c r="L1425" i="3"/>
  <c r="K1425" i="3"/>
  <c r="J1425" i="3"/>
  <c r="I1425" i="3"/>
  <c r="H1425" i="3"/>
  <c r="G1425" i="3"/>
  <c r="F1425" i="3"/>
  <c r="E1425" i="3"/>
  <c r="D1425" i="3"/>
  <c r="C1425" i="3"/>
  <c r="M1424" i="3"/>
  <c r="L1424" i="3"/>
  <c r="K1424" i="3"/>
  <c r="J1424" i="3"/>
  <c r="I1424" i="3"/>
  <c r="H1424" i="3"/>
  <c r="G1424" i="3"/>
  <c r="F1424" i="3"/>
  <c r="E1424" i="3"/>
  <c r="D1424" i="3"/>
  <c r="C1424" i="3"/>
  <c r="M1423" i="3"/>
  <c r="L1423" i="3"/>
  <c r="K1423" i="3"/>
  <c r="J1423" i="3"/>
  <c r="I1423" i="3"/>
  <c r="H1423" i="3"/>
  <c r="G1423" i="3"/>
  <c r="F1423" i="3"/>
  <c r="E1423" i="3"/>
  <c r="D1423" i="3"/>
  <c r="C1423" i="3"/>
  <c r="N1422" i="3"/>
  <c r="L1422" i="3"/>
  <c r="K1422" i="3"/>
  <c r="J1422" i="3"/>
  <c r="I1422" i="3"/>
  <c r="H1422" i="3"/>
  <c r="G1422" i="3"/>
  <c r="F1422" i="3"/>
  <c r="E1422" i="3"/>
  <c r="D1422" i="3"/>
  <c r="C1422" i="3"/>
  <c r="M1421" i="3"/>
  <c r="K1421" i="3"/>
  <c r="J1421" i="3"/>
  <c r="I1421" i="3"/>
  <c r="H1421" i="3"/>
  <c r="F1421" i="3"/>
  <c r="E1421" i="3"/>
  <c r="D1421" i="3"/>
  <c r="C1421" i="3"/>
  <c r="N1420" i="3"/>
  <c r="K1420" i="3"/>
  <c r="J1420" i="3"/>
  <c r="I1420" i="3"/>
  <c r="H1420" i="3"/>
  <c r="F1420" i="3"/>
  <c r="E1420" i="3"/>
  <c r="D1420" i="3"/>
  <c r="C1420" i="3"/>
  <c r="M1419" i="3"/>
  <c r="L1419" i="3"/>
  <c r="K1419" i="3"/>
  <c r="J1419" i="3"/>
  <c r="I1419" i="3"/>
  <c r="H1419" i="3"/>
  <c r="G1419" i="3"/>
  <c r="F1419" i="3"/>
  <c r="E1419" i="3"/>
  <c r="D1419" i="3"/>
  <c r="C1419" i="3"/>
  <c r="M1418" i="3"/>
  <c r="L1418" i="3"/>
  <c r="K1418" i="3"/>
  <c r="J1418" i="3"/>
  <c r="I1418" i="3"/>
  <c r="H1418" i="3"/>
  <c r="G1418" i="3"/>
  <c r="F1418" i="3"/>
  <c r="E1418" i="3"/>
  <c r="D1418" i="3"/>
  <c r="C1418" i="3"/>
  <c r="M1417" i="3"/>
  <c r="L1417" i="3"/>
  <c r="K1417" i="3"/>
  <c r="J1417" i="3"/>
  <c r="I1417" i="3"/>
  <c r="H1417" i="3"/>
  <c r="G1417" i="3"/>
  <c r="F1417" i="3"/>
  <c r="E1417" i="3"/>
  <c r="D1417" i="3"/>
  <c r="C1417" i="3"/>
  <c r="M1416" i="3"/>
  <c r="L1416" i="3"/>
  <c r="K1416" i="3"/>
  <c r="J1416" i="3"/>
  <c r="I1416" i="3"/>
  <c r="H1416" i="3"/>
  <c r="G1416" i="3"/>
  <c r="F1416" i="3"/>
  <c r="E1416" i="3"/>
  <c r="D1416" i="3"/>
  <c r="C1416" i="3"/>
  <c r="N1415" i="3"/>
  <c r="L1415" i="3"/>
  <c r="K1415" i="3"/>
  <c r="J1415" i="3"/>
  <c r="I1415" i="3"/>
  <c r="H1415" i="3"/>
  <c r="G1415" i="3"/>
  <c r="F1415" i="3"/>
  <c r="E1415" i="3"/>
  <c r="D1415" i="3"/>
  <c r="C1415" i="3"/>
  <c r="N1414" i="3"/>
  <c r="L1414" i="3"/>
  <c r="K1414" i="3"/>
  <c r="J1414" i="3"/>
  <c r="I1414" i="3"/>
  <c r="H1414" i="3"/>
  <c r="G1414" i="3"/>
  <c r="F1414" i="3"/>
  <c r="E1414" i="3"/>
  <c r="D1414" i="3"/>
  <c r="C1414" i="3"/>
  <c r="M1413" i="3"/>
  <c r="L1413" i="3"/>
  <c r="K1413" i="3"/>
  <c r="J1413" i="3"/>
  <c r="I1413" i="3"/>
  <c r="H1413" i="3"/>
  <c r="G1413" i="3"/>
  <c r="F1413" i="3"/>
  <c r="E1413" i="3"/>
  <c r="D1413" i="3"/>
  <c r="C1413" i="3"/>
  <c r="N1412" i="3"/>
  <c r="M1412" i="3"/>
  <c r="L1412" i="3"/>
  <c r="K1412" i="3"/>
  <c r="J1412" i="3"/>
  <c r="I1412" i="3"/>
  <c r="H1412" i="3"/>
  <c r="G1412" i="3"/>
  <c r="F1412" i="3"/>
  <c r="E1412" i="3"/>
  <c r="D1412" i="3"/>
  <c r="C1412" i="3"/>
  <c r="M1411" i="3"/>
  <c r="L1411" i="3"/>
  <c r="K1411" i="3"/>
  <c r="J1411" i="3"/>
  <c r="I1411" i="3"/>
  <c r="H1411" i="3"/>
  <c r="G1411" i="3"/>
  <c r="F1411" i="3"/>
  <c r="E1411" i="3"/>
  <c r="D1411" i="3"/>
  <c r="C1411" i="3"/>
  <c r="N1410" i="3"/>
  <c r="L1410" i="3"/>
  <c r="K1410" i="3"/>
  <c r="J1410" i="3"/>
  <c r="I1410" i="3"/>
  <c r="H1410" i="3"/>
  <c r="G1410" i="3"/>
  <c r="F1410" i="3"/>
  <c r="E1410" i="3"/>
  <c r="D1410" i="3"/>
  <c r="C1410" i="3"/>
  <c r="M1409" i="3"/>
  <c r="L1409" i="3"/>
  <c r="K1409" i="3"/>
  <c r="J1409" i="3"/>
  <c r="I1409" i="3"/>
  <c r="H1409" i="3"/>
  <c r="G1409" i="3"/>
  <c r="F1409" i="3"/>
  <c r="E1409" i="3"/>
  <c r="D1409" i="3"/>
  <c r="C1409" i="3"/>
  <c r="N1408" i="3"/>
  <c r="L1408" i="3"/>
  <c r="K1408" i="3"/>
  <c r="J1408" i="3"/>
  <c r="I1408" i="3"/>
  <c r="H1408" i="3"/>
  <c r="G1408" i="3"/>
  <c r="F1408" i="3"/>
  <c r="E1408" i="3"/>
  <c r="D1408" i="3"/>
  <c r="C1408" i="3"/>
  <c r="M1407" i="3"/>
  <c r="L1407" i="3"/>
  <c r="K1407" i="3"/>
  <c r="J1407" i="3"/>
  <c r="I1407" i="3"/>
  <c r="H1407" i="3"/>
  <c r="G1407" i="3"/>
  <c r="F1407" i="3"/>
  <c r="E1407" i="3"/>
  <c r="D1407" i="3"/>
  <c r="C1407" i="3"/>
  <c r="M1406" i="3"/>
  <c r="L1406" i="3"/>
  <c r="K1406" i="3"/>
  <c r="J1406" i="3"/>
  <c r="I1406" i="3"/>
  <c r="H1406" i="3"/>
  <c r="G1406" i="3"/>
  <c r="F1406" i="3"/>
  <c r="E1406" i="3"/>
  <c r="D1406" i="3"/>
  <c r="C1406" i="3"/>
  <c r="M1405" i="3"/>
  <c r="L1405" i="3"/>
  <c r="K1405" i="3"/>
  <c r="J1405" i="3"/>
  <c r="I1405" i="3"/>
  <c r="H1405" i="3"/>
  <c r="G1405" i="3"/>
  <c r="F1405" i="3"/>
  <c r="E1405" i="3"/>
  <c r="D1405" i="3"/>
  <c r="C1405" i="3"/>
  <c r="N1404" i="3"/>
  <c r="L1404" i="3"/>
  <c r="K1404" i="3"/>
  <c r="J1404" i="3"/>
  <c r="I1404" i="3"/>
  <c r="H1404" i="3"/>
  <c r="G1404" i="3"/>
  <c r="F1404" i="3"/>
  <c r="E1404" i="3"/>
  <c r="D1404" i="3"/>
  <c r="C1404" i="3"/>
  <c r="N1403" i="3"/>
  <c r="M1403" i="3"/>
  <c r="K1403" i="3"/>
  <c r="J1403" i="3"/>
  <c r="I1403" i="3"/>
  <c r="H1403" i="3"/>
  <c r="F1403" i="3"/>
  <c r="E1403" i="3"/>
  <c r="D1403" i="3"/>
  <c r="C1403" i="3"/>
  <c r="M1402" i="3"/>
  <c r="L1402" i="3"/>
  <c r="K1402" i="3"/>
  <c r="J1402" i="3"/>
  <c r="I1402" i="3"/>
  <c r="H1402" i="3"/>
  <c r="G1402" i="3"/>
  <c r="F1402" i="3"/>
  <c r="E1402" i="3"/>
  <c r="D1402" i="3"/>
  <c r="C1402" i="3"/>
  <c r="L1401" i="3"/>
  <c r="K1401" i="3"/>
  <c r="J1401" i="3"/>
  <c r="I1401" i="3"/>
  <c r="H1401" i="3"/>
  <c r="G1401" i="3"/>
  <c r="F1401" i="3"/>
  <c r="E1401" i="3"/>
  <c r="D1401" i="3"/>
  <c r="C1401" i="3"/>
  <c r="N1400" i="3"/>
  <c r="L1400" i="3"/>
  <c r="K1400" i="3"/>
  <c r="J1400" i="3"/>
  <c r="I1400" i="3"/>
  <c r="H1400" i="3"/>
  <c r="G1400" i="3"/>
  <c r="F1400" i="3"/>
  <c r="E1400" i="3"/>
  <c r="D1400" i="3"/>
  <c r="C1400" i="3"/>
  <c r="M1399" i="3"/>
  <c r="L1399" i="3"/>
  <c r="K1399" i="3"/>
  <c r="J1399" i="3"/>
  <c r="I1399" i="3"/>
  <c r="H1399" i="3"/>
  <c r="G1399" i="3"/>
  <c r="F1399" i="3"/>
  <c r="E1399" i="3"/>
  <c r="D1399" i="3"/>
  <c r="C1399" i="3"/>
  <c r="N1398" i="3"/>
  <c r="L1398" i="3"/>
  <c r="K1398" i="3"/>
  <c r="J1398" i="3"/>
  <c r="I1398" i="3"/>
  <c r="H1398" i="3"/>
  <c r="G1398" i="3"/>
  <c r="F1398" i="3"/>
  <c r="E1398" i="3"/>
  <c r="D1398" i="3"/>
  <c r="C1398" i="3"/>
  <c r="M1397" i="3"/>
  <c r="L1397" i="3"/>
  <c r="K1397" i="3"/>
  <c r="J1397" i="3"/>
  <c r="I1397" i="3"/>
  <c r="H1397" i="3"/>
  <c r="G1397" i="3"/>
  <c r="F1397" i="3"/>
  <c r="E1397" i="3"/>
  <c r="D1397" i="3"/>
  <c r="C1397" i="3"/>
  <c r="M1396" i="3"/>
  <c r="L1396" i="3"/>
  <c r="K1396" i="3"/>
  <c r="J1396" i="3"/>
  <c r="I1396" i="3"/>
  <c r="H1396" i="3"/>
  <c r="G1396" i="3"/>
  <c r="F1396" i="3"/>
  <c r="E1396" i="3"/>
  <c r="D1396" i="3"/>
  <c r="C1396" i="3"/>
  <c r="M1395" i="3"/>
  <c r="L1395" i="3"/>
  <c r="K1395" i="3"/>
  <c r="J1395" i="3"/>
  <c r="I1395" i="3"/>
  <c r="H1395" i="3"/>
  <c r="G1395" i="3"/>
  <c r="F1395" i="3"/>
  <c r="E1395" i="3"/>
  <c r="D1395" i="3"/>
  <c r="C1395" i="3"/>
  <c r="M1394" i="3"/>
  <c r="L1394" i="3"/>
  <c r="K1394" i="3"/>
  <c r="J1394" i="3"/>
  <c r="I1394" i="3"/>
  <c r="H1394" i="3"/>
  <c r="G1394" i="3"/>
  <c r="F1394" i="3"/>
  <c r="E1394" i="3"/>
  <c r="D1394" i="3"/>
  <c r="C1394" i="3"/>
  <c r="N1393" i="3"/>
  <c r="K1393" i="3"/>
  <c r="J1393" i="3"/>
  <c r="I1393" i="3"/>
  <c r="H1393" i="3"/>
  <c r="F1393" i="3"/>
  <c r="E1393" i="3"/>
  <c r="D1393" i="3"/>
  <c r="C1393" i="3"/>
  <c r="N1392" i="3"/>
  <c r="L1392" i="3"/>
  <c r="K1392" i="3"/>
  <c r="J1392" i="3"/>
  <c r="I1392" i="3"/>
  <c r="H1392" i="3"/>
  <c r="G1392" i="3"/>
  <c r="F1392" i="3"/>
  <c r="E1392" i="3"/>
  <c r="D1392" i="3"/>
  <c r="C1392" i="3"/>
  <c r="M1391" i="3"/>
  <c r="L1391" i="3"/>
  <c r="K1391" i="3"/>
  <c r="J1391" i="3"/>
  <c r="I1391" i="3"/>
  <c r="H1391" i="3"/>
  <c r="G1391" i="3"/>
  <c r="F1391" i="3"/>
  <c r="E1391" i="3"/>
  <c r="D1391" i="3"/>
  <c r="C1391" i="3"/>
  <c r="M1390" i="3"/>
  <c r="L1390" i="3"/>
  <c r="K1390" i="3"/>
  <c r="J1390" i="3"/>
  <c r="I1390" i="3"/>
  <c r="H1390" i="3"/>
  <c r="G1390" i="3"/>
  <c r="F1390" i="3"/>
  <c r="E1390" i="3"/>
  <c r="D1390" i="3"/>
  <c r="C1390" i="3"/>
  <c r="K1389" i="3"/>
  <c r="J1389" i="3"/>
  <c r="I1389" i="3"/>
  <c r="H1389" i="3"/>
  <c r="F1389" i="3"/>
  <c r="E1389" i="3"/>
  <c r="D1389" i="3"/>
  <c r="C1389" i="3"/>
  <c r="M1388" i="3"/>
  <c r="L1388" i="3"/>
  <c r="K1388" i="3"/>
  <c r="J1388" i="3"/>
  <c r="I1388" i="3"/>
  <c r="H1388" i="3"/>
  <c r="G1388" i="3"/>
  <c r="F1388" i="3"/>
  <c r="E1388" i="3"/>
  <c r="D1388" i="3"/>
  <c r="C1388" i="3"/>
  <c r="M1387" i="3"/>
  <c r="L1387" i="3"/>
  <c r="K1387" i="3"/>
  <c r="J1387" i="3"/>
  <c r="I1387" i="3"/>
  <c r="H1387" i="3"/>
  <c r="G1387" i="3"/>
  <c r="F1387" i="3"/>
  <c r="E1387" i="3"/>
  <c r="D1387" i="3"/>
  <c r="C1387" i="3"/>
  <c r="N1386" i="3"/>
  <c r="M1386" i="3"/>
  <c r="L1386" i="3"/>
  <c r="K1386" i="3"/>
  <c r="J1386" i="3"/>
  <c r="I1386" i="3"/>
  <c r="H1386" i="3"/>
  <c r="G1386" i="3"/>
  <c r="F1386" i="3"/>
  <c r="E1386" i="3"/>
  <c r="D1386" i="3"/>
  <c r="C1386" i="3"/>
  <c r="N1385" i="3"/>
  <c r="K1385" i="3"/>
  <c r="J1385" i="3"/>
  <c r="I1385" i="3"/>
  <c r="H1385" i="3"/>
  <c r="F1385" i="3"/>
  <c r="E1385" i="3"/>
  <c r="D1385" i="3"/>
  <c r="C1385" i="3"/>
  <c r="M1384" i="3"/>
  <c r="L1384" i="3"/>
  <c r="K1384" i="3"/>
  <c r="J1384" i="3"/>
  <c r="I1384" i="3"/>
  <c r="H1384" i="3"/>
  <c r="G1384" i="3"/>
  <c r="F1384" i="3"/>
  <c r="E1384" i="3"/>
  <c r="D1384" i="3"/>
  <c r="C1384" i="3"/>
  <c r="M1383" i="3"/>
  <c r="L1383" i="3"/>
  <c r="K1383" i="3"/>
  <c r="J1383" i="3"/>
  <c r="I1383" i="3"/>
  <c r="H1383" i="3"/>
  <c r="G1383" i="3"/>
  <c r="F1383" i="3"/>
  <c r="E1383" i="3"/>
  <c r="D1383" i="3"/>
  <c r="C1383" i="3"/>
  <c r="N1382" i="3"/>
  <c r="L1382" i="3"/>
  <c r="K1382" i="3"/>
  <c r="J1382" i="3"/>
  <c r="I1382" i="3"/>
  <c r="H1382" i="3"/>
  <c r="G1382" i="3"/>
  <c r="F1382" i="3"/>
  <c r="E1382" i="3"/>
  <c r="D1382" i="3"/>
  <c r="C1382" i="3"/>
  <c r="M1381" i="3"/>
  <c r="L1381" i="3"/>
  <c r="K1381" i="3"/>
  <c r="J1381" i="3"/>
  <c r="I1381" i="3"/>
  <c r="H1381" i="3"/>
  <c r="G1381" i="3"/>
  <c r="F1381" i="3"/>
  <c r="E1381" i="3"/>
  <c r="D1381" i="3"/>
  <c r="C1381" i="3"/>
  <c r="N1380" i="3"/>
  <c r="L1380" i="3"/>
  <c r="K1380" i="3"/>
  <c r="J1380" i="3"/>
  <c r="I1380" i="3"/>
  <c r="H1380" i="3"/>
  <c r="G1380" i="3"/>
  <c r="F1380" i="3"/>
  <c r="E1380" i="3"/>
  <c r="D1380" i="3"/>
  <c r="C1380" i="3"/>
  <c r="M1379" i="3"/>
  <c r="L1379" i="3"/>
  <c r="K1379" i="3"/>
  <c r="J1379" i="3"/>
  <c r="I1379" i="3"/>
  <c r="H1379" i="3"/>
  <c r="G1379" i="3"/>
  <c r="F1379" i="3"/>
  <c r="E1379" i="3"/>
  <c r="D1379" i="3"/>
  <c r="C1379" i="3"/>
  <c r="N1378" i="3"/>
  <c r="M1378" i="3"/>
  <c r="L1378" i="3"/>
  <c r="K1378" i="3"/>
  <c r="J1378" i="3"/>
  <c r="I1378" i="3"/>
  <c r="H1378" i="3"/>
  <c r="G1378" i="3"/>
  <c r="F1378" i="3"/>
  <c r="E1378" i="3"/>
  <c r="D1378" i="3"/>
  <c r="C1378" i="3"/>
  <c r="M1377" i="3"/>
  <c r="L1377" i="3"/>
  <c r="K1377" i="3"/>
  <c r="J1377" i="3"/>
  <c r="I1377" i="3"/>
  <c r="H1377" i="3"/>
  <c r="G1377" i="3"/>
  <c r="F1377" i="3"/>
  <c r="E1377" i="3"/>
  <c r="D1377" i="3"/>
  <c r="C1377" i="3"/>
  <c r="M1376" i="3"/>
  <c r="L1376" i="3"/>
  <c r="K1376" i="3"/>
  <c r="J1376" i="3"/>
  <c r="I1376" i="3"/>
  <c r="H1376" i="3"/>
  <c r="G1376" i="3"/>
  <c r="F1376" i="3"/>
  <c r="E1376" i="3"/>
  <c r="D1376" i="3"/>
  <c r="C1376" i="3"/>
  <c r="N1375" i="3"/>
  <c r="K1375" i="3"/>
  <c r="J1375" i="3"/>
  <c r="I1375" i="3"/>
  <c r="H1375" i="3"/>
  <c r="F1375" i="3"/>
  <c r="E1375" i="3"/>
  <c r="D1375" i="3"/>
  <c r="C1375" i="3"/>
  <c r="N1374" i="3"/>
  <c r="M1374" i="3"/>
  <c r="L1374" i="3"/>
  <c r="K1374" i="3"/>
  <c r="J1374" i="3"/>
  <c r="I1374" i="3"/>
  <c r="H1374" i="3"/>
  <c r="G1374" i="3"/>
  <c r="F1374" i="3"/>
  <c r="E1374" i="3"/>
  <c r="D1374" i="3"/>
  <c r="C1374" i="3"/>
  <c r="M1373" i="3"/>
  <c r="L1373" i="3"/>
  <c r="K1373" i="3"/>
  <c r="J1373" i="3"/>
  <c r="I1373" i="3"/>
  <c r="H1373" i="3"/>
  <c r="G1373" i="3"/>
  <c r="F1373" i="3"/>
  <c r="E1373" i="3"/>
  <c r="D1373" i="3"/>
  <c r="C1373" i="3"/>
  <c r="N1372" i="3"/>
  <c r="K1372" i="3"/>
  <c r="J1372" i="3"/>
  <c r="I1372" i="3"/>
  <c r="H1372" i="3"/>
  <c r="F1372" i="3"/>
  <c r="E1372" i="3"/>
  <c r="D1372" i="3"/>
  <c r="C1372" i="3"/>
  <c r="M1371" i="3"/>
  <c r="L1371" i="3"/>
  <c r="K1371" i="3"/>
  <c r="J1371" i="3"/>
  <c r="I1371" i="3"/>
  <c r="H1371" i="3"/>
  <c r="G1371" i="3"/>
  <c r="F1371" i="3"/>
  <c r="E1371" i="3"/>
  <c r="D1371" i="3"/>
  <c r="C1371" i="3"/>
  <c r="N1370" i="3"/>
  <c r="L1370" i="3"/>
  <c r="K1370" i="3"/>
  <c r="J1370" i="3"/>
  <c r="I1370" i="3"/>
  <c r="H1370" i="3"/>
  <c r="G1370" i="3"/>
  <c r="F1370" i="3"/>
  <c r="E1370" i="3"/>
  <c r="D1370" i="3"/>
  <c r="C1370" i="3"/>
  <c r="N1369" i="3"/>
  <c r="L1369" i="3"/>
  <c r="K1369" i="3"/>
  <c r="J1369" i="3"/>
  <c r="I1369" i="3"/>
  <c r="H1369" i="3"/>
  <c r="G1369" i="3"/>
  <c r="F1369" i="3"/>
  <c r="E1369" i="3"/>
  <c r="D1369" i="3"/>
  <c r="C1369" i="3"/>
  <c r="N1368" i="3"/>
  <c r="L1368" i="3"/>
  <c r="K1368" i="3"/>
  <c r="J1368" i="3"/>
  <c r="I1368" i="3"/>
  <c r="H1368" i="3"/>
  <c r="G1368" i="3"/>
  <c r="F1368" i="3"/>
  <c r="E1368" i="3"/>
  <c r="D1368" i="3"/>
  <c r="C1368" i="3"/>
  <c r="N1367" i="3"/>
  <c r="L1367" i="3"/>
  <c r="K1367" i="3"/>
  <c r="J1367" i="3"/>
  <c r="I1367" i="3"/>
  <c r="H1367" i="3"/>
  <c r="G1367" i="3"/>
  <c r="F1367" i="3"/>
  <c r="E1367" i="3"/>
  <c r="D1367" i="3"/>
  <c r="C1367" i="3"/>
  <c r="M1366" i="3"/>
  <c r="L1366" i="3"/>
  <c r="K1366" i="3"/>
  <c r="J1366" i="3"/>
  <c r="I1366" i="3"/>
  <c r="H1366" i="3"/>
  <c r="G1366" i="3"/>
  <c r="F1366" i="3"/>
  <c r="E1366" i="3"/>
  <c r="D1366" i="3"/>
  <c r="C1366" i="3"/>
  <c r="N1365" i="3"/>
  <c r="M1365" i="3"/>
  <c r="L1365" i="3"/>
  <c r="K1365" i="3"/>
  <c r="J1365" i="3"/>
  <c r="I1365" i="3"/>
  <c r="H1365" i="3"/>
  <c r="G1365" i="3"/>
  <c r="F1365" i="3"/>
  <c r="E1365" i="3"/>
  <c r="D1365" i="3"/>
  <c r="C1365" i="3"/>
  <c r="M1364" i="3"/>
  <c r="L1364" i="3"/>
  <c r="K1364" i="3"/>
  <c r="J1364" i="3"/>
  <c r="I1364" i="3"/>
  <c r="H1364" i="3"/>
  <c r="G1364" i="3"/>
  <c r="F1364" i="3"/>
  <c r="E1364" i="3"/>
  <c r="D1364" i="3"/>
  <c r="C1364" i="3"/>
  <c r="N1363" i="3"/>
  <c r="L1363" i="3"/>
  <c r="K1363" i="3"/>
  <c r="J1363" i="3"/>
  <c r="I1363" i="3"/>
  <c r="H1363" i="3"/>
  <c r="G1363" i="3"/>
  <c r="F1363" i="3"/>
  <c r="E1363" i="3"/>
  <c r="D1363" i="3"/>
  <c r="C1363" i="3"/>
  <c r="N1362" i="3"/>
  <c r="M1362" i="3"/>
  <c r="K1362" i="3"/>
  <c r="J1362" i="3"/>
  <c r="I1362" i="3"/>
  <c r="H1362" i="3"/>
  <c r="F1362" i="3"/>
  <c r="E1362" i="3"/>
  <c r="D1362" i="3"/>
  <c r="C1362" i="3"/>
  <c r="M1361" i="3"/>
  <c r="L1361" i="3"/>
  <c r="K1361" i="3"/>
  <c r="J1361" i="3"/>
  <c r="I1361" i="3"/>
  <c r="H1361" i="3"/>
  <c r="G1361" i="3"/>
  <c r="F1361" i="3"/>
  <c r="E1361" i="3"/>
  <c r="D1361" i="3"/>
  <c r="C1361" i="3"/>
  <c r="N1360" i="3"/>
  <c r="L1360" i="3"/>
  <c r="K1360" i="3"/>
  <c r="J1360" i="3"/>
  <c r="I1360" i="3"/>
  <c r="H1360" i="3"/>
  <c r="G1360" i="3"/>
  <c r="F1360" i="3"/>
  <c r="E1360" i="3"/>
  <c r="D1360" i="3"/>
  <c r="C1360" i="3"/>
  <c r="N1359" i="3"/>
  <c r="K1359" i="3"/>
  <c r="J1359" i="3"/>
  <c r="I1359" i="3"/>
  <c r="H1359" i="3"/>
  <c r="F1359" i="3"/>
  <c r="E1359" i="3"/>
  <c r="D1359" i="3"/>
  <c r="C1359" i="3"/>
  <c r="N1358" i="3"/>
  <c r="L1358" i="3"/>
  <c r="K1358" i="3"/>
  <c r="J1358" i="3"/>
  <c r="I1358" i="3"/>
  <c r="H1358" i="3"/>
  <c r="G1358" i="3"/>
  <c r="F1358" i="3"/>
  <c r="E1358" i="3"/>
  <c r="D1358" i="3"/>
  <c r="C1358" i="3"/>
  <c r="N1357" i="3"/>
  <c r="L1357" i="3"/>
  <c r="K1357" i="3"/>
  <c r="J1357" i="3"/>
  <c r="I1357" i="3"/>
  <c r="H1357" i="3"/>
  <c r="G1357" i="3"/>
  <c r="F1357" i="3"/>
  <c r="E1357" i="3"/>
  <c r="D1357" i="3"/>
  <c r="C1357" i="3"/>
  <c r="N1356" i="3"/>
  <c r="K1356" i="3"/>
  <c r="J1356" i="3"/>
  <c r="I1356" i="3"/>
  <c r="H1356" i="3"/>
  <c r="F1356" i="3"/>
  <c r="E1356" i="3"/>
  <c r="D1356" i="3"/>
  <c r="C1356" i="3"/>
  <c r="M1355" i="3"/>
  <c r="L1355" i="3"/>
  <c r="K1355" i="3"/>
  <c r="J1355" i="3"/>
  <c r="I1355" i="3"/>
  <c r="H1355" i="3"/>
  <c r="G1355" i="3"/>
  <c r="F1355" i="3"/>
  <c r="E1355" i="3"/>
  <c r="D1355" i="3"/>
  <c r="C1355" i="3"/>
  <c r="N1354" i="3"/>
  <c r="L1354" i="3"/>
  <c r="K1354" i="3"/>
  <c r="J1354" i="3"/>
  <c r="I1354" i="3"/>
  <c r="H1354" i="3"/>
  <c r="G1354" i="3"/>
  <c r="F1354" i="3"/>
  <c r="E1354" i="3"/>
  <c r="D1354" i="3"/>
  <c r="C1354" i="3"/>
  <c r="N1353" i="3"/>
  <c r="L1353" i="3"/>
  <c r="K1353" i="3"/>
  <c r="J1353" i="3"/>
  <c r="I1353" i="3"/>
  <c r="H1353" i="3"/>
  <c r="G1353" i="3"/>
  <c r="F1353" i="3"/>
  <c r="E1353" i="3"/>
  <c r="D1353" i="3"/>
  <c r="C1353" i="3"/>
  <c r="M1352" i="3"/>
  <c r="L1352" i="3"/>
  <c r="K1352" i="3"/>
  <c r="J1352" i="3"/>
  <c r="I1352" i="3"/>
  <c r="H1352" i="3"/>
  <c r="G1352" i="3"/>
  <c r="F1352" i="3"/>
  <c r="E1352" i="3"/>
  <c r="D1352" i="3"/>
  <c r="C1352" i="3"/>
  <c r="M1351" i="3"/>
  <c r="L1351" i="3"/>
  <c r="K1351" i="3"/>
  <c r="J1351" i="3"/>
  <c r="I1351" i="3"/>
  <c r="H1351" i="3"/>
  <c r="G1351" i="3"/>
  <c r="F1351" i="3"/>
  <c r="E1351" i="3"/>
  <c r="D1351" i="3"/>
  <c r="C1351" i="3"/>
  <c r="N1350" i="3"/>
  <c r="K1350" i="3"/>
  <c r="J1350" i="3"/>
  <c r="I1350" i="3"/>
  <c r="H1350" i="3"/>
  <c r="F1350" i="3"/>
  <c r="E1350" i="3"/>
  <c r="D1350" i="3"/>
  <c r="C1350" i="3"/>
  <c r="M1349" i="3"/>
  <c r="L1349" i="3"/>
  <c r="K1349" i="3"/>
  <c r="J1349" i="3"/>
  <c r="I1349" i="3"/>
  <c r="H1349" i="3"/>
  <c r="G1349" i="3"/>
  <c r="F1349" i="3"/>
  <c r="E1349" i="3"/>
  <c r="D1349" i="3"/>
  <c r="C1349" i="3"/>
  <c r="N1348" i="3"/>
  <c r="L1348" i="3"/>
  <c r="K1348" i="3"/>
  <c r="J1348" i="3"/>
  <c r="I1348" i="3"/>
  <c r="H1348" i="3"/>
  <c r="G1348" i="3"/>
  <c r="F1348" i="3"/>
  <c r="E1348" i="3"/>
  <c r="D1348" i="3"/>
  <c r="C1348" i="3"/>
  <c r="N1347" i="3"/>
  <c r="M1347" i="3"/>
  <c r="L1347" i="3"/>
  <c r="K1347" i="3"/>
  <c r="J1347" i="3"/>
  <c r="I1347" i="3"/>
  <c r="H1347" i="3"/>
  <c r="G1347" i="3"/>
  <c r="F1347" i="3"/>
  <c r="E1347" i="3"/>
  <c r="D1347" i="3"/>
  <c r="C1347" i="3"/>
  <c r="M1346" i="3"/>
  <c r="L1346" i="3"/>
  <c r="K1346" i="3"/>
  <c r="J1346" i="3"/>
  <c r="I1346" i="3"/>
  <c r="H1346" i="3"/>
  <c r="G1346" i="3"/>
  <c r="F1346" i="3"/>
  <c r="E1346" i="3"/>
  <c r="D1346" i="3"/>
  <c r="C1346" i="3"/>
  <c r="N1345" i="3"/>
  <c r="M1345" i="3"/>
  <c r="L1345" i="3"/>
  <c r="K1345" i="3"/>
  <c r="J1345" i="3"/>
  <c r="I1345" i="3"/>
  <c r="H1345" i="3"/>
  <c r="G1345" i="3"/>
  <c r="F1345" i="3"/>
  <c r="E1345" i="3"/>
  <c r="D1345" i="3"/>
  <c r="C1345" i="3"/>
  <c r="N1344" i="3"/>
  <c r="L1344" i="3"/>
  <c r="K1344" i="3"/>
  <c r="J1344" i="3"/>
  <c r="I1344" i="3"/>
  <c r="H1344" i="3"/>
  <c r="G1344" i="3"/>
  <c r="F1344" i="3"/>
  <c r="E1344" i="3"/>
  <c r="D1344" i="3"/>
  <c r="C1344" i="3"/>
  <c r="M1343" i="3"/>
  <c r="L1343" i="3"/>
  <c r="K1343" i="3"/>
  <c r="J1343" i="3"/>
  <c r="I1343" i="3"/>
  <c r="H1343" i="3"/>
  <c r="G1343" i="3"/>
  <c r="F1343" i="3"/>
  <c r="E1343" i="3"/>
  <c r="D1343" i="3"/>
  <c r="C1343" i="3"/>
  <c r="N1342" i="3"/>
  <c r="L1342" i="3"/>
  <c r="K1342" i="3"/>
  <c r="J1342" i="3"/>
  <c r="I1342" i="3"/>
  <c r="H1342" i="3"/>
  <c r="G1342" i="3"/>
  <c r="F1342" i="3"/>
  <c r="E1342" i="3"/>
  <c r="D1342" i="3"/>
  <c r="C1342" i="3"/>
  <c r="M1341" i="3"/>
  <c r="L1341" i="3"/>
  <c r="K1341" i="3"/>
  <c r="J1341" i="3"/>
  <c r="I1341" i="3"/>
  <c r="H1341" i="3"/>
  <c r="G1341" i="3"/>
  <c r="F1341" i="3"/>
  <c r="E1341" i="3"/>
  <c r="D1341" i="3"/>
  <c r="C1341" i="3"/>
  <c r="M1340" i="3"/>
  <c r="L1340" i="3"/>
  <c r="K1340" i="3"/>
  <c r="J1340" i="3"/>
  <c r="I1340" i="3"/>
  <c r="H1340" i="3"/>
  <c r="G1340" i="3"/>
  <c r="F1340" i="3"/>
  <c r="E1340" i="3"/>
  <c r="D1340" i="3"/>
  <c r="C1340" i="3"/>
  <c r="M1339" i="3"/>
  <c r="L1339" i="3"/>
  <c r="K1339" i="3"/>
  <c r="J1339" i="3"/>
  <c r="I1339" i="3"/>
  <c r="H1339" i="3"/>
  <c r="G1339" i="3"/>
  <c r="F1339" i="3"/>
  <c r="E1339" i="3"/>
  <c r="D1339" i="3"/>
  <c r="C1339" i="3"/>
  <c r="N1338" i="3"/>
  <c r="L1338" i="3"/>
  <c r="K1338" i="3"/>
  <c r="J1338" i="3"/>
  <c r="I1338" i="3"/>
  <c r="H1338" i="3"/>
  <c r="G1338" i="3"/>
  <c r="F1338" i="3"/>
  <c r="E1338" i="3"/>
  <c r="D1338" i="3"/>
  <c r="C1338" i="3"/>
  <c r="M1337" i="3"/>
  <c r="K1337" i="3"/>
  <c r="J1337" i="3"/>
  <c r="I1337" i="3"/>
  <c r="H1337" i="3"/>
  <c r="F1337" i="3"/>
  <c r="E1337" i="3"/>
  <c r="D1337" i="3"/>
  <c r="C1337" i="3"/>
  <c r="M1336" i="3"/>
  <c r="L1336" i="3"/>
  <c r="K1336" i="3"/>
  <c r="J1336" i="3"/>
  <c r="I1336" i="3"/>
  <c r="H1336" i="3"/>
  <c r="G1336" i="3"/>
  <c r="F1336" i="3"/>
  <c r="E1336" i="3"/>
  <c r="D1336" i="3"/>
  <c r="C1336" i="3"/>
  <c r="M1335" i="3"/>
  <c r="L1335" i="3"/>
  <c r="K1335" i="3"/>
  <c r="J1335" i="3"/>
  <c r="I1335" i="3"/>
  <c r="H1335" i="3"/>
  <c r="G1335" i="3"/>
  <c r="F1335" i="3"/>
  <c r="E1335" i="3"/>
  <c r="D1335" i="3"/>
  <c r="C1335" i="3"/>
  <c r="M1334" i="3"/>
  <c r="L1334" i="3"/>
  <c r="K1334" i="3"/>
  <c r="J1334" i="3"/>
  <c r="I1334" i="3"/>
  <c r="H1334" i="3"/>
  <c r="G1334" i="3"/>
  <c r="F1334" i="3"/>
  <c r="E1334" i="3"/>
  <c r="D1334" i="3"/>
  <c r="C1334" i="3"/>
  <c r="M1333" i="3"/>
  <c r="L1333" i="3"/>
  <c r="K1333" i="3"/>
  <c r="J1333" i="3"/>
  <c r="I1333" i="3"/>
  <c r="H1333" i="3"/>
  <c r="G1333" i="3"/>
  <c r="F1333" i="3"/>
  <c r="E1333" i="3"/>
  <c r="D1333" i="3"/>
  <c r="C1333" i="3"/>
  <c r="N1332" i="3"/>
  <c r="K1332" i="3"/>
  <c r="J1332" i="3"/>
  <c r="I1332" i="3"/>
  <c r="H1332" i="3"/>
  <c r="F1332" i="3"/>
  <c r="E1332" i="3"/>
  <c r="D1332" i="3"/>
  <c r="C1332" i="3"/>
  <c r="M1331" i="3"/>
  <c r="L1331" i="3"/>
  <c r="K1331" i="3"/>
  <c r="J1331" i="3"/>
  <c r="I1331" i="3"/>
  <c r="H1331" i="3"/>
  <c r="G1331" i="3"/>
  <c r="F1331" i="3"/>
  <c r="E1331" i="3"/>
  <c r="D1331" i="3"/>
  <c r="C1331" i="3"/>
  <c r="K1330" i="3"/>
  <c r="J1330" i="3"/>
  <c r="I1330" i="3"/>
  <c r="H1330" i="3"/>
  <c r="F1330" i="3"/>
  <c r="E1330" i="3"/>
  <c r="D1330" i="3"/>
  <c r="C1330" i="3"/>
  <c r="M1329" i="3"/>
  <c r="L1329" i="3"/>
  <c r="K1329" i="3"/>
  <c r="J1329" i="3"/>
  <c r="I1329" i="3"/>
  <c r="H1329" i="3"/>
  <c r="G1329" i="3"/>
  <c r="F1329" i="3"/>
  <c r="E1329" i="3"/>
  <c r="D1329" i="3"/>
  <c r="C1329" i="3"/>
  <c r="M1328" i="3"/>
  <c r="L1328" i="3"/>
  <c r="K1328" i="3"/>
  <c r="J1328" i="3"/>
  <c r="I1328" i="3"/>
  <c r="H1328" i="3"/>
  <c r="G1328" i="3"/>
  <c r="F1328" i="3"/>
  <c r="E1328" i="3"/>
  <c r="D1328" i="3"/>
  <c r="C1328" i="3"/>
  <c r="N1327" i="3"/>
  <c r="M1327" i="3"/>
  <c r="L1327" i="3"/>
  <c r="K1327" i="3"/>
  <c r="J1327" i="3"/>
  <c r="I1327" i="3"/>
  <c r="H1327" i="3"/>
  <c r="G1327" i="3"/>
  <c r="F1327" i="3"/>
  <c r="E1327" i="3"/>
  <c r="D1327" i="3"/>
  <c r="C1327" i="3"/>
  <c r="N1326" i="3"/>
  <c r="M1326" i="3"/>
  <c r="L1326" i="3"/>
  <c r="K1326" i="3"/>
  <c r="J1326" i="3"/>
  <c r="I1326" i="3"/>
  <c r="H1326" i="3"/>
  <c r="G1326" i="3"/>
  <c r="F1326" i="3"/>
  <c r="E1326" i="3"/>
  <c r="D1326" i="3"/>
  <c r="C1326" i="3"/>
  <c r="M1325" i="3"/>
  <c r="L1325" i="3"/>
  <c r="K1325" i="3"/>
  <c r="J1325" i="3"/>
  <c r="I1325" i="3"/>
  <c r="H1325" i="3"/>
  <c r="G1325" i="3"/>
  <c r="F1325" i="3"/>
  <c r="E1325" i="3"/>
  <c r="D1325" i="3"/>
  <c r="C1325" i="3"/>
  <c r="M1324" i="3"/>
  <c r="L1324" i="3"/>
  <c r="K1324" i="3"/>
  <c r="J1324" i="3"/>
  <c r="I1324" i="3"/>
  <c r="H1324" i="3"/>
  <c r="G1324" i="3"/>
  <c r="F1324" i="3"/>
  <c r="E1324" i="3"/>
  <c r="D1324" i="3"/>
  <c r="C1324" i="3"/>
  <c r="M1323" i="3"/>
  <c r="L1323" i="3"/>
  <c r="K1323" i="3"/>
  <c r="J1323" i="3"/>
  <c r="I1323" i="3"/>
  <c r="H1323" i="3"/>
  <c r="G1323" i="3"/>
  <c r="F1323" i="3"/>
  <c r="E1323" i="3"/>
  <c r="D1323" i="3"/>
  <c r="C1323" i="3"/>
  <c r="M1322" i="3"/>
  <c r="L1322" i="3"/>
  <c r="K1322" i="3"/>
  <c r="J1322" i="3"/>
  <c r="I1322" i="3"/>
  <c r="H1322" i="3"/>
  <c r="G1322" i="3"/>
  <c r="F1322" i="3"/>
  <c r="E1322" i="3"/>
  <c r="D1322" i="3"/>
  <c r="C1322" i="3"/>
  <c r="M1321" i="3"/>
  <c r="L1321" i="3"/>
  <c r="K1321" i="3"/>
  <c r="J1321" i="3"/>
  <c r="I1321" i="3"/>
  <c r="H1321" i="3"/>
  <c r="G1321" i="3"/>
  <c r="F1321" i="3"/>
  <c r="E1321" i="3"/>
  <c r="D1321" i="3"/>
  <c r="C1321" i="3"/>
  <c r="N1320" i="3"/>
  <c r="M1320" i="3"/>
  <c r="K1320" i="3"/>
  <c r="J1320" i="3"/>
  <c r="I1320" i="3"/>
  <c r="H1320" i="3"/>
  <c r="F1320" i="3"/>
  <c r="E1320" i="3"/>
  <c r="D1320" i="3"/>
  <c r="C1320" i="3"/>
  <c r="N1319" i="3"/>
  <c r="M1319" i="3"/>
  <c r="K1319" i="3"/>
  <c r="J1319" i="3"/>
  <c r="I1319" i="3"/>
  <c r="H1319" i="3"/>
  <c r="F1319" i="3"/>
  <c r="E1319" i="3"/>
  <c r="D1319" i="3"/>
  <c r="C1319" i="3"/>
  <c r="N1318" i="3"/>
  <c r="L1318" i="3"/>
  <c r="K1318" i="3"/>
  <c r="J1318" i="3"/>
  <c r="I1318" i="3"/>
  <c r="H1318" i="3"/>
  <c r="G1318" i="3"/>
  <c r="F1318" i="3"/>
  <c r="E1318" i="3"/>
  <c r="D1318" i="3"/>
  <c r="C1318" i="3"/>
  <c r="N1317" i="3"/>
  <c r="L1317" i="3"/>
  <c r="K1317" i="3"/>
  <c r="J1317" i="3"/>
  <c r="I1317" i="3"/>
  <c r="H1317" i="3"/>
  <c r="G1317" i="3"/>
  <c r="F1317" i="3"/>
  <c r="E1317" i="3"/>
  <c r="D1317" i="3"/>
  <c r="C1317" i="3"/>
  <c r="M1316" i="3"/>
  <c r="L1316" i="3"/>
  <c r="K1316" i="3"/>
  <c r="J1316" i="3"/>
  <c r="I1316" i="3"/>
  <c r="H1316" i="3"/>
  <c r="G1316" i="3"/>
  <c r="F1316" i="3"/>
  <c r="E1316" i="3"/>
  <c r="D1316" i="3"/>
  <c r="C1316" i="3"/>
  <c r="N1315" i="3"/>
  <c r="K1315" i="3"/>
  <c r="J1315" i="3"/>
  <c r="I1315" i="3"/>
  <c r="H1315" i="3"/>
  <c r="F1315" i="3"/>
  <c r="E1315" i="3"/>
  <c r="D1315" i="3"/>
  <c r="C1315" i="3"/>
  <c r="M1314" i="3"/>
  <c r="K1314" i="3"/>
  <c r="J1314" i="3"/>
  <c r="I1314" i="3"/>
  <c r="H1314" i="3"/>
  <c r="F1314" i="3"/>
  <c r="E1314" i="3"/>
  <c r="D1314" i="3"/>
  <c r="C1314" i="3"/>
  <c r="M1313" i="3"/>
  <c r="L1313" i="3"/>
  <c r="K1313" i="3"/>
  <c r="J1313" i="3"/>
  <c r="I1313" i="3"/>
  <c r="H1313" i="3"/>
  <c r="G1313" i="3"/>
  <c r="F1313" i="3"/>
  <c r="E1313" i="3"/>
  <c r="D1313" i="3"/>
  <c r="C1313" i="3"/>
  <c r="N1312" i="3"/>
  <c r="L1312" i="3"/>
  <c r="K1312" i="3"/>
  <c r="J1312" i="3"/>
  <c r="I1312" i="3"/>
  <c r="H1312" i="3"/>
  <c r="G1312" i="3"/>
  <c r="F1312" i="3"/>
  <c r="E1312" i="3"/>
  <c r="D1312" i="3"/>
  <c r="C1312" i="3"/>
  <c r="N1311" i="3"/>
  <c r="M1311" i="3"/>
  <c r="L1311" i="3"/>
  <c r="K1311" i="3"/>
  <c r="J1311" i="3"/>
  <c r="I1311" i="3"/>
  <c r="H1311" i="3"/>
  <c r="G1311" i="3"/>
  <c r="F1311" i="3"/>
  <c r="E1311" i="3"/>
  <c r="D1311" i="3"/>
  <c r="C1311" i="3"/>
  <c r="N1310" i="3"/>
  <c r="L1310" i="3"/>
  <c r="K1310" i="3"/>
  <c r="J1310" i="3"/>
  <c r="I1310" i="3"/>
  <c r="H1310" i="3"/>
  <c r="G1310" i="3"/>
  <c r="F1310" i="3"/>
  <c r="E1310" i="3"/>
  <c r="D1310" i="3"/>
  <c r="C1310" i="3"/>
  <c r="M1309" i="3"/>
  <c r="L1309" i="3"/>
  <c r="K1309" i="3"/>
  <c r="J1309" i="3"/>
  <c r="I1309" i="3"/>
  <c r="H1309" i="3"/>
  <c r="G1309" i="3"/>
  <c r="F1309" i="3"/>
  <c r="E1309" i="3"/>
  <c r="D1309" i="3"/>
  <c r="C1309" i="3"/>
  <c r="M1308" i="3"/>
  <c r="L1308" i="3"/>
  <c r="K1308" i="3"/>
  <c r="J1308" i="3"/>
  <c r="I1308" i="3"/>
  <c r="H1308" i="3"/>
  <c r="G1308" i="3"/>
  <c r="F1308" i="3"/>
  <c r="E1308" i="3"/>
  <c r="D1308" i="3"/>
  <c r="C1308" i="3"/>
  <c r="M1307" i="3"/>
  <c r="L1307" i="3"/>
  <c r="K1307" i="3"/>
  <c r="J1307" i="3"/>
  <c r="I1307" i="3"/>
  <c r="H1307" i="3"/>
  <c r="G1307" i="3"/>
  <c r="F1307" i="3"/>
  <c r="E1307" i="3"/>
  <c r="D1307" i="3"/>
  <c r="C1307" i="3"/>
  <c r="M1306" i="3"/>
  <c r="L1306" i="3"/>
  <c r="K1306" i="3"/>
  <c r="J1306" i="3"/>
  <c r="I1306" i="3"/>
  <c r="H1306" i="3"/>
  <c r="G1306" i="3"/>
  <c r="F1306" i="3"/>
  <c r="E1306" i="3"/>
  <c r="D1306" i="3"/>
  <c r="C1306" i="3"/>
  <c r="M1305" i="3"/>
  <c r="L1305" i="3"/>
  <c r="K1305" i="3"/>
  <c r="J1305" i="3"/>
  <c r="I1305" i="3"/>
  <c r="H1305" i="3"/>
  <c r="G1305" i="3"/>
  <c r="F1305" i="3"/>
  <c r="E1305" i="3"/>
  <c r="D1305" i="3"/>
  <c r="C1305" i="3"/>
  <c r="M1304" i="3"/>
  <c r="L1304" i="3"/>
  <c r="K1304" i="3"/>
  <c r="J1304" i="3"/>
  <c r="I1304" i="3"/>
  <c r="H1304" i="3"/>
  <c r="G1304" i="3"/>
  <c r="F1304" i="3"/>
  <c r="E1304" i="3"/>
  <c r="D1304" i="3"/>
  <c r="C1304" i="3"/>
  <c r="M1303" i="3"/>
  <c r="L1303" i="3"/>
  <c r="K1303" i="3"/>
  <c r="J1303" i="3"/>
  <c r="I1303" i="3"/>
  <c r="H1303" i="3"/>
  <c r="G1303" i="3"/>
  <c r="F1303" i="3"/>
  <c r="E1303" i="3"/>
  <c r="D1303" i="3"/>
  <c r="C1303" i="3"/>
  <c r="M1302" i="3"/>
  <c r="L1302" i="3"/>
  <c r="K1302" i="3"/>
  <c r="J1302" i="3"/>
  <c r="I1302" i="3"/>
  <c r="H1302" i="3"/>
  <c r="G1302" i="3"/>
  <c r="F1302" i="3"/>
  <c r="E1302" i="3"/>
  <c r="D1302" i="3"/>
  <c r="C1302" i="3"/>
  <c r="N1301" i="3"/>
  <c r="M1301" i="3"/>
  <c r="L1301" i="3"/>
  <c r="K1301" i="3"/>
  <c r="J1301" i="3"/>
  <c r="I1301" i="3"/>
  <c r="H1301" i="3"/>
  <c r="G1301" i="3"/>
  <c r="F1301" i="3"/>
  <c r="E1301" i="3"/>
  <c r="D1301" i="3"/>
  <c r="C1301" i="3"/>
  <c r="M1300" i="3"/>
  <c r="K1300" i="3"/>
  <c r="J1300" i="3"/>
  <c r="I1300" i="3"/>
  <c r="H1300" i="3"/>
  <c r="F1300" i="3"/>
  <c r="E1300" i="3"/>
  <c r="D1300" i="3"/>
  <c r="C1300" i="3"/>
  <c r="M1299" i="3"/>
  <c r="L1299" i="3"/>
  <c r="K1299" i="3"/>
  <c r="J1299" i="3"/>
  <c r="I1299" i="3"/>
  <c r="H1299" i="3"/>
  <c r="G1299" i="3"/>
  <c r="F1299" i="3"/>
  <c r="E1299" i="3"/>
  <c r="D1299" i="3"/>
  <c r="C1299" i="3"/>
  <c r="M1298" i="3"/>
  <c r="L1298" i="3"/>
  <c r="K1298" i="3"/>
  <c r="J1298" i="3"/>
  <c r="I1298" i="3"/>
  <c r="H1298" i="3"/>
  <c r="G1298" i="3"/>
  <c r="F1298" i="3"/>
  <c r="E1298" i="3"/>
  <c r="D1298" i="3"/>
  <c r="C1298" i="3"/>
  <c r="N1297" i="3"/>
  <c r="M1297" i="3"/>
  <c r="L1297" i="3"/>
  <c r="K1297" i="3"/>
  <c r="J1297" i="3"/>
  <c r="I1297" i="3"/>
  <c r="H1297" i="3"/>
  <c r="G1297" i="3"/>
  <c r="F1297" i="3"/>
  <c r="E1297" i="3"/>
  <c r="D1297" i="3"/>
  <c r="C1297" i="3"/>
  <c r="M1296" i="3"/>
  <c r="L1296" i="3"/>
  <c r="K1296" i="3"/>
  <c r="J1296" i="3"/>
  <c r="I1296" i="3"/>
  <c r="H1296" i="3"/>
  <c r="G1296" i="3"/>
  <c r="F1296" i="3"/>
  <c r="E1296" i="3"/>
  <c r="D1296" i="3"/>
  <c r="C1296" i="3"/>
  <c r="M1295" i="3"/>
  <c r="L1295" i="3"/>
  <c r="K1295" i="3"/>
  <c r="J1295" i="3"/>
  <c r="I1295" i="3"/>
  <c r="H1295" i="3"/>
  <c r="G1295" i="3"/>
  <c r="F1295" i="3"/>
  <c r="E1295" i="3"/>
  <c r="D1295" i="3"/>
  <c r="C1295" i="3"/>
  <c r="M1294" i="3"/>
  <c r="L1294" i="3"/>
  <c r="K1294" i="3"/>
  <c r="J1294" i="3"/>
  <c r="I1294" i="3"/>
  <c r="H1294" i="3"/>
  <c r="G1294" i="3"/>
  <c r="F1294" i="3"/>
  <c r="E1294" i="3"/>
  <c r="D1294" i="3"/>
  <c r="C1294" i="3"/>
  <c r="N1293" i="3"/>
  <c r="M1293" i="3"/>
  <c r="L1293" i="3"/>
  <c r="K1293" i="3"/>
  <c r="J1293" i="3"/>
  <c r="I1293" i="3"/>
  <c r="H1293" i="3"/>
  <c r="G1293" i="3"/>
  <c r="F1293" i="3"/>
  <c r="E1293" i="3"/>
  <c r="D1293" i="3"/>
  <c r="C1293" i="3"/>
  <c r="M1292" i="3"/>
  <c r="L1292" i="3"/>
  <c r="K1292" i="3"/>
  <c r="J1292" i="3"/>
  <c r="I1292" i="3"/>
  <c r="H1292" i="3"/>
  <c r="G1292" i="3"/>
  <c r="F1292" i="3"/>
  <c r="E1292" i="3"/>
  <c r="D1292" i="3"/>
  <c r="C1292" i="3"/>
  <c r="M1291" i="3"/>
  <c r="L1291" i="3"/>
  <c r="K1291" i="3"/>
  <c r="J1291" i="3"/>
  <c r="I1291" i="3"/>
  <c r="H1291" i="3"/>
  <c r="G1291" i="3"/>
  <c r="F1291" i="3"/>
  <c r="E1291" i="3"/>
  <c r="D1291" i="3"/>
  <c r="C1291" i="3"/>
  <c r="N1290" i="3"/>
  <c r="M1290" i="3"/>
  <c r="L1290" i="3"/>
  <c r="K1290" i="3"/>
  <c r="J1290" i="3"/>
  <c r="I1290" i="3"/>
  <c r="H1290" i="3"/>
  <c r="G1290" i="3"/>
  <c r="F1290" i="3"/>
  <c r="E1290" i="3"/>
  <c r="D1290" i="3"/>
  <c r="C1290" i="3"/>
  <c r="N1289" i="3"/>
  <c r="L1289" i="3"/>
  <c r="K1289" i="3"/>
  <c r="J1289" i="3"/>
  <c r="I1289" i="3"/>
  <c r="H1289" i="3"/>
  <c r="G1289" i="3"/>
  <c r="F1289" i="3"/>
  <c r="E1289" i="3"/>
  <c r="D1289" i="3"/>
  <c r="C1289" i="3"/>
  <c r="M1288" i="3"/>
  <c r="K1288" i="3"/>
  <c r="J1288" i="3"/>
  <c r="I1288" i="3"/>
  <c r="H1288" i="3"/>
  <c r="F1288" i="3"/>
  <c r="E1288" i="3"/>
  <c r="D1288" i="3"/>
  <c r="C1288" i="3"/>
  <c r="N1287" i="3"/>
  <c r="M1287" i="3"/>
  <c r="L1287" i="3"/>
  <c r="K1287" i="3"/>
  <c r="J1287" i="3"/>
  <c r="I1287" i="3"/>
  <c r="H1287" i="3"/>
  <c r="G1287" i="3"/>
  <c r="F1287" i="3"/>
  <c r="E1287" i="3"/>
  <c r="D1287" i="3"/>
  <c r="C1287" i="3"/>
  <c r="M1286" i="3"/>
  <c r="L1286" i="3"/>
  <c r="K1286" i="3"/>
  <c r="J1286" i="3"/>
  <c r="I1286" i="3"/>
  <c r="H1286" i="3"/>
  <c r="G1286" i="3"/>
  <c r="F1286" i="3"/>
  <c r="E1286" i="3"/>
  <c r="D1286" i="3"/>
  <c r="C1286" i="3"/>
  <c r="M1285" i="3"/>
  <c r="L1285" i="3"/>
  <c r="K1285" i="3"/>
  <c r="J1285" i="3"/>
  <c r="I1285" i="3"/>
  <c r="H1285" i="3"/>
  <c r="G1285" i="3"/>
  <c r="F1285" i="3"/>
  <c r="E1285" i="3"/>
  <c r="D1285" i="3"/>
  <c r="C1285" i="3"/>
  <c r="M1284" i="3"/>
  <c r="L1284" i="3"/>
  <c r="K1284" i="3"/>
  <c r="J1284" i="3"/>
  <c r="I1284" i="3"/>
  <c r="H1284" i="3"/>
  <c r="G1284" i="3"/>
  <c r="F1284" i="3"/>
  <c r="E1284" i="3"/>
  <c r="D1284" i="3"/>
  <c r="C1284" i="3"/>
  <c r="M1283" i="3"/>
  <c r="L1283" i="3"/>
  <c r="K1283" i="3"/>
  <c r="J1283" i="3"/>
  <c r="I1283" i="3"/>
  <c r="H1283" i="3"/>
  <c r="G1283" i="3"/>
  <c r="F1283" i="3"/>
  <c r="E1283" i="3"/>
  <c r="D1283" i="3"/>
  <c r="C1283" i="3"/>
  <c r="M1282" i="3"/>
  <c r="L1282" i="3"/>
  <c r="K1282" i="3"/>
  <c r="J1282" i="3"/>
  <c r="I1282" i="3"/>
  <c r="H1282" i="3"/>
  <c r="G1282" i="3"/>
  <c r="F1282" i="3"/>
  <c r="E1282" i="3"/>
  <c r="D1282" i="3"/>
  <c r="C1282" i="3"/>
  <c r="M1281" i="3"/>
  <c r="L1281" i="3"/>
  <c r="K1281" i="3"/>
  <c r="J1281" i="3"/>
  <c r="I1281" i="3"/>
  <c r="H1281" i="3"/>
  <c r="G1281" i="3"/>
  <c r="F1281" i="3"/>
  <c r="E1281" i="3"/>
  <c r="D1281" i="3"/>
  <c r="C1281" i="3"/>
  <c r="M1280" i="3"/>
  <c r="L1280" i="3"/>
  <c r="K1280" i="3"/>
  <c r="J1280" i="3"/>
  <c r="I1280" i="3"/>
  <c r="H1280" i="3"/>
  <c r="G1280" i="3"/>
  <c r="F1280" i="3"/>
  <c r="E1280" i="3"/>
  <c r="D1280" i="3"/>
  <c r="C1280" i="3"/>
  <c r="M1279" i="3"/>
  <c r="L1279" i="3"/>
  <c r="K1279" i="3"/>
  <c r="J1279" i="3"/>
  <c r="I1279" i="3"/>
  <c r="H1279" i="3"/>
  <c r="G1279" i="3"/>
  <c r="F1279" i="3"/>
  <c r="E1279" i="3"/>
  <c r="D1279" i="3"/>
  <c r="C1279" i="3"/>
  <c r="M1278" i="3"/>
  <c r="L1278" i="3"/>
  <c r="K1278" i="3"/>
  <c r="J1278" i="3"/>
  <c r="I1278" i="3"/>
  <c r="H1278" i="3"/>
  <c r="G1278" i="3"/>
  <c r="F1278" i="3"/>
  <c r="E1278" i="3"/>
  <c r="D1278" i="3"/>
  <c r="C1278" i="3"/>
  <c r="N1277" i="3"/>
  <c r="L1277" i="3"/>
  <c r="K1277" i="3"/>
  <c r="J1277" i="3"/>
  <c r="I1277" i="3"/>
  <c r="H1277" i="3"/>
  <c r="G1277" i="3"/>
  <c r="F1277" i="3"/>
  <c r="E1277" i="3"/>
  <c r="D1277" i="3"/>
  <c r="C1277" i="3"/>
  <c r="M1276" i="3"/>
  <c r="L1276" i="3"/>
  <c r="K1276" i="3"/>
  <c r="J1276" i="3"/>
  <c r="I1276" i="3"/>
  <c r="H1276" i="3"/>
  <c r="G1276" i="3"/>
  <c r="F1276" i="3"/>
  <c r="E1276" i="3"/>
  <c r="D1276" i="3"/>
  <c r="C1276" i="3"/>
  <c r="N1275" i="3"/>
  <c r="L1275" i="3"/>
  <c r="K1275" i="3"/>
  <c r="J1275" i="3"/>
  <c r="I1275" i="3"/>
  <c r="H1275" i="3"/>
  <c r="G1275" i="3"/>
  <c r="F1275" i="3"/>
  <c r="E1275" i="3"/>
  <c r="D1275" i="3"/>
  <c r="C1275" i="3"/>
  <c r="M1274" i="3"/>
  <c r="L1274" i="3"/>
  <c r="K1274" i="3"/>
  <c r="J1274" i="3"/>
  <c r="I1274" i="3"/>
  <c r="H1274" i="3"/>
  <c r="G1274" i="3"/>
  <c r="F1274" i="3"/>
  <c r="E1274" i="3"/>
  <c r="D1274" i="3"/>
  <c r="C1274" i="3"/>
  <c r="M1273" i="3"/>
  <c r="L1273" i="3"/>
  <c r="K1273" i="3"/>
  <c r="J1273" i="3"/>
  <c r="I1273" i="3"/>
  <c r="H1273" i="3"/>
  <c r="G1273" i="3"/>
  <c r="F1273" i="3"/>
  <c r="E1273" i="3"/>
  <c r="D1273" i="3"/>
  <c r="C1273" i="3"/>
  <c r="M1272" i="3"/>
  <c r="L1272" i="3"/>
  <c r="K1272" i="3"/>
  <c r="J1272" i="3"/>
  <c r="I1272" i="3"/>
  <c r="H1272" i="3"/>
  <c r="G1272" i="3"/>
  <c r="F1272" i="3"/>
  <c r="E1272" i="3"/>
  <c r="D1272" i="3"/>
  <c r="C1272" i="3"/>
  <c r="N1271" i="3"/>
  <c r="L1271" i="3"/>
  <c r="K1271" i="3"/>
  <c r="J1271" i="3"/>
  <c r="I1271" i="3"/>
  <c r="H1271" i="3"/>
  <c r="G1271" i="3"/>
  <c r="F1271" i="3"/>
  <c r="E1271" i="3"/>
  <c r="D1271" i="3"/>
  <c r="C1271" i="3"/>
  <c r="N1270" i="3"/>
  <c r="L1270" i="3"/>
  <c r="K1270" i="3"/>
  <c r="J1270" i="3"/>
  <c r="I1270" i="3"/>
  <c r="H1270" i="3"/>
  <c r="G1270" i="3"/>
  <c r="F1270" i="3"/>
  <c r="E1270" i="3"/>
  <c r="D1270" i="3"/>
  <c r="C1270" i="3"/>
  <c r="N1269" i="3"/>
  <c r="K1269" i="3"/>
  <c r="J1269" i="3"/>
  <c r="I1269" i="3"/>
  <c r="H1269" i="3"/>
  <c r="F1269" i="3"/>
  <c r="E1269" i="3"/>
  <c r="D1269" i="3"/>
  <c r="C1269" i="3"/>
  <c r="M1268" i="3"/>
  <c r="L1268" i="3"/>
  <c r="K1268" i="3"/>
  <c r="J1268" i="3"/>
  <c r="I1268" i="3"/>
  <c r="H1268" i="3"/>
  <c r="G1268" i="3"/>
  <c r="F1268" i="3"/>
  <c r="E1268" i="3"/>
  <c r="D1268" i="3"/>
  <c r="C1268" i="3"/>
  <c r="N1267" i="3"/>
  <c r="L1267" i="3"/>
  <c r="K1267" i="3"/>
  <c r="J1267" i="3"/>
  <c r="I1267" i="3"/>
  <c r="H1267" i="3"/>
  <c r="G1267" i="3"/>
  <c r="F1267" i="3"/>
  <c r="E1267" i="3"/>
  <c r="D1267" i="3"/>
  <c r="C1267" i="3"/>
  <c r="M1266" i="3"/>
  <c r="L1266" i="3"/>
  <c r="K1266" i="3"/>
  <c r="J1266" i="3"/>
  <c r="I1266" i="3"/>
  <c r="H1266" i="3"/>
  <c r="G1266" i="3"/>
  <c r="F1266" i="3"/>
  <c r="E1266" i="3"/>
  <c r="D1266" i="3"/>
  <c r="C1266" i="3"/>
  <c r="N1265" i="3"/>
  <c r="M1265" i="3"/>
  <c r="K1265" i="3"/>
  <c r="J1265" i="3"/>
  <c r="I1265" i="3"/>
  <c r="H1265" i="3"/>
  <c r="F1265" i="3"/>
  <c r="E1265" i="3"/>
  <c r="D1265" i="3"/>
  <c r="C1265" i="3"/>
  <c r="N1264" i="3"/>
  <c r="L1264" i="3"/>
  <c r="K1264" i="3"/>
  <c r="J1264" i="3"/>
  <c r="I1264" i="3"/>
  <c r="H1264" i="3"/>
  <c r="G1264" i="3"/>
  <c r="F1264" i="3"/>
  <c r="E1264" i="3"/>
  <c r="D1264" i="3"/>
  <c r="C1264" i="3"/>
  <c r="N1263" i="3"/>
  <c r="K1263" i="3"/>
  <c r="J1263" i="3"/>
  <c r="I1263" i="3"/>
  <c r="H1263" i="3"/>
  <c r="F1263" i="3"/>
  <c r="E1263" i="3"/>
  <c r="D1263" i="3"/>
  <c r="C1263" i="3"/>
  <c r="N1262" i="3"/>
  <c r="L1262" i="3"/>
  <c r="K1262" i="3"/>
  <c r="J1262" i="3"/>
  <c r="I1262" i="3"/>
  <c r="H1262" i="3"/>
  <c r="G1262" i="3"/>
  <c r="F1262" i="3"/>
  <c r="E1262" i="3"/>
  <c r="D1262" i="3"/>
  <c r="C1262" i="3"/>
  <c r="M1261" i="3"/>
  <c r="L1261" i="3"/>
  <c r="K1261" i="3"/>
  <c r="J1261" i="3"/>
  <c r="I1261" i="3"/>
  <c r="H1261" i="3"/>
  <c r="G1261" i="3"/>
  <c r="F1261" i="3"/>
  <c r="E1261" i="3"/>
  <c r="D1261" i="3"/>
  <c r="C1261" i="3"/>
  <c r="M1260" i="3"/>
  <c r="L1260" i="3"/>
  <c r="K1260" i="3"/>
  <c r="J1260" i="3"/>
  <c r="I1260" i="3"/>
  <c r="H1260" i="3"/>
  <c r="G1260" i="3"/>
  <c r="F1260" i="3"/>
  <c r="E1260" i="3"/>
  <c r="D1260" i="3"/>
  <c r="C1260" i="3"/>
  <c r="M1259" i="3"/>
  <c r="L1259" i="3"/>
  <c r="K1259" i="3"/>
  <c r="J1259" i="3"/>
  <c r="I1259" i="3"/>
  <c r="H1259" i="3"/>
  <c r="G1259" i="3"/>
  <c r="F1259" i="3"/>
  <c r="E1259" i="3"/>
  <c r="D1259" i="3"/>
  <c r="C1259" i="3"/>
  <c r="K1258" i="3"/>
  <c r="J1258" i="3"/>
  <c r="I1258" i="3"/>
  <c r="H1258" i="3"/>
  <c r="F1258" i="3"/>
  <c r="E1258" i="3"/>
  <c r="D1258" i="3"/>
  <c r="C1258" i="3"/>
  <c r="N1257" i="3"/>
  <c r="L1257" i="3"/>
  <c r="K1257" i="3"/>
  <c r="J1257" i="3"/>
  <c r="I1257" i="3"/>
  <c r="H1257" i="3"/>
  <c r="G1257" i="3"/>
  <c r="F1257" i="3"/>
  <c r="E1257" i="3"/>
  <c r="D1257" i="3"/>
  <c r="C1257" i="3"/>
  <c r="M1256" i="3"/>
  <c r="L1256" i="3"/>
  <c r="K1256" i="3"/>
  <c r="J1256" i="3"/>
  <c r="I1256" i="3"/>
  <c r="H1256" i="3"/>
  <c r="G1256" i="3"/>
  <c r="F1256" i="3"/>
  <c r="E1256" i="3"/>
  <c r="D1256" i="3"/>
  <c r="C1256" i="3"/>
  <c r="M1255" i="3"/>
  <c r="L1255" i="3"/>
  <c r="K1255" i="3"/>
  <c r="J1255" i="3"/>
  <c r="I1255" i="3"/>
  <c r="H1255" i="3"/>
  <c r="G1255" i="3"/>
  <c r="F1255" i="3"/>
  <c r="E1255" i="3"/>
  <c r="D1255" i="3"/>
  <c r="C1255" i="3"/>
  <c r="M1254" i="3"/>
  <c r="L1254" i="3"/>
  <c r="K1254" i="3"/>
  <c r="J1254" i="3"/>
  <c r="I1254" i="3"/>
  <c r="H1254" i="3"/>
  <c r="G1254" i="3"/>
  <c r="F1254" i="3"/>
  <c r="E1254" i="3"/>
  <c r="D1254" i="3"/>
  <c r="C1254" i="3"/>
  <c r="M1253" i="3"/>
  <c r="L1253" i="3"/>
  <c r="K1253" i="3"/>
  <c r="J1253" i="3"/>
  <c r="I1253" i="3"/>
  <c r="H1253" i="3"/>
  <c r="G1253" i="3"/>
  <c r="F1253" i="3"/>
  <c r="E1253" i="3"/>
  <c r="D1253" i="3"/>
  <c r="C1253" i="3"/>
  <c r="N1252" i="3"/>
  <c r="M1252" i="3"/>
  <c r="K1252" i="3"/>
  <c r="J1252" i="3"/>
  <c r="I1252" i="3"/>
  <c r="H1252" i="3"/>
  <c r="F1252" i="3"/>
  <c r="E1252" i="3"/>
  <c r="D1252" i="3"/>
  <c r="C1252" i="3"/>
  <c r="L1251" i="3"/>
  <c r="K1251" i="3"/>
  <c r="J1251" i="3"/>
  <c r="I1251" i="3"/>
  <c r="H1251" i="3"/>
  <c r="G1251" i="3"/>
  <c r="F1251" i="3"/>
  <c r="E1251" i="3"/>
  <c r="D1251" i="3"/>
  <c r="C1251" i="3"/>
  <c r="N1250" i="3"/>
  <c r="M1250" i="3"/>
  <c r="L1250" i="3"/>
  <c r="K1250" i="3"/>
  <c r="J1250" i="3"/>
  <c r="I1250" i="3"/>
  <c r="H1250" i="3"/>
  <c r="G1250" i="3"/>
  <c r="F1250" i="3"/>
  <c r="E1250" i="3"/>
  <c r="D1250" i="3"/>
  <c r="C1250" i="3"/>
  <c r="N1249" i="3"/>
  <c r="M1249" i="3"/>
  <c r="L1249" i="3"/>
  <c r="K1249" i="3"/>
  <c r="J1249" i="3"/>
  <c r="I1249" i="3"/>
  <c r="H1249" i="3"/>
  <c r="G1249" i="3"/>
  <c r="F1249" i="3"/>
  <c r="E1249" i="3"/>
  <c r="D1249" i="3"/>
  <c r="C1249" i="3"/>
  <c r="N1248" i="3"/>
  <c r="M1248" i="3"/>
  <c r="K1248" i="3"/>
  <c r="J1248" i="3"/>
  <c r="I1248" i="3"/>
  <c r="H1248" i="3"/>
  <c r="F1248" i="3"/>
  <c r="E1248" i="3"/>
  <c r="D1248" i="3"/>
  <c r="C1248" i="3"/>
  <c r="M1247" i="3"/>
  <c r="L1247" i="3"/>
  <c r="K1247" i="3"/>
  <c r="J1247" i="3"/>
  <c r="I1247" i="3"/>
  <c r="H1247" i="3"/>
  <c r="G1247" i="3"/>
  <c r="F1247" i="3"/>
  <c r="E1247" i="3"/>
  <c r="D1247" i="3"/>
  <c r="C1247" i="3"/>
  <c r="M1246" i="3"/>
  <c r="K1246" i="3"/>
  <c r="J1246" i="3"/>
  <c r="I1246" i="3"/>
  <c r="H1246" i="3"/>
  <c r="F1246" i="3"/>
  <c r="E1246" i="3"/>
  <c r="D1246" i="3"/>
  <c r="C1246" i="3"/>
  <c r="M1245" i="3"/>
  <c r="K1245" i="3"/>
  <c r="J1245" i="3"/>
  <c r="I1245" i="3"/>
  <c r="H1245" i="3"/>
  <c r="F1245" i="3"/>
  <c r="E1245" i="3"/>
  <c r="D1245" i="3"/>
  <c r="C1245" i="3"/>
  <c r="N1244" i="3"/>
  <c r="M1244" i="3"/>
  <c r="L1244" i="3"/>
  <c r="K1244" i="3"/>
  <c r="J1244" i="3"/>
  <c r="I1244" i="3"/>
  <c r="H1244" i="3"/>
  <c r="G1244" i="3"/>
  <c r="F1244" i="3"/>
  <c r="E1244" i="3"/>
  <c r="D1244" i="3"/>
  <c r="C1244" i="3"/>
  <c r="M1243" i="3"/>
  <c r="L1243" i="3"/>
  <c r="K1243" i="3"/>
  <c r="J1243" i="3"/>
  <c r="I1243" i="3"/>
  <c r="H1243" i="3"/>
  <c r="G1243" i="3"/>
  <c r="F1243" i="3"/>
  <c r="E1243" i="3"/>
  <c r="D1243" i="3"/>
  <c r="C1243" i="3"/>
  <c r="N1242" i="3"/>
  <c r="K1242" i="3"/>
  <c r="J1242" i="3"/>
  <c r="I1242" i="3"/>
  <c r="H1242" i="3"/>
  <c r="F1242" i="3"/>
  <c r="E1242" i="3"/>
  <c r="D1242" i="3"/>
  <c r="C1242" i="3"/>
  <c r="N1241" i="3"/>
  <c r="M1241" i="3"/>
  <c r="L1241" i="3"/>
  <c r="K1241" i="3"/>
  <c r="J1241" i="3"/>
  <c r="I1241" i="3"/>
  <c r="H1241" i="3"/>
  <c r="G1241" i="3"/>
  <c r="F1241" i="3"/>
  <c r="E1241" i="3"/>
  <c r="D1241" i="3"/>
  <c r="C1241" i="3"/>
  <c r="N1240" i="3"/>
  <c r="L1240" i="3"/>
  <c r="K1240" i="3"/>
  <c r="J1240" i="3"/>
  <c r="I1240" i="3"/>
  <c r="H1240" i="3"/>
  <c r="G1240" i="3"/>
  <c r="F1240" i="3"/>
  <c r="E1240" i="3"/>
  <c r="D1240" i="3"/>
  <c r="C1240" i="3"/>
  <c r="M1239" i="3"/>
  <c r="K1239" i="3"/>
  <c r="J1239" i="3"/>
  <c r="I1239" i="3"/>
  <c r="H1239" i="3"/>
  <c r="F1239" i="3"/>
  <c r="E1239" i="3"/>
  <c r="D1239" i="3"/>
  <c r="C1239" i="3"/>
  <c r="M1238" i="3"/>
  <c r="L1238" i="3"/>
  <c r="K1238" i="3"/>
  <c r="J1238" i="3"/>
  <c r="I1238" i="3"/>
  <c r="H1238" i="3"/>
  <c r="G1238" i="3"/>
  <c r="F1238" i="3"/>
  <c r="E1238" i="3"/>
  <c r="D1238" i="3"/>
  <c r="C1238" i="3"/>
  <c r="N1237" i="3"/>
  <c r="L1237" i="3"/>
  <c r="K1237" i="3"/>
  <c r="J1237" i="3"/>
  <c r="I1237" i="3"/>
  <c r="H1237" i="3"/>
  <c r="G1237" i="3"/>
  <c r="F1237" i="3"/>
  <c r="E1237" i="3"/>
  <c r="D1237" i="3"/>
  <c r="C1237" i="3"/>
  <c r="N1236" i="3"/>
  <c r="M1236" i="3"/>
  <c r="L1236" i="3"/>
  <c r="K1236" i="3"/>
  <c r="J1236" i="3"/>
  <c r="I1236" i="3"/>
  <c r="H1236" i="3"/>
  <c r="G1236" i="3"/>
  <c r="F1236" i="3"/>
  <c r="E1236" i="3"/>
  <c r="D1236" i="3"/>
  <c r="C1236" i="3"/>
  <c r="M1235" i="3"/>
  <c r="L1235" i="3"/>
  <c r="K1235" i="3"/>
  <c r="J1235" i="3"/>
  <c r="I1235" i="3"/>
  <c r="H1235" i="3"/>
  <c r="G1235" i="3"/>
  <c r="F1235" i="3"/>
  <c r="E1235" i="3"/>
  <c r="D1235" i="3"/>
  <c r="C1235" i="3"/>
  <c r="M1234" i="3"/>
  <c r="L1234" i="3"/>
  <c r="K1234" i="3"/>
  <c r="J1234" i="3"/>
  <c r="I1234" i="3"/>
  <c r="H1234" i="3"/>
  <c r="G1234" i="3"/>
  <c r="F1234" i="3"/>
  <c r="E1234" i="3"/>
  <c r="D1234" i="3"/>
  <c r="C1234" i="3"/>
  <c r="M1233" i="3"/>
  <c r="L1233" i="3"/>
  <c r="K1233" i="3"/>
  <c r="J1233" i="3"/>
  <c r="I1233" i="3"/>
  <c r="H1233" i="3"/>
  <c r="G1233" i="3"/>
  <c r="F1233" i="3"/>
  <c r="E1233" i="3"/>
  <c r="D1233" i="3"/>
  <c r="C1233" i="3"/>
  <c r="N1232" i="3"/>
  <c r="M1232" i="3"/>
  <c r="L1232" i="3"/>
  <c r="K1232" i="3"/>
  <c r="J1232" i="3"/>
  <c r="I1232" i="3"/>
  <c r="H1232" i="3"/>
  <c r="G1232" i="3"/>
  <c r="F1232" i="3"/>
  <c r="E1232" i="3"/>
  <c r="D1232" i="3"/>
  <c r="C1232" i="3"/>
  <c r="M1231" i="3"/>
  <c r="L1231" i="3"/>
  <c r="K1231" i="3"/>
  <c r="J1231" i="3"/>
  <c r="I1231" i="3"/>
  <c r="H1231" i="3"/>
  <c r="G1231" i="3"/>
  <c r="F1231" i="3"/>
  <c r="E1231" i="3"/>
  <c r="D1231" i="3"/>
  <c r="C1231" i="3"/>
  <c r="M1230" i="3"/>
  <c r="L1230" i="3"/>
  <c r="K1230" i="3"/>
  <c r="J1230" i="3"/>
  <c r="I1230" i="3"/>
  <c r="H1230" i="3"/>
  <c r="G1230" i="3"/>
  <c r="F1230" i="3"/>
  <c r="E1230" i="3"/>
  <c r="D1230" i="3"/>
  <c r="C1230" i="3"/>
  <c r="M1229" i="3"/>
  <c r="L1229" i="3"/>
  <c r="K1229" i="3"/>
  <c r="J1229" i="3"/>
  <c r="I1229" i="3"/>
  <c r="H1229" i="3"/>
  <c r="G1229" i="3"/>
  <c r="F1229" i="3"/>
  <c r="E1229" i="3"/>
  <c r="D1229" i="3"/>
  <c r="C1229" i="3"/>
  <c r="M1228" i="3"/>
  <c r="L1228" i="3"/>
  <c r="K1228" i="3"/>
  <c r="J1228" i="3"/>
  <c r="I1228" i="3"/>
  <c r="H1228" i="3"/>
  <c r="G1228" i="3"/>
  <c r="F1228" i="3"/>
  <c r="E1228" i="3"/>
  <c r="D1228" i="3"/>
  <c r="C1228" i="3"/>
  <c r="M1227" i="3"/>
  <c r="L1227" i="3"/>
  <c r="K1227" i="3"/>
  <c r="J1227" i="3"/>
  <c r="I1227" i="3"/>
  <c r="H1227" i="3"/>
  <c r="G1227" i="3"/>
  <c r="F1227" i="3"/>
  <c r="E1227" i="3"/>
  <c r="D1227" i="3"/>
  <c r="C1227" i="3"/>
  <c r="M1226" i="3"/>
  <c r="L1226" i="3"/>
  <c r="K1226" i="3"/>
  <c r="J1226" i="3"/>
  <c r="I1226" i="3"/>
  <c r="H1226" i="3"/>
  <c r="G1226" i="3"/>
  <c r="F1226" i="3"/>
  <c r="E1226" i="3"/>
  <c r="D1226" i="3"/>
  <c r="C1226" i="3"/>
  <c r="N1225" i="3"/>
  <c r="L1225" i="3"/>
  <c r="K1225" i="3"/>
  <c r="J1225" i="3"/>
  <c r="I1225" i="3"/>
  <c r="H1225" i="3"/>
  <c r="G1225" i="3"/>
  <c r="F1225" i="3"/>
  <c r="E1225" i="3"/>
  <c r="D1225" i="3"/>
  <c r="C1225" i="3"/>
  <c r="K1224" i="3"/>
  <c r="J1224" i="3"/>
  <c r="I1224" i="3"/>
  <c r="H1224" i="3"/>
  <c r="F1224" i="3"/>
  <c r="E1224" i="3"/>
  <c r="D1224" i="3"/>
  <c r="C1224" i="3"/>
  <c r="N1223" i="3"/>
  <c r="M1223" i="3"/>
  <c r="L1223" i="3"/>
  <c r="K1223" i="3"/>
  <c r="J1223" i="3"/>
  <c r="I1223" i="3"/>
  <c r="H1223" i="3"/>
  <c r="G1223" i="3"/>
  <c r="F1223" i="3"/>
  <c r="E1223" i="3"/>
  <c r="D1223" i="3"/>
  <c r="C1223" i="3"/>
  <c r="M1222" i="3"/>
  <c r="L1222" i="3"/>
  <c r="K1222" i="3"/>
  <c r="J1222" i="3"/>
  <c r="I1222" i="3"/>
  <c r="H1222" i="3"/>
  <c r="G1222" i="3"/>
  <c r="F1222" i="3"/>
  <c r="E1222" i="3"/>
  <c r="D1222" i="3"/>
  <c r="C1222" i="3"/>
  <c r="M1221" i="3"/>
  <c r="L1221" i="3"/>
  <c r="K1221" i="3"/>
  <c r="J1221" i="3"/>
  <c r="I1221" i="3"/>
  <c r="H1221" i="3"/>
  <c r="G1221" i="3"/>
  <c r="F1221" i="3"/>
  <c r="E1221" i="3"/>
  <c r="D1221" i="3"/>
  <c r="C1221" i="3"/>
  <c r="N1220" i="3"/>
  <c r="K1220" i="3"/>
  <c r="J1220" i="3"/>
  <c r="I1220" i="3"/>
  <c r="H1220" i="3"/>
  <c r="F1220" i="3"/>
  <c r="E1220" i="3"/>
  <c r="D1220" i="3"/>
  <c r="C1220" i="3"/>
  <c r="N1219" i="3"/>
  <c r="L1219" i="3"/>
  <c r="K1219" i="3"/>
  <c r="J1219" i="3"/>
  <c r="I1219" i="3"/>
  <c r="H1219" i="3"/>
  <c r="G1219" i="3"/>
  <c r="F1219" i="3"/>
  <c r="E1219" i="3"/>
  <c r="D1219" i="3"/>
  <c r="C1219" i="3"/>
  <c r="M1218" i="3"/>
  <c r="L1218" i="3"/>
  <c r="K1218" i="3"/>
  <c r="J1218" i="3"/>
  <c r="I1218" i="3"/>
  <c r="H1218" i="3"/>
  <c r="G1218" i="3"/>
  <c r="F1218" i="3"/>
  <c r="E1218" i="3"/>
  <c r="D1218" i="3"/>
  <c r="C1218" i="3"/>
  <c r="N1217" i="3"/>
  <c r="M1217" i="3"/>
  <c r="L1217" i="3"/>
  <c r="K1217" i="3"/>
  <c r="J1217" i="3"/>
  <c r="I1217" i="3"/>
  <c r="H1217" i="3"/>
  <c r="G1217" i="3"/>
  <c r="F1217" i="3"/>
  <c r="E1217" i="3"/>
  <c r="D1217" i="3"/>
  <c r="C1217" i="3"/>
  <c r="M1216" i="3"/>
  <c r="L1216" i="3"/>
  <c r="K1216" i="3"/>
  <c r="J1216" i="3"/>
  <c r="I1216" i="3"/>
  <c r="H1216" i="3"/>
  <c r="G1216" i="3"/>
  <c r="F1216" i="3"/>
  <c r="E1216" i="3"/>
  <c r="D1216" i="3"/>
  <c r="C1216" i="3"/>
  <c r="N1215" i="3"/>
  <c r="L1215" i="3"/>
  <c r="K1215" i="3"/>
  <c r="J1215" i="3"/>
  <c r="I1215" i="3"/>
  <c r="H1215" i="3"/>
  <c r="G1215" i="3"/>
  <c r="F1215" i="3"/>
  <c r="E1215" i="3"/>
  <c r="D1215" i="3"/>
  <c r="C1215" i="3"/>
  <c r="M1214" i="3"/>
  <c r="L1214" i="3"/>
  <c r="K1214" i="3"/>
  <c r="J1214" i="3"/>
  <c r="I1214" i="3"/>
  <c r="H1214" i="3"/>
  <c r="G1214" i="3"/>
  <c r="F1214" i="3"/>
  <c r="E1214" i="3"/>
  <c r="D1214" i="3"/>
  <c r="C1214" i="3"/>
  <c r="M1213" i="3"/>
  <c r="L1213" i="3"/>
  <c r="K1213" i="3"/>
  <c r="J1213" i="3"/>
  <c r="I1213" i="3"/>
  <c r="H1213" i="3"/>
  <c r="G1213" i="3"/>
  <c r="F1213" i="3"/>
  <c r="E1213" i="3"/>
  <c r="D1213" i="3"/>
  <c r="C1213" i="3"/>
  <c r="N1212" i="3"/>
  <c r="L1212" i="3"/>
  <c r="K1212" i="3"/>
  <c r="J1212" i="3"/>
  <c r="I1212" i="3"/>
  <c r="H1212" i="3"/>
  <c r="G1212" i="3"/>
  <c r="F1212" i="3"/>
  <c r="E1212" i="3"/>
  <c r="D1212" i="3"/>
  <c r="C1212" i="3"/>
  <c r="N1211" i="3"/>
  <c r="M1211" i="3"/>
  <c r="L1211" i="3"/>
  <c r="K1211" i="3"/>
  <c r="J1211" i="3"/>
  <c r="I1211" i="3"/>
  <c r="H1211" i="3"/>
  <c r="G1211" i="3"/>
  <c r="F1211" i="3"/>
  <c r="E1211" i="3"/>
  <c r="D1211" i="3"/>
  <c r="C1211" i="3"/>
  <c r="M1210" i="3"/>
  <c r="L1210" i="3"/>
  <c r="K1210" i="3"/>
  <c r="J1210" i="3"/>
  <c r="I1210" i="3"/>
  <c r="H1210" i="3"/>
  <c r="G1210" i="3"/>
  <c r="F1210" i="3"/>
  <c r="E1210" i="3"/>
  <c r="D1210" i="3"/>
  <c r="C1210" i="3"/>
  <c r="M1209" i="3"/>
  <c r="L1209" i="3"/>
  <c r="K1209" i="3"/>
  <c r="J1209" i="3"/>
  <c r="I1209" i="3"/>
  <c r="H1209" i="3"/>
  <c r="G1209" i="3"/>
  <c r="F1209" i="3"/>
  <c r="E1209" i="3"/>
  <c r="D1209" i="3"/>
  <c r="C1209" i="3"/>
  <c r="M1208" i="3"/>
  <c r="L1208" i="3"/>
  <c r="K1208" i="3"/>
  <c r="J1208" i="3"/>
  <c r="I1208" i="3"/>
  <c r="H1208" i="3"/>
  <c r="G1208" i="3"/>
  <c r="F1208" i="3"/>
  <c r="E1208" i="3"/>
  <c r="D1208" i="3"/>
  <c r="C1208" i="3"/>
  <c r="N1207" i="3"/>
  <c r="M1207" i="3"/>
  <c r="L1207" i="3"/>
  <c r="K1207" i="3"/>
  <c r="J1207" i="3"/>
  <c r="I1207" i="3"/>
  <c r="H1207" i="3"/>
  <c r="G1207" i="3"/>
  <c r="F1207" i="3"/>
  <c r="E1207" i="3"/>
  <c r="D1207" i="3"/>
  <c r="C1207" i="3"/>
  <c r="M1206" i="3"/>
  <c r="L1206" i="3"/>
  <c r="K1206" i="3"/>
  <c r="J1206" i="3"/>
  <c r="I1206" i="3"/>
  <c r="H1206" i="3"/>
  <c r="G1206" i="3"/>
  <c r="F1206" i="3"/>
  <c r="E1206" i="3"/>
  <c r="D1206" i="3"/>
  <c r="C1206" i="3"/>
  <c r="N1205" i="3"/>
  <c r="M1205" i="3"/>
  <c r="K1205" i="3"/>
  <c r="J1205" i="3"/>
  <c r="I1205" i="3"/>
  <c r="H1205" i="3"/>
  <c r="F1205" i="3"/>
  <c r="E1205" i="3"/>
  <c r="D1205" i="3"/>
  <c r="C1205" i="3"/>
  <c r="N1204" i="3"/>
  <c r="L1204" i="3"/>
  <c r="K1204" i="3"/>
  <c r="J1204" i="3"/>
  <c r="I1204" i="3"/>
  <c r="H1204" i="3"/>
  <c r="G1204" i="3"/>
  <c r="F1204" i="3"/>
  <c r="E1204" i="3"/>
  <c r="D1204" i="3"/>
  <c r="C1204" i="3"/>
  <c r="M1203" i="3"/>
  <c r="L1203" i="3"/>
  <c r="K1203" i="3"/>
  <c r="J1203" i="3"/>
  <c r="I1203" i="3"/>
  <c r="H1203" i="3"/>
  <c r="G1203" i="3"/>
  <c r="F1203" i="3"/>
  <c r="E1203" i="3"/>
  <c r="D1203" i="3"/>
  <c r="C1203" i="3"/>
  <c r="M1202" i="3"/>
  <c r="L1202" i="3"/>
  <c r="K1202" i="3"/>
  <c r="J1202" i="3"/>
  <c r="I1202" i="3"/>
  <c r="H1202" i="3"/>
  <c r="G1202" i="3"/>
  <c r="F1202" i="3"/>
  <c r="E1202" i="3"/>
  <c r="D1202" i="3"/>
  <c r="C1202" i="3"/>
  <c r="N1201" i="3"/>
  <c r="L1201" i="3"/>
  <c r="K1201" i="3"/>
  <c r="J1201" i="3"/>
  <c r="I1201" i="3"/>
  <c r="H1201" i="3"/>
  <c r="G1201" i="3"/>
  <c r="F1201" i="3"/>
  <c r="E1201" i="3"/>
  <c r="D1201" i="3"/>
  <c r="C1201" i="3"/>
  <c r="M1200" i="3"/>
  <c r="K1200" i="3"/>
  <c r="J1200" i="3"/>
  <c r="I1200" i="3"/>
  <c r="H1200" i="3"/>
  <c r="F1200" i="3"/>
  <c r="E1200" i="3"/>
  <c r="D1200" i="3"/>
  <c r="C1200" i="3"/>
  <c r="K1199" i="3"/>
  <c r="J1199" i="3"/>
  <c r="I1199" i="3"/>
  <c r="H1199" i="3"/>
  <c r="F1199" i="3"/>
  <c r="E1199" i="3"/>
  <c r="D1199" i="3"/>
  <c r="C1199" i="3"/>
  <c r="N1198" i="3"/>
  <c r="L1198" i="3"/>
  <c r="K1198" i="3"/>
  <c r="J1198" i="3"/>
  <c r="I1198" i="3"/>
  <c r="H1198" i="3"/>
  <c r="G1198" i="3"/>
  <c r="F1198" i="3"/>
  <c r="E1198" i="3"/>
  <c r="D1198" i="3"/>
  <c r="C1198" i="3"/>
  <c r="M1197" i="3"/>
  <c r="L1197" i="3"/>
  <c r="K1197" i="3"/>
  <c r="J1197" i="3"/>
  <c r="I1197" i="3"/>
  <c r="H1197" i="3"/>
  <c r="G1197" i="3"/>
  <c r="F1197" i="3"/>
  <c r="E1197" i="3"/>
  <c r="D1197" i="3"/>
  <c r="C1197" i="3"/>
  <c r="N1196" i="3"/>
  <c r="L1196" i="3"/>
  <c r="K1196" i="3"/>
  <c r="J1196" i="3"/>
  <c r="I1196" i="3"/>
  <c r="H1196" i="3"/>
  <c r="G1196" i="3"/>
  <c r="F1196" i="3"/>
  <c r="E1196" i="3"/>
  <c r="D1196" i="3"/>
  <c r="C1196" i="3"/>
  <c r="N1195" i="3"/>
  <c r="L1195" i="3"/>
  <c r="K1195" i="3"/>
  <c r="J1195" i="3"/>
  <c r="I1195" i="3"/>
  <c r="H1195" i="3"/>
  <c r="G1195" i="3"/>
  <c r="F1195" i="3"/>
  <c r="E1195" i="3"/>
  <c r="D1195" i="3"/>
  <c r="C1195" i="3"/>
  <c r="M1194" i="3"/>
  <c r="L1194" i="3"/>
  <c r="K1194" i="3"/>
  <c r="J1194" i="3"/>
  <c r="I1194" i="3"/>
  <c r="H1194" i="3"/>
  <c r="G1194" i="3"/>
  <c r="F1194" i="3"/>
  <c r="E1194" i="3"/>
  <c r="D1194" i="3"/>
  <c r="C1194" i="3"/>
  <c r="N1193" i="3"/>
  <c r="L1193" i="3"/>
  <c r="K1193" i="3"/>
  <c r="J1193" i="3"/>
  <c r="I1193" i="3"/>
  <c r="H1193" i="3"/>
  <c r="G1193" i="3"/>
  <c r="F1193" i="3"/>
  <c r="E1193" i="3"/>
  <c r="D1193" i="3"/>
  <c r="C1193" i="3"/>
  <c r="M1192" i="3"/>
  <c r="L1192" i="3"/>
  <c r="K1192" i="3"/>
  <c r="J1192" i="3"/>
  <c r="I1192" i="3"/>
  <c r="H1192" i="3"/>
  <c r="G1192" i="3"/>
  <c r="F1192" i="3"/>
  <c r="E1192" i="3"/>
  <c r="D1192" i="3"/>
  <c r="C1192" i="3"/>
  <c r="N1191" i="3"/>
  <c r="L1191" i="3"/>
  <c r="K1191" i="3"/>
  <c r="J1191" i="3"/>
  <c r="I1191" i="3"/>
  <c r="H1191" i="3"/>
  <c r="G1191" i="3"/>
  <c r="F1191" i="3"/>
  <c r="E1191" i="3"/>
  <c r="D1191" i="3"/>
  <c r="C1191" i="3"/>
  <c r="M1190" i="3"/>
  <c r="L1190" i="3"/>
  <c r="K1190" i="3"/>
  <c r="J1190" i="3"/>
  <c r="I1190" i="3"/>
  <c r="H1190" i="3"/>
  <c r="G1190" i="3"/>
  <c r="F1190" i="3"/>
  <c r="E1190" i="3"/>
  <c r="D1190" i="3"/>
  <c r="C1190" i="3"/>
  <c r="N1189" i="3"/>
  <c r="K1189" i="3"/>
  <c r="J1189" i="3"/>
  <c r="I1189" i="3"/>
  <c r="H1189" i="3"/>
  <c r="F1189" i="3"/>
  <c r="E1189" i="3"/>
  <c r="D1189" i="3"/>
  <c r="C1189" i="3"/>
  <c r="N1188" i="3"/>
  <c r="L1188" i="3"/>
  <c r="K1188" i="3"/>
  <c r="J1188" i="3"/>
  <c r="I1188" i="3"/>
  <c r="H1188" i="3"/>
  <c r="G1188" i="3"/>
  <c r="F1188" i="3"/>
  <c r="E1188" i="3"/>
  <c r="D1188" i="3"/>
  <c r="C1188" i="3"/>
  <c r="M1187" i="3"/>
  <c r="L1187" i="3"/>
  <c r="K1187" i="3"/>
  <c r="J1187" i="3"/>
  <c r="I1187" i="3"/>
  <c r="H1187" i="3"/>
  <c r="G1187" i="3"/>
  <c r="F1187" i="3"/>
  <c r="E1187" i="3"/>
  <c r="D1187" i="3"/>
  <c r="C1187" i="3"/>
  <c r="N1186" i="3"/>
  <c r="M1186" i="3"/>
  <c r="L1186" i="3"/>
  <c r="K1186" i="3"/>
  <c r="J1186" i="3"/>
  <c r="I1186" i="3"/>
  <c r="H1186" i="3"/>
  <c r="G1186" i="3"/>
  <c r="F1186" i="3"/>
  <c r="E1186" i="3"/>
  <c r="D1186" i="3"/>
  <c r="C1186" i="3"/>
  <c r="N1185" i="3"/>
  <c r="M1185" i="3"/>
  <c r="L1185" i="3"/>
  <c r="K1185" i="3"/>
  <c r="J1185" i="3"/>
  <c r="I1185" i="3"/>
  <c r="H1185" i="3"/>
  <c r="G1185" i="3"/>
  <c r="F1185" i="3"/>
  <c r="E1185" i="3"/>
  <c r="D1185" i="3"/>
  <c r="C1185" i="3"/>
  <c r="M1184" i="3"/>
  <c r="L1184" i="3"/>
  <c r="K1184" i="3"/>
  <c r="J1184" i="3"/>
  <c r="I1184" i="3"/>
  <c r="H1184" i="3"/>
  <c r="G1184" i="3"/>
  <c r="F1184" i="3"/>
  <c r="E1184" i="3"/>
  <c r="D1184" i="3"/>
  <c r="C1184" i="3"/>
  <c r="M1183" i="3"/>
  <c r="L1183" i="3"/>
  <c r="K1183" i="3"/>
  <c r="J1183" i="3"/>
  <c r="I1183" i="3"/>
  <c r="H1183" i="3"/>
  <c r="G1183" i="3"/>
  <c r="F1183" i="3"/>
  <c r="E1183" i="3"/>
  <c r="D1183" i="3"/>
  <c r="C1183" i="3"/>
  <c r="N1182" i="3"/>
  <c r="L1182" i="3"/>
  <c r="K1182" i="3"/>
  <c r="J1182" i="3"/>
  <c r="I1182" i="3"/>
  <c r="H1182" i="3"/>
  <c r="G1182" i="3"/>
  <c r="F1182" i="3"/>
  <c r="E1182" i="3"/>
  <c r="D1182" i="3"/>
  <c r="C1182" i="3"/>
  <c r="N1181" i="3"/>
  <c r="L1181" i="3"/>
  <c r="K1181" i="3"/>
  <c r="J1181" i="3"/>
  <c r="I1181" i="3"/>
  <c r="H1181" i="3"/>
  <c r="G1181" i="3"/>
  <c r="F1181" i="3"/>
  <c r="E1181" i="3"/>
  <c r="D1181" i="3"/>
  <c r="C1181" i="3"/>
  <c r="M1180" i="3"/>
  <c r="L1180" i="3"/>
  <c r="K1180" i="3"/>
  <c r="J1180" i="3"/>
  <c r="I1180" i="3"/>
  <c r="H1180" i="3"/>
  <c r="G1180" i="3"/>
  <c r="F1180" i="3"/>
  <c r="E1180" i="3"/>
  <c r="D1180" i="3"/>
  <c r="C1180" i="3"/>
  <c r="M1179" i="3"/>
  <c r="K1179" i="3"/>
  <c r="J1179" i="3"/>
  <c r="I1179" i="3"/>
  <c r="H1179" i="3"/>
  <c r="F1179" i="3"/>
  <c r="E1179" i="3"/>
  <c r="D1179" i="3"/>
  <c r="C1179" i="3"/>
  <c r="M1178" i="3"/>
  <c r="L1178" i="3"/>
  <c r="K1178" i="3"/>
  <c r="J1178" i="3"/>
  <c r="I1178" i="3"/>
  <c r="H1178" i="3"/>
  <c r="G1178" i="3"/>
  <c r="F1178" i="3"/>
  <c r="E1178" i="3"/>
  <c r="D1178" i="3"/>
  <c r="C1178" i="3"/>
  <c r="M1177" i="3"/>
  <c r="L1177" i="3"/>
  <c r="K1177" i="3"/>
  <c r="J1177" i="3"/>
  <c r="I1177" i="3"/>
  <c r="H1177" i="3"/>
  <c r="G1177" i="3"/>
  <c r="F1177" i="3"/>
  <c r="E1177" i="3"/>
  <c r="D1177" i="3"/>
  <c r="C1177" i="3"/>
  <c r="N1176" i="3"/>
  <c r="L1176" i="3"/>
  <c r="K1176" i="3"/>
  <c r="J1176" i="3"/>
  <c r="I1176" i="3"/>
  <c r="H1176" i="3"/>
  <c r="G1176" i="3"/>
  <c r="F1176" i="3"/>
  <c r="E1176" i="3"/>
  <c r="D1176" i="3"/>
  <c r="C1176" i="3"/>
  <c r="M1175" i="3"/>
  <c r="L1175" i="3"/>
  <c r="K1175" i="3"/>
  <c r="J1175" i="3"/>
  <c r="I1175" i="3"/>
  <c r="H1175" i="3"/>
  <c r="G1175" i="3"/>
  <c r="F1175" i="3"/>
  <c r="E1175" i="3"/>
  <c r="D1175" i="3"/>
  <c r="C1175" i="3"/>
  <c r="M1174" i="3"/>
  <c r="L1174" i="3"/>
  <c r="K1174" i="3"/>
  <c r="J1174" i="3"/>
  <c r="I1174" i="3"/>
  <c r="H1174" i="3"/>
  <c r="G1174" i="3"/>
  <c r="F1174" i="3"/>
  <c r="E1174" i="3"/>
  <c r="D1174" i="3"/>
  <c r="C1174" i="3"/>
  <c r="M1173" i="3"/>
  <c r="L1173" i="3"/>
  <c r="K1173" i="3"/>
  <c r="J1173" i="3"/>
  <c r="I1173" i="3"/>
  <c r="H1173" i="3"/>
  <c r="G1173" i="3"/>
  <c r="F1173" i="3"/>
  <c r="E1173" i="3"/>
  <c r="D1173" i="3"/>
  <c r="C1173" i="3"/>
  <c r="M1172" i="3"/>
  <c r="L1172" i="3"/>
  <c r="K1172" i="3"/>
  <c r="J1172" i="3"/>
  <c r="I1172" i="3"/>
  <c r="H1172" i="3"/>
  <c r="G1172" i="3"/>
  <c r="F1172" i="3"/>
  <c r="E1172" i="3"/>
  <c r="D1172" i="3"/>
  <c r="C1172" i="3"/>
  <c r="M1171" i="3"/>
  <c r="L1171" i="3"/>
  <c r="K1171" i="3"/>
  <c r="J1171" i="3"/>
  <c r="I1171" i="3"/>
  <c r="H1171" i="3"/>
  <c r="G1171" i="3"/>
  <c r="F1171" i="3"/>
  <c r="E1171" i="3"/>
  <c r="D1171" i="3"/>
  <c r="C1171" i="3"/>
  <c r="N1170" i="3"/>
  <c r="M1170" i="3"/>
  <c r="K1170" i="3"/>
  <c r="J1170" i="3"/>
  <c r="I1170" i="3"/>
  <c r="H1170" i="3"/>
  <c r="F1170" i="3"/>
  <c r="E1170" i="3"/>
  <c r="D1170" i="3"/>
  <c r="C1170" i="3"/>
  <c r="M1169" i="3"/>
  <c r="L1169" i="3"/>
  <c r="K1169" i="3"/>
  <c r="J1169" i="3"/>
  <c r="I1169" i="3"/>
  <c r="H1169" i="3"/>
  <c r="G1169" i="3"/>
  <c r="F1169" i="3"/>
  <c r="E1169" i="3"/>
  <c r="D1169" i="3"/>
  <c r="C1169" i="3"/>
  <c r="M1168" i="3"/>
  <c r="L1168" i="3"/>
  <c r="K1168" i="3"/>
  <c r="J1168" i="3"/>
  <c r="I1168" i="3"/>
  <c r="H1168" i="3"/>
  <c r="G1168" i="3"/>
  <c r="F1168" i="3"/>
  <c r="E1168" i="3"/>
  <c r="D1168" i="3"/>
  <c r="C1168" i="3"/>
  <c r="N1167" i="3"/>
  <c r="L1167" i="3"/>
  <c r="K1167" i="3"/>
  <c r="J1167" i="3"/>
  <c r="I1167" i="3"/>
  <c r="H1167" i="3"/>
  <c r="G1167" i="3"/>
  <c r="F1167" i="3"/>
  <c r="E1167" i="3"/>
  <c r="D1167" i="3"/>
  <c r="C1167" i="3"/>
  <c r="N1166" i="3"/>
  <c r="M1166" i="3"/>
  <c r="L1166" i="3"/>
  <c r="K1166" i="3"/>
  <c r="J1166" i="3"/>
  <c r="I1166" i="3"/>
  <c r="H1166" i="3"/>
  <c r="G1166" i="3"/>
  <c r="F1166" i="3"/>
  <c r="E1166" i="3"/>
  <c r="D1166" i="3"/>
  <c r="C1166" i="3"/>
  <c r="N1165" i="3"/>
  <c r="M1165" i="3"/>
  <c r="L1165" i="3"/>
  <c r="K1165" i="3"/>
  <c r="J1165" i="3"/>
  <c r="I1165" i="3"/>
  <c r="H1165" i="3"/>
  <c r="G1165" i="3"/>
  <c r="F1165" i="3"/>
  <c r="E1165" i="3"/>
  <c r="D1165" i="3"/>
  <c r="C1165" i="3"/>
  <c r="M1164" i="3"/>
  <c r="K1164" i="3"/>
  <c r="J1164" i="3"/>
  <c r="I1164" i="3"/>
  <c r="H1164" i="3"/>
  <c r="F1164" i="3"/>
  <c r="E1164" i="3"/>
  <c r="D1164" i="3"/>
  <c r="C1164" i="3"/>
  <c r="M1163" i="3"/>
  <c r="L1163" i="3"/>
  <c r="K1163" i="3"/>
  <c r="J1163" i="3"/>
  <c r="I1163" i="3"/>
  <c r="H1163" i="3"/>
  <c r="G1163" i="3"/>
  <c r="F1163" i="3"/>
  <c r="E1163" i="3"/>
  <c r="D1163" i="3"/>
  <c r="C1163" i="3"/>
  <c r="M1162" i="3"/>
  <c r="L1162" i="3"/>
  <c r="K1162" i="3"/>
  <c r="J1162" i="3"/>
  <c r="I1162" i="3"/>
  <c r="H1162" i="3"/>
  <c r="G1162" i="3"/>
  <c r="F1162" i="3"/>
  <c r="E1162" i="3"/>
  <c r="D1162" i="3"/>
  <c r="C1162" i="3"/>
  <c r="M1161" i="3"/>
  <c r="L1161" i="3"/>
  <c r="K1161" i="3"/>
  <c r="J1161" i="3"/>
  <c r="I1161" i="3"/>
  <c r="H1161" i="3"/>
  <c r="G1161" i="3"/>
  <c r="F1161" i="3"/>
  <c r="E1161" i="3"/>
  <c r="D1161" i="3"/>
  <c r="C1161" i="3"/>
  <c r="M1160" i="3"/>
  <c r="L1160" i="3"/>
  <c r="K1160" i="3"/>
  <c r="J1160" i="3"/>
  <c r="I1160" i="3"/>
  <c r="H1160" i="3"/>
  <c r="G1160" i="3"/>
  <c r="F1160" i="3"/>
  <c r="E1160" i="3"/>
  <c r="D1160" i="3"/>
  <c r="C1160" i="3"/>
  <c r="N1159" i="3"/>
  <c r="K1159" i="3"/>
  <c r="J1159" i="3"/>
  <c r="I1159" i="3"/>
  <c r="H1159" i="3"/>
  <c r="F1159" i="3"/>
  <c r="E1159" i="3"/>
  <c r="D1159" i="3"/>
  <c r="C1159" i="3"/>
  <c r="M1158" i="3"/>
  <c r="L1158" i="3"/>
  <c r="K1158" i="3"/>
  <c r="J1158" i="3"/>
  <c r="I1158" i="3"/>
  <c r="H1158" i="3"/>
  <c r="G1158" i="3"/>
  <c r="F1158" i="3"/>
  <c r="E1158" i="3"/>
  <c r="D1158" i="3"/>
  <c r="C1158" i="3"/>
  <c r="M1157" i="3"/>
  <c r="L1157" i="3"/>
  <c r="K1157" i="3"/>
  <c r="J1157" i="3"/>
  <c r="I1157" i="3"/>
  <c r="H1157" i="3"/>
  <c r="G1157" i="3"/>
  <c r="F1157" i="3"/>
  <c r="E1157" i="3"/>
  <c r="D1157" i="3"/>
  <c r="C1157" i="3"/>
  <c r="N1156" i="3"/>
  <c r="L1156" i="3"/>
  <c r="K1156" i="3"/>
  <c r="J1156" i="3"/>
  <c r="I1156" i="3"/>
  <c r="H1156" i="3"/>
  <c r="G1156" i="3"/>
  <c r="F1156" i="3"/>
  <c r="E1156" i="3"/>
  <c r="D1156" i="3"/>
  <c r="C1156" i="3"/>
  <c r="N1155" i="3"/>
  <c r="M1155" i="3"/>
  <c r="K1155" i="3"/>
  <c r="J1155" i="3"/>
  <c r="I1155" i="3"/>
  <c r="H1155" i="3"/>
  <c r="F1155" i="3"/>
  <c r="E1155" i="3"/>
  <c r="D1155" i="3"/>
  <c r="C1155" i="3"/>
  <c r="M1154" i="3"/>
  <c r="L1154" i="3"/>
  <c r="K1154" i="3"/>
  <c r="J1154" i="3"/>
  <c r="I1154" i="3"/>
  <c r="H1154" i="3"/>
  <c r="G1154" i="3"/>
  <c r="F1154" i="3"/>
  <c r="E1154" i="3"/>
  <c r="D1154" i="3"/>
  <c r="C1154" i="3"/>
  <c r="M1153" i="3"/>
  <c r="L1153" i="3"/>
  <c r="K1153" i="3"/>
  <c r="J1153" i="3"/>
  <c r="I1153" i="3"/>
  <c r="H1153" i="3"/>
  <c r="G1153" i="3"/>
  <c r="F1153" i="3"/>
  <c r="E1153" i="3"/>
  <c r="D1153" i="3"/>
  <c r="C1153" i="3"/>
  <c r="N1152" i="3"/>
  <c r="M1152" i="3"/>
  <c r="L1152" i="3"/>
  <c r="K1152" i="3"/>
  <c r="J1152" i="3"/>
  <c r="I1152" i="3"/>
  <c r="H1152" i="3"/>
  <c r="G1152" i="3"/>
  <c r="F1152" i="3"/>
  <c r="E1152" i="3"/>
  <c r="D1152" i="3"/>
  <c r="C1152" i="3"/>
  <c r="N1151" i="3"/>
  <c r="M1151" i="3"/>
  <c r="L1151" i="3"/>
  <c r="K1151" i="3"/>
  <c r="J1151" i="3"/>
  <c r="I1151" i="3"/>
  <c r="H1151" i="3"/>
  <c r="G1151" i="3"/>
  <c r="F1151" i="3"/>
  <c r="E1151" i="3"/>
  <c r="D1151" i="3"/>
  <c r="C1151" i="3"/>
  <c r="N1150" i="3"/>
  <c r="M1150" i="3"/>
  <c r="K1150" i="3"/>
  <c r="J1150" i="3"/>
  <c r="I1150" i="3"/>
  <c r="H1150" i="3"/>
  <c r="F1150" i="3"/>
  <c r="E1150" i="3"/>
  <c r="D1150" i="3"/>
  <c r="C1150" i="3"/>
  <c r="N1149" i="3"/>
  <c r="M1149" i="3"/>
  <c r="L1149" i="3"/>
  <c r="K1149" i="3"/>
  <c r="J1149" i="3"/>
  <c r="I1149" i="3"/>
  <c r="H1149" i="3"/>
  <c r="G1149" i="3"/>
  <c r="F1149" i="3"/>
  <c r="E1149" i="3"/>
  <c r="D1149" i="3"/>
  <c r="C1149" i="3"/>
  <c r="M1148" i="3"/>
  <c r="L1148" i="3"/>
  <c r="K1148" i="3"/>
  <c r="J1148" i="3"/>
  <c r="I1148" i="3"/>
  <c r="H1148" i="3"/>
  <c r="G1148" i="3"/>
  <c r="F1148" i="3"/>
  <c r="E1148" i="3"/>
  <c r="D1148" i="3"/>
  <c r="C1148" i="3"/>
  <c r="N1147" i="3"/>
  <c r="L1147" i="3"/>
  <c r="K1147" i="3"/>
  <c r="J1147" i="3"/>
  <c r="I1147" i="3"/>
  <c r="H1147" i="3"/>
  <c r="G1147" i="3"/>
  <c r="F1147" i="3"/>
  <c r="E1147" i="3"/>
  <c r="D1147" i="3"/>
  <c r="C1147" i="3"/>
  <c r="M1146" i="3"/>
  <c r="L1146" i="3"/>
  <c r="K1146" i="3"/>
  <c r="J1146" i="3"/>
  <c r="I1146" i="3"/>
  <c r="H1146" i="3"/>
  <c r="G1146" i="3"/>
  <c r="F1146" i="3"/>
  <c r="E1146" i="3"/>
  <c r="D1146" i="3"/>
  <c r="C1146" i="3"/>
  <c r="N1145" i="3"/>
  <c r="M1145" i="3"/>
  <c r="L1145" i="3"/>
  <c r="K1145" i="3"/>
  <c r="J1145" i="3"/>
  <c r="I1145" i="3"/>
  <c r="H1145" i="3"/>
  <c r="G1145" i="3"/>
  <c r="F1145" i="3"/>
  <c r="E1145" i="3"/>
  <c r="D1145" i="3"/>
  <c r="C1145" i="3"/>
  <c r="N1144" i="3"/>
  <c r="L1144" i="3"/>
  <c r="K1144" i="3"/>
  <c r="J1144" i="3"/>
  <c r="I1144" i="3"/>
  <c r="H1144" i="3"/>
  <c r="G1144" i="3"/>
  <c r="F1144" i="3"/>
  <c r="E1144" i="3"/>
  <c r="D1144" i="3"/>
  <c r="C1144" i="3"/>
  <c r="M1143" i="3"/>
  <c r="L1143" i="3"/>
  <c r="K1143" i="3"/>
  <c r="J1143" i="3"/>
  <c r="I1143" i="3"/>
  <c r="H1143" i="3"/>
  <c r="G1143" i="3"/>
  <c r="F1143" i="3"/>
  <c r="E1143" i="3"/>
  <c r="D1143" i="3"/>
  <c r="C1143" i="3"/>
  <c r="N1142" i="3"/>
  <c r="L1142" i="3"/>
  <c r="K1142" i="3"/>
  <c r="J1142" i="3"/>
  <c r="I1142" i="3"/>
  <c r="H1142" i="3"/>
  <c r="G1142" i="3"/>
  <c r="F1142" i="3"/>
  <c r="E1142" i="3"/>
  <c r="D1142" i="3"/>
  <c r="C1142" i="3"/>
  <c r="M1141" i="3"/>
  <c r="L1141" i="3"/>
  <c r="K1141" i="3"/>
  <c r="J1141" i="3"/>
  <c r="I1141" i="3"/>
  <c r="H1141" i="3"/>
  <c r="G1141" i="3"/>
  <c r="F1141" i="3"/>
  <c r="E1141" i="3"/>
  <c r="D1141" i="3"/>
  <c r="C1141" i="3"/>
  <c r="N1140" i="3"/>
  <c r="L1140" i="3"/>
  <c r="K1140" i="3"/>
  <c r="J1140" i="3"/>
  <c r="I1140" i="3"/>
  <c r="H1140" i="3"/>
  <c r="G1140" i="3"/>
  <c r="F1140" i="3"/>
  <c r="E1140" i="3"/>
  <c r="D1140" i="3"/>
  <c r="C1140" i="3"/>
  <c r="N1139" i="3"/>
  <c r="M1139" i="3"/>
  <c r="K1139" i="3"/>
  <c r="J1139" i="3"/>
  <c r="I1139" i="3"/>
  <c r="H1139" i="3"/>
  <c r="F1139" i="3"/>
  <c r="E1139" i="3"/>
  <c r="D1139" i="3"/>
  <c r="C1139" i="3"/>
  <c r="N1138" i="3"/>
  <c r="L1138" i="3"/>
  <c r="K1138" i="3"/>
  <c r="J1138" i="3"/>
  <c r="I1138" i="3"/>
  <c r="H1138" i="3"/>
  <c r="G1138" i="3"/>
  <c r="F1138" i="3"/>
  <c r="E1138" i="3"/>
  <c r="D1138" i="3"/>
  <c r="C1138" i="3"/>
  <c r="M1137" i="3"/>
  <c r="L1137" i="3"/>
  <c r="K1137" i="3"/>
  <c r="J1137" i="3"/>
  <c r="I1137" i="3"/>
  <c r="H1137" i="3"/>
  <c r="G1137" i="3"/>
  <c r="F1137" i="3"/>
  <c r="E1137" i="3"/>
  <c r="D1137" i="3"/>
  <c r="C1137" i="3"/>
  <c r="M1136" i="3"/>
  <c r="L1136" i="3"/>
  <c r="K1136" i="3"/>
  <c r="J1136" i="3"/>
  <c r="I1136" i="3"/>
  <c r="H1136" i="3"/>
  <c r="G1136" i="3"/>
  <c r="F1136" i="3"/>
  <c r="E1136" i="3"/>
  <c r="D1136" i="3"/>
  <c r="C1136" i="3"/>
  <c r="N1135" i="3"/>
  <c r="M1135" i="3"/>
  <c r="L1135" i="3"/>
  <c r="K1135" i="3"/>
  <c r="J1135" i="3"/>
  <c r="I1135" i="3"/>
  <c r="H1135" i="3"/>
  <c r="G1135" i="3"/>
  <c r="F1135" i="3"/>
  <c r="E1135" i="3"/>
  <c r="D1135" i="3"/>
  <c r="C1135" i="3"/>
  <c r="M1134" i="3"/>
  <c r="K1134" i="3"/>
  <c r="J1134" i="3"/>
  <c r="I1134" i="3"/>
  <c r="H1134" i="3"/>
  <c r="F1134" i="3"/>
  <c r="E1134" i="3"/>
  <c r="D1134" i="3"/>
  <c r="C1134" i="3"/>
  <c r="M1133" i="3"/>
  <c r="L1133" i="3"/>
  <c r="K1133" i="3"/>
  <c r="J1133" i="3"/>
  <c r="I1133" i="3"/>
  <c r="H1133" i="3"/>
  <c r="G1133" i="3"/>
  <c r="F1133" i="3"/>
  <c r="E1133" i="3"/>
  <c r="D1133" i="3"/>
  <c r="C1133" i="3"/>
  <c r="N1132" i="3"/>
  <c r="L1132" i="3"/>
  <c r="K1132" i="3"/>
  <c r="J1132" i="3"/>
  <c r="I1132" i="3"/>
  <c r="H1132" i="3"/>
  <c r="G1132" i="3"/>
  <c r="F1132" i="3"/>
  <c r="E1132" i="3"/>
  <c r="D1132" i="3"/>
  <c r="C1132" i="3"/>
  <c r="N1131" i="3"/>
  <c r="L1131" i="3"/>
  <c r="K1131" i="3"/>
  <c r="J1131" i="3"/>
  <c r="I1131" i="3"/>
  <c r="H1131" i="3"/>
  <c r="G1131" i="3"/>
  <c r="F1131" i="3"/>
  <c r="E1131" i="3"/>
  <c r="D1131" i="3"/>
  <c r="C1131" i="3"/>
  <c r="M1130" i="3"/>
  <c r="L1130" i="3"/>
  <c r="K1130" i="3"/>
  <c r="J1130" i="3"/>
  <c r="I1130" i="3"/>
  <c r="H1130" i="3"/>
  <c r="G1130" i="3"/>
  <c r="F1130" i="3"/>
  <c r="E1130" i="3"/>
  <c r="D1130" i="3"/>
  <c r="C1130" i="3"/>
  <c r="M1129" i="3"/>
  <c r="L1129" i="3"/>
  <c r="K1129" i="3"/>
  <c r="J1129" i="3"/>
  <c r="I1129" i="3"/>
  <c r="H1129" i="3"/>
  <c r="G1129" i="3"/>
  <c r="F1129" i="3"/>
  <c r="E1129" i="3"/>
  <c r="D1129" i="3"/>
  <c r="C1129" i="3"/>
  <c r="N1128" i="3"/>
  <c r="L1128" i="3"/>
  <c r="K1128" i="3"/>
  <c r="J1128" i="3"/>
  <c r="I1128" i="3"/>
  <c r="H1128" i="3"/>
  <c r="G1128" i="3"/>
  <c r="F1128" i="3"/>
  <c r="E1128" i="3"/>
  <c r="D1128" i="3"/>
  <c r="C1128" i="3"/>
  <c r="M1127" i="3"/>
  <c r="L1127" i="3"/>
  <c r="K1127" i="3"/>
  <c r="J1127" i="3"/>
  <c r="I1127" i="3"/>
  <c r="H1127" i="3"/>
  <c r="G1127" i="3"/>
  <c r="F1127" i="3"/>
  <c r="E1127" i="3"/>
  <c r="D1127" i="3"/>
  <c r="C1127" i="3"/>
  <c r="M1126" i="3"/>
  <c r="L1126" i="3"/>
  <c r="K1126" i="3"/>
  <c r="J1126" i="3"/>
  <c r="I1126" i="3"/>
  <c r="H1126" i="3"/>
  <c r="G1126" i="3"/>
  <c r="F1126" i="3"/>
  <c r="E1126" i="3"/>
  <c r="D1126" i="3"/>
  <c r="C1126" i="3"/>
  <c r="M1125" i="3"/>
  <c r="L1125" i="3"/>
  <c r="K1125" i="3"/>
  <c r="J1125" i="3"/>
  <c r="I1125" i="3"/>
  <c r="H1125" i="3"/>
  <c r="G1125" i="3"/>
  <c r="F1125" i="3"/>
  <c r="E1125" i="3"/>
  <c r="D1125" i="3"/>
  <c r="C1125" i="3"/>
  <c r="N1124" i="3"/>
  <c r="M1124" i="3"/>
  <c r="K1124" i="3"/>
  <c r="J1124" i="3"/>
  <c r="I1124" i="3"/>
  <c r="H1124" i="3"/>
  <c r="F1124" i="3"/>
  <c r="E1124" i="3"/>
  <c r="D1124" i="3"/>
  <c r="C1124" i="3"/>
  <c r="M1123" i="3"/>
  <c r="L1123" i="3"/>
  <c r="K1123" i="3"/>
  <c r="J1123" i="3"/>
  <c r="I1123" i="3"/>
  <c r="H1123" i="3"/>
  <c r="G1123" i="3"/>
  <c r="F1123" i="3"/>
  <c r="E1123" i="3"/>
  <c r="D1123" i="3"/>
  <c r="C1123" i="3"/>
  <c r="M1122" i="3"/>
  <c r="L1122" i="3"/>
  <c r="K1122" i="3"/>
  <c r="J1122" i="3"/>
  <c r="I1122" i="3"/>
  <c r="H1122" i="3"/>
  <c r="G1122" i="3"/>
  <c r="F1122" i="3"/>
  <c r="E1122" i="3"/>
  <c r="D1122" i="3"/>
  <c r="C1122" i="3"/>
  <c r="N1121" i="3"/>
  <c r="L1121" i="3"/>
  <c r="K1121" i="3"/>
  <c r="J1121" i="3"/>
  <c r="I1121" i="3"/>
  <c r="H1121" i="3"/>
  <c r="G1121" i="3"/>
  <c r="F1121" i="3"/>
  <c r="E1121" i="3"/>
  <c r="D1121" i="3"/>
  <c r="C1121" i="3"/>
  <c r="M1120" i="3"/>
  <c r="L1120" i="3"/>
  <c r="K1120" i="3"/>
  <c r="J1120" i="3"/>
  <c r="I1120" i="3"/>
  <c r="H1120" i="3"/>
  <c r="G1120" i="3"/>
  <c r="F1120" i="3"/>
  <c r="E1120" i="3"/>
  <c r="D1120" i="3"/>
  <c r="C1120" i="3"/>
  <c r="M1119" i="3"/>
  <c r="L1119" i="3"/>
  <c r="K1119" i="3"/>
  <c r="J1119" i="3"/>
  <c r="I1119" i="3"/>
  <c r="H1119" i="3"/>
  <c r="G1119" i="3"/>
  <c r="F1119" i="3"/>
  <c r="E1119" i="3"/>
  <c r="D1119" i="3"/>
  <c r="C1119" i="3"/>
  <c r="N1118" i="3"/>
  <c r="L1118" i="3"/>
  <c r="K1118" i="3"/>
  <c r="J1118" i="3"/>
  <c r="I1118" i="3"/>
  <c r="H1118" i="3"/>
  <c r="G1118" i="3"/>
  <c r="F1118" i="3"/>
  <c r="E1118" i="3"/>
  <c r="D1118" i="3"/>
  <c r="C1118" i="3"/>
  <c r="M1117" i="3"/>
  <c r="L1117" i="3"/>
  <c r="K1117" i="3"/>
  <c r="J1117" i="3"/>
  <c r="I1117" i="3"/>
  <c r="H1117" i="3"/>
  <c r="G1117" i="3"/>
  <c r="F1117" i="3"/>
  <c r="E1117" i="3"/>
  <c r="D1117" i="3"/>
  <c r="C1117" i="3"/>
  <c r="M1116" i="3"/>
  <c r="L1116" i="3"/>
  <c r="K1116" i="3"/>
  <c r="J1116" i="3"/>
  <c r="I1116" i="3"/>
  <c r="H1116" i="3"/>
  <c r="G1116" i="3"/>
  <c r="F1116" i="3"/>
  <c r="E1116" i="3"/>
  <c r="D1116" i="3"/>
  <c r="C1116" i="3"/>
  <c r="M1115" i="3"/>
  <c r="L1115" i="3"/>
  <c r="K1115" i="3"/>
  <c r="J1115" i="3"/>
  <c r="I1115" i="3"/>
  <c r="H1115" i="3"/>
  <c r="G1115" i="3"/>
  <c r="F1115" i="3"/>
  <c r="E1115" i="3"/>
  <c r="D1115" i="3"/>
  <c r="C1115" i="3"/>
  <c r="N1114" i="3"/>
  <c r="M1114" i="3"/>
  <c r="L1114" i="3"/>
  <c r="K1114" i="3"/>
  <c r="J1114" i="3"/>
  <c r="I1114" i="3"/>
  <c r="H1114" i="3"/>
  <c r="G1114" i="3"/>
  <c r="F1114" i="3"/>
  <c r="E1114" i="3"/>
  <c r="D1114" i="3"/>
  <c r="C1114" i="3"/>
  <c r="N1113" i="3"/>
  <c r="L1113" i="3"/>
  <c r="K1113" i="3"/>
  <c r="J1113" i="3"/>
  <c r="I1113" i="3"/>
  <c r="H1113" i="3"/>
  <c r="G1113" i="3"/>
  <c r="F1113" i="3"/>
  <c r="E1113" i="3"/>
  <c r="D1113" i="3"/>
  <c r="C1113" i="3"/>
  <c r="M1112" i="3"/>
  <c r="L1112" i="3"/>
  <c r="K1112" i="3"/>
  <c r="J1112" i="3"/>
  <c r="I1112" i="3"/>
  <c r="H1112" i="3"/>
  <c r="G1112" i="3"/>
  <c r="F1112" i="3"/>
  <c r="E1112" i="3"/>
  <c r="D1112" i="3"/>
  <c r="C1112" i="3"/>
  <c r="N1111" i="3"/>
  <c r="M1111" i="3"/>
  <c r="L1111" i="3"/>
  <c r="K1111" i="3"/>
  <c r="J1111" i="3"/>
  <c r="I1111" i="3"/>
  <c r="H1111" i="3"/>
  <c r="G1111" i="3"/>
  <c r="F1111" i="3"/>
  <c r="E1111" i="3"/>
  <c r="D1111" i="3"/>
  <c r="C1111" i="3"/>
  <c r="N1110" i="3"/>
  <c r="L1110" i="3"/>
  <c r="K1110" i="3"/>
  <c r="J1110" i="3"/>
  <c r="I1110" i="3"/>
  <c r="H1110" i="3"/>
  <c r="G1110" i="3"/>
  <c r="F1110" i="3"/>
  <c r="E1110" i="3"/>
  <c r="D1110" i="3"/>
  <c r="C1110" i="3"/>
  <c r="M1109" i="3"/>
  <c r="L1109" i="3"/>
  <c r="K1109" i="3"/>
  <c r="J1109" i="3"/>
  <c r="I1109" i="3"/>
  <c r="H1109" i="3"/>
  <c r="G1109" i="3"/>
  <c r="F1109" i="3"/>
  <c r="E1109" i="3"/>
  <c r="D1109" i="3"/>
  <c r="C1109" i="3"/>
  <c r="M1108" i="3"/>
  <c r="L1108" i="3"/>
  <c r="K1108" i="3"/>
  <c r="J1108" i="3"/>
  <c r="I1108" i="3"/>
  <c r="H1108" i="3"/>
  <c r="G1108" i="3"/>
  <c r="F1108" i="3"/>
  <c r="E1108" i="3"/>
  <c r="D1108" i="3"/>
  <c r="C1108" i="3"/>
  <c r="N1107" i="3"/>
  <c r="L1107" i="3"/>
  <c r="K1107" i="3"/>
  <c r="J1107" i="3"/>
  <c r="I1107" i="3"/>
  <c r="H1107" i="3"/>
  <c r="G1107" i="3"/>
  <c r="F1107" i="3"/>
  <c r="E1107" i="3"/>
  <c r="D1107" i="3"/>
  <c r="C1107" i="3"/>
  <c r="N1106" i="3"/>
  <c r="M1106" i="3"/>
  <c r="L1106" i="3"/>
  <c r="K1106" i="3"/>
  <c r="J1106" i="3"/>
  <c r="I1106" i="3"/>
  <c r="H1106" i="3"/>
  <c r="G1106" i="3"/>
  <c r="F1106" i="3"/>
  <c r="E1106" i="3"/>
  <c r="D1106" i="3"/>
  <c r="C1106" i="3"/>
  <c r="M1105" i="3"/>
  <c r="L1105" i="3"/>
  <c r="K1105" i="3"/>
  <c r="J1105" i="3"/>
  <c r="I1105" i="3"/>
  <c r="H1105" i="3"/>
  <c r="G1105" i="3"/>
  <c r="F1105" i="3"/>
  <c r="E1105" i="3"/>
  <c r="D1105" i="3"/>
  <c r="C1105" i="3"/>
  <c r="N1104" i="3"/>
  <c r="L1104" i="3"/>
  <c r="K1104" i="3"/>
  <c r="J1104" i="3"/>
  <c r="I1104" i="3"/>
  <c r="H1104" i="3"/>
  <c r="G1104" i="3"/>
  <c r="F1104" i="3"/>
  <c r="E1104" i="3"/>
  <c r="D1104" i="3"/>
  <c r="C1104" i="3"/>
  <c r="M1103" i="3"/>
  <c r="L1103" i="3"/>
  <c r="K1103" i="3"/>
  <c r="J1103" i="3"/>
  <c r="I1103" i="3"/>
  <c r="H1103" i="3"/>
  <c r="G1103" i="3"/>
  <c r="F1103" i="3"/>
  <c r="E1103" i="3"/>
  <c r="D1103" i="3"/>
  <c r="C1103" i="3"/>
  <c r="N1102" i="3"/>
  <c r="M1102" i="3"/>
  <c r="L1102" i="3"/>
  <c r="K1102" i="3"/>
  <c r="J1102" i="3"/>
  <c r="I1102" i="3"/>
  <c r="H1102" i="3"/>
  <c r="G1102" i="3"/>
  <c r="F1102" i="3"/>
  <c r="E1102" i="3"/>
  <c r="D1102" i="3"/>
  <c r="C1102" i="3"/>
  <c r="M1101" i="3"/>
  <c r="L1101" i="3"/>
  <c r="K1101" i="3"/>
  <c r="J1101" i="3"/>
  <c r="I1101" i="3"/>
  <c r="H1101" i="3"/>
  <c r="G1101" i="3"/>
  <c r="F1101" i="3"/>
  <c r="E1101" i="3"/>
  <c r="D1101" i="3"/>
  <c r="C1101" i="3"/>
  <c r="N1100" i="3"/>
  <c r="M1100" i="3"/>
  <c r="L1100" i="3"/>
  <c r="K1100" i="3"/>
  <c r="J1100" i="3"/>
  <c r="I1100" i="3"/>
  <c r="H1100" i="3"/>
  <c r="G1100" i="3"/>
  <c r="F1100" i="3"/>
  <c r="E1100" i="3"/>
  <c r="D1100" i="3"/>
  <c r="C1100" i="3"/>
  <c r="M1099" i="3"/>
  <c r="L1099" i="3"/>
  <c r="K1099" i="3"/>
  <c r="J1099" i="3"/>
  <c r="I1099" i="3"/>
  <c r="H1099" i="3"/>
  <c r="G1099" i="3"/>
  <c r="F1099" i="3"/>
  <c r="E1099" i="3"/>
  <c r="D1099" i="3"/>
  <c r="C1099" i="3"/>
  <c r="N1098" i="3"/>
  <c r="L1098" i="3"/>
  <c r="K1098" i="3"/>
  <c r="J1098" i="3"/>
  <c r="I1098" i="3"/>
  <c r="H1098" i="3"/>
  <c r="G1098" i="3"/>
  <c r="F1098" i="3"/>
  <c r="E1098" i="3"/>
  <c r="D1098" i="3"/>
  <c r="C1098" i="3"/>
  <c r="N1097" i="3"/>
  <c r="L1097" i="3"/>
  <c r="K1097" i="3"/>
  <c r="J1097" i="3"/>
  <c r="I1097" i="3"/>
  <c r="H1097" i="3"/>
  <c r="G1097" i="3"/>
  <c r="F1097" i="3"/>
  <c r="E1097" i="3"/>
  <c r="D1097" i="3"/>
  <c r="C1097" i="3"/>
  <c r="N1096" i="3"/>
  <c r="L1096" i="3"/>
  <c r="K1096" i="3"/>
  <c r="J1096" i="3"/>
  <c r="I1096" i="3"/>
  <c r="H1096" i="3"/>
  <c r="G1096" i="3"/>
  <c r="F1096" i="3"/>
  <c r="E1096" i="3"/>
  <c r="D1096" i="3"/>
  <c r="C1096" i="3"/>
  <c r="N1095" i="3"/>
  <c r="L1095" i="3"/>
  <c r="K1095" i="3"/>
  <c r="J1095" i="3"/>
  <c r="I1095" i="3"/>
  <c r="H1095" i="3"/>
  <c r="G1095" i="3"/>
  <c r="F1095" i="3"/>
  <c r="E1095" i="3"/>
  <c r="D1095" i="3"/>
  <c r="C1095" i="3"/>
  <c r="N1094" i="3"/>
  <c r="L1094" i="3"/>
  <c r="K1094" i="3"/>
  <c r="J1094" i="3"/>
  <c r="I1094" i="3"/>
  <c r="H1094" i="3"/>
  <c r="G1094" i="3"/>
  <c r="F1094" i="3"/>
  <c r="E1094" i="3"/>
  <c r="D1094" i="3"/>
  <c r="C1094" i="3"/>
  <c r="N1093" i="3"/>
  <c r="L1093" i="3"/>
  <c r="K1093" i="3"/>
  <c r="J1093" i="3"/>
  <c r="I1093" i="3"/>
  <c r="H1093" i="3"/>
  <c r="G1093" i="3"/>
  <c r="F1093" i="3"/>
  <c r="E1093" i="3"/>
  <c r="D1093" i="3"/>
  <c r="C1093" i="3"/>
  <c r="N1092" i="3"/>
  <c r="L1092" i="3"/>
  <c r="K1092" i="3"/>
  <c r="J1092" i="3"/>
  <c r="I1092" i="3"/>
  <c r="H1092" i="3"/>
  <c r="G1092" i="3"/>
  <c r="F1092" i="3"/>
  <c r="E1092" i="3"/>
  <c r="D1092" i="3"/>
  <c r="C1092" i="3"/>
  <c r="N1091" i="3"/>
  <c r="L1091" i="3"/>
  <c r="K1091" i="3"/>
  <c r="J1091" i="3"/>
  <c r="I1091" i="3"/>
  <c r="H1091" i="3"/>
  <c r="G1091" i="3"/>
  <c r="F1091" i="3"/>
  <c r="E1091" i="3"/>
  <c r="D1091" i="3"/>
  <c r="C1091" i="3"/>
  <c r="M1090" i="3"/>
  <c r="L1090" i="3"/>
  <c r="K1090" i="3"/>
  <c r="J1090" i="3"/>
  <c r="I1090" i="3"/>
  <c r="H1090" i="3"/>
  <c r="G1090" i="3"/>
  <c r="F1090" i="3"/>
  <c r="E1090" i="3"/>
  <c r="D1090" i="3"/>
  <c r="C1090" i="3"/>
  <c r="N1089" i="3"/>
  <c r="M1089" i="3"/>
  <c r="L1089" i="3"/>
  <c r="K1089" i="3"/>
  <c r="J1089" i="3"/>
  <c r="I1089" i="3"/>
  <c r="H1089" i="3"/>
  <c r="G1089" i="3"/>
  <c r="F1089" i="3"/>
  <c r="E1089" i="3"/>
  <c r="D1089" i="3"/>
  <c r="C1089" i="3"/>
  <c r="L1088" i="3"/>
  <c r="K1088" i="3"/>
  <c r="J1088" i="3"/>
  <c r="I1088" i="3"/>
  <c r="H1088" i="3"/>
  <c r="G1088" i="3"/>
  <c r="F1088" i="3"/>
  <c r="E1088" i="3"/>
  <c r="D1088" i="3"/>
  <c r="C1088" i="3"/>
  <c r="N1087" i="3"/>
  <c r="M1087" i="3"/>
  <c r="L1087" i="3"/>
  <c r="K1087" i="3"/>
  <c r="J1087" i="3"/>
  <c r="I1087" i="3"/>
  <c r="H1087" i="3"/>
  <c r="G1087" i="3"/>
  <c r="F1087" i="3"/>
  <c r="E1087" i="3"/>
  <c r="D1087" i="3"/>
  <c r="C1087" i="3"/>
  <c r="N1086" i="3"/>
  <c r="L1086" i="3"/>
  <c r="K1086" i="3"/>
  <c r="J1086" i="3"/>
  <c r="I1086" i="3"/>
  <c r="H1086" i="3"/>
  <c r="G1086" i="3"/>
  <c r="F1086" i="3"/>
  <c r="E1086" i="3"/>
  <c r="D1086" i="3"/>
  <c r="C1086" i="3"/>
  <c r="N1085" i="3"/>
  <c r="L1085" i="3"/>
  <c r="K1085" i="3"/>
  <c r="J1085" i="3"/>
  <c r="I1085" i="3"/>
  <c r="H1085" i="3"/>
  <c r="G1085" i="3"/>
  <c r="F1085" i="3"/>
  <c r="E1085" i="3"/>
  <c r="D1085" i="3"/>
  <c r="C1085" i="3"/>
  <c r="M1084" i="3"/>
  <c r="L1084" i="3"/>
  <c r="K1084" i="3"/>
  <c r="J1084" i="3"/>
  <c r="I1084" i="3"/>
  <c r="H1084" i="3"/>
  <c r="G1084" i="3"/>
  <c r="F1084" i="3"/>
  <c r="E1084" i="3"/>
  <c r="D1084" i="3"/>
  <c r="C1084" i="3"/>
  <c r="M1083" i="3"/>
  <c r="L1083" i="3"/>
  <c r="K1083" i="3"/>
  <c r="J1083" i="3"/>
  <c r="I1083" i="3"/>
  <c r="H1083" i="3"/>
  <c r="G1083" i="3"/>
  <c r="F1083" i="3"/>
  <c r="E1083" i="3"/>
  <c r="D1083" i="3"/>
  <c r="C1083" i="3"/>
  <c r="M1082" i="3"/>
  <c r="K1082" i="3"/>
  <c r="J1082" i="3"/>
  <c r="I1082" i="3"/>
  <c r="H1082" i="3"/>
  <c r="F1082" i="3"/>
  <c r="E1082" i="3"/>
  <c r="D1082" i="3"/>
  <c r="C1082" i="3"/>
  <c r="N1081" i="3"/>
  <c r="L1081" i="3"/>
  <c r="K1081" i="3"/>
  <c r="J1081" i="3"/>
  <c r="I1081" i="3"/>
  <c r="H1081" i="3"/>
  <c r="G1081" i="3"/>
  <c r="F1081" i="3"/>
  <c r="E1081" i="3"/>
  <c r="D1081" i="3"/>
  <c r="C1081" i="3"/>
  <c r="N1080" i="3"/>
  <c r="M1080" i="3"/>
  <c r="L1080" i="3"/>
  <c r="K1080" i="3"/>
  <c r="J1080" i="3"/>
  <c r="I1080" i="3"/>
  <c r="H1080" i="3"/>
  <c r="G1080" i="3"/>
  <c r="F1080" i="3"/>
  <c r="E1080" i="3"/>
  <c r="D1080" i="3"/>
  <c r="C1080" i="3"/>
  <c r="M1079" i="3"/>
  <c r="L1079" i="3"/>
  <c r="K1079" i="3"/>
  <c r="J1079" i="3"/>
  <c r="I1079" i="3"/>
  <c r="H1079" i="3"/>
  <c r="G1079" i="3"/>
  <c r="F1079" i="3"/>
  <c r="E1079" i="3"/>
  <c r="D1079" i="3"/>
  <c r="C1079" i="3"/>
  <c r="N1078" i="3"/>
  <c r="L1078" i="3"/>
  <c r="K1078" i="3"/>
  <c r="J1078" i="3"/>
  <c r="I1078" i="3"/>
  <c r="H1078" i="3"/>
  <c r="G1078" i="3"/>
  <c r="F1078" i="3"/>
  <c r="E1078" i="3"/>
  <c r="D1078" i="3"/>
  <c r="C1078" i="3"/>
  <c r="M1077" i="3"/>
  <c r="L1077" i="3"/>
  <c r="K1077" i="3"/>
  <c r="J1077" i="3"/>
  <c r="I1077" i="3"/>
  <c r="H1077" i="3"/>
  <c r="G1077" i="3"/>
  <c r="F1077" i="3"/>
  <c r="E1077" i="3"/>
  <c r="D1077" i="3"/>
  <c r="C1077" i="3"/>
  <c r="M1076" i="3"/>
  <c r="L1076" i="3"/>
  <c r="K1076" i="3"/>
  <c r="J1076" i="3"/>
  <c r="I1076" i="3"/>
  <c r="H1076" i="3"/>
  <c r="G1076" i="3"/>
  <c r="F1076" i="3"/>
  <c r="E1076" i="3"/>
  <c r="D1076" i="3"/>
  <c r="C1076" i="3"/>
  <c r="M1075" i="3"/>
  <c r="L1075" i="3"/>
  <c r="K1075" i="3"/>
  <c r="J1075" i="3"/>
  <c r="I1075" i="3"/>
  <c r="H1075" i="3"/>
  <c r="G1075" i="3"/>
  <c r="F1075" i="3"/>
  <c r="E1075" i="3"/>
  <c r="D1075" i="3"/>
  <c r="C1075" i="3"/>
  <c r="N1074" i="3"/>
  <c r="L1074" i="3"/>
  <c r="K1074" i="3"/>
  <c r="J1074" i="3"/>
  <c r="I1074" i="3"/>
  <c r="H1074" i="3"/>
  <c r="G1074" i="3"/>
  <c r="F1074" i="3"/>
  <c r="E1074" i="3"/>
  <c r="D1074" i="3"/>
  <c r="C1074" i="3"/>
  <c r="N1073" i="3"/>
  <c r="L1073" i="3"/>
  <c r="K1073" i="3"/>
  <c r="J1073" i="3"/>
  <c r="I1073" i="3"/>
  <c r="H1073" i="3"/>
  <c r="G1073" i="3"/>
  <c r="F1073" i="3"/>
  <c r="E1073" i="3"/>
  <c r="D1073" i="3"/>
  <c r="C1073" i="3"/>
  <c r="L1072" i="3"/>
  <c r="K1072" i="3"/>
  <c r="J1072" i="3"/>
  <c r="I1072" i="3"/>
  <c r="H1072" i="3"/>
  <c r="G1072" i="3"/>
  <c r="F1072" i="3"/>
  <c r="E1072" i="3"/>
  <c r="D1072" i="3"/>
  <c r="C1072" i="3"/>
  <c r="N1071" i="3"/>
  <c r="L1071" i="3"/>
  <c r="K1071" i="3"/>
  <c r="J1071" i="3"/>
  <c r="I1071" i="3"/>
  <c r="H1071" i="3"/>
  <c r="G1071" i="3"/>
  <c r="F1071" i="3"/>
  <c r="E1071" i="3"/>
  <c r="D1071" i="3"/>
  <c r="C1071" i="3"/>
  <c r="N1070" i="3"/>
  <c r="M1070" i="3"/>
  <c r="L1070" i="3"/>
  <c r="K1070" i="3"/>
  <c r="J1070" i="3"/>
  <c r="I1070" i="3"/>
  <c r="H1070" i="3"/>
  <c r="G1070" i="3"/>
  <c r="F1070" i="3"/>
  <c r="E1070" i="3"/>
  <c r="D1070" i="3"/>
  <c r="C1070" i="3"/>
  <c r="M1069" i="3"/>
  <c r="L1069" i="3"/>
  <c r="K1069" i="3"/>
  <c r="J1069" i="3"/>
  <c r="I1069" i="3"/>
  <c r="H1069" i="3"/>
  <c r="G1069" i="3"/>
  <c r="F1069" i="3"/>
  <c r="E1069" i="3"/>
  <c r="D1069" i="3"/>
  <c r="C1069" i="3"/>
  <c r="N1068" i="3"/>
  <c r="M1068" i="3"/>
  <c r="L1068" i="3"/>
  <c r="K1068" i="3"/>
  <c r="J1068" i="3"/>
  <c r="I1068" i="3"/>
  <c r="H1068" i="3"/>
  <c r="G1068" i="3"/>
  <c r="F1068" i="3"/>
  <c r="E1068" i="3"/>
  <c r="D1068" i="3"/>
  <c r="C1068" i="3"/>
  <c r="N1067" i="3"/>
  <c r="L1067" i="3"/>
  <c r="K1067" i="3"/>
  <c r="J1067" i="3"/>
  <c r="I1067" i="3"/>
  <c r="H1067" i="3"/>
  <c r="G1067" i="3"/>
  <c r="F1067" i="3"/>
  <c r="E1067" i="3"/>
  <c r="D1067" i="3"/>
  <c r="C1067" i="3"/>
  <c r="N1066" i="3"/>
  <c r="L1066" i="3"/>
  <c r="K1066" i="3"/>
  <c r="J1066" i="3"/>
  <c r="I1066" i="3"/>
  <c r="H1066" i="3"/>
  <c r="G1066" i="3"/>
  <c r="F1066" i="3"/>
  <c r="E1066" i="3"/>
  <c r="D1066" i="3"/>
  <c r="C1066" i="3"/>
  <c r="N1065" i="3"/>
  <c r="L1065" i="3"/>
  <c r="K1065" i="3"/>
  <c r="J1065" i="3"/>
  <c r="I1065" i="3"/>
  <c r="H1065" i="3"/>
  <c r="G1065" i="3"/>
  <c r="F1065" i="3"/>
  <c r="E1065" i="3"/>
  <c r="D1065" i="3"/>
  <c r="C1065" i="3"/>
  <c r="N1064" i="3"/>
  <c r="L1064" i="3"/>
  <c r="K1064" i="3"/>
  <c r="J1064" i="3"/>
  <c r="I1064" i="3"/>
  <c r="H1064" i="3"/>
  <c r="G1064" i="3"/>
  <c r="F1064" i="3"/>
  <c r="E1064" i="3"/>
  <c r="D1064" i="3"/>
  <c r="C1064" i="3"/>
  <c r="N1063" i="3"/>
  <c r="L1063" i="3"/>
  <c r="K1063" i="3"/>
  <c r="J1063" i="3"/>
  <c r="I1063" i="3"/>
  <c r="H1063" i="3"/>
  <c r="G1063" i="3"/>
  <c r="F1063" i="3"/>
  <c r="E1063" i="3"/>
  <c r="D1063" i="3"/>
  <c r="C1063" i="3"/>
  <c r="N1062" i="3"/>
  <c r="L1062" i="3"/>
  <c r="K1062" i="3"/>
  <c r="J1062" i="3"/>
  <c r="I1062" i="3"/>
  <c r="H1062" i="3"/>
  <c r="G1062" i="3"/>
  <c r="F1062" i="3"/>
  <c r="E1062" i="3"/>
  <c r="D1062" i="3"/>
  <c r="C1062" i="3"/>
  <c r="M1061" i="3"/>
  <c r="L1061" i="3"/>
  <c r="K1061" i="3"/>
  <c r="J1061" i="3"/>
  <c r="I1061" i="3"/>
  <c r="H1061" i="3"/>
  <c r="G1061" i="3"/>
  <c r="F1061" i="3"/>
  <c r="E1061" i="3"/>
  <c r="D1061" i="3"/>
  <c r="C1061" i="3"/>
  <c r="M1060" i="3"/>
  <c r="K1060" i="3"/>
  <c r="J1060" i="3"/>
  <c r="I1060" i="3"/>
  <c r="H1060" i="3"/>
  <c r="F1060" i="3"/>
  <c r="E1060" i="3"/>
  <c r="D1060" i="3"/>
  <c r="C1060" i="3"/>
  <c r="M1059" i="3"/>
  <c r="L1059" i="3"/>
  <c r="K1059" i="3"/>
  <c r="J1059" i="3"/>
  <c r="I1059" i="3"/>
  <c r="H1059" i="3"/>
  <c r="G1059" i="3"/>
  <c r="F1059" i="3"/>
  <c r="E1059" i="3"/>
  <c r="D1059" i="3"/>
  <c r="C1059" i="3"/>
  <c r="M1058" i="3"/>
  <c r="K1058" i="3"/>
  <c r="J1058" i="3"/>
  <c r="I1058" i="3"/>
  <c r="H1058" i="3"/>
  <c r="F1058" i="3"/>
  <c r="E1058" i="3"/>
  <c r="D1058" i="3"/>
  <c r="C1058" i="3"/>
  <c r="M1057" i="3"/>
  <c r="L1057" i="3"/>
  <c r="K1057" i="3"/>
  <c r="J1057" i="3"/>
  <c r="I1057" i="3"/>
  <c r="H1057" i="3"/>
  <c r="G1057" i="3"/>
  <c r="F1057" i="3"/>
  <c r="E1057" i="3"/>
  <c r="D1057" i="3"/>
  <c r="C1057" i="3"/>
  <c r="M1056" i="3"/>
  <c r="L1056" i="3"/>
  <c r="K1056" i="3"/>
  <c r="J1056" i="3"/>
  <c r="I1056" i="3"/>
  <c r="H1056" i="3"/>
  <c r="G1056" i="3"/>
  <c r="F1056" i="3"/>
  <c r="E1056" i="3"/>
  <c r="D1056" i="3"/>
  <c r="C1056" i="3"/>
  <c r="N1055" i="3"/>
  <c r="M1055" i="3"/>
  <c r="K1055" i="3"/>
  <c r="J1055" i="3"/>
  <c r="I1055" i="3"/>
  <c r="H1055" i="3"/>
  <c r="F1055" i="3"/>
  <c r="E1055" i="3"/>
  <c r="D1055" i="3"/>
  <c r="C1055" i="3"/>
  <c r="M1054" i="3"/>
  <c r="L1054" i="3"/>
  <c r="K1054" i="3"/>
  <c r="J1054" i="3"/>
  <c r="I1054" i="3"/>
  <c r="H1054" i="3"/>
  <c r="G1054" i="3"/>
  <c r="F1054" i="3"/>
  <c r="E1054" i="3"/>
  <c r="D1054" i="3"/>
  <c r="C1054" i="3"/>
  <c r="N1053" i="3"/>
  <c r="M1053" i="3"/>
  <c r="L1053" i="3"/>
  <c r="K1053" i="3"/>
  <c r="J1053" i="3"/>
  <c r="I1053" i="3"/>
  <c r="H1053" i="3"/>
  <c r="G1053" i="3"/>
  <c r="F1053" i="3"/>
  <c r="E1053" i="3"/>
  <c r="D1053" i="3"/>
  <c r="C1053" i="3"/>
  <c r="M1052" i="3"/>
  <c r="L1052" i="3"/>
  <c r="K1052" i="3"/>
  <c r="J1052" i="3"/>
  <c r="I1052" i="3"/>
  <c r="H1052" i="3"/>
  <c r="G1052" i="3"/>
  <c r="F1052" i="3"/>
  <c r="E1052" i="3"/>
  <c r="D1052" i="3"/>
  <c r="C1052" i="3"/>
  <c r="M1051" i="3"/>
  <c r="K1051" i="3"/>
  <c r="J1051" i="3"/>
  <c r="I1051" i="3"/>
  <c r="H1051" i="3"/>
  <c r="F1051" i="3"/>
  <c r="E1051" i="3"/>
  <c r="D1051" i="3"/>
  <c r="C1051" i="3"/>
  <c r="K1050" i="3"/>
  <c r="J1050" i="3"/>
  <c r="I1050" i="3"/>
  <c r="H1050" i="3"/>
  <c r="F1050" i="3"/>
  <c r="E1050" i="3"/>
  <c r="D1050" i="3"/>
  <c r="C1050" i="3"/>
  <c r="N1049" i="3"/>
  <c r="K1049" i="3"/>
  <c r="J1049" i="3"/>
  <c r="I1049" i="3"/>
  <c r="H1049" i="3"/>
  <c r="F1049" i="3"/>
  <c r="E1049" i="3"/>
  <c r="D1049" i="3"/>
  <c r="C1049" i="3"/>
  <c r="M1048" i="3"/>
  <c r="L1048" i="3"/>
  <c r="K1048" i="3"/>
  <c r="J1048" i="3"/>
  <c r="I1048" i="3"/>
  <c r="H1048" i="3"/>
  <c r="G1048" i="3"/>
  <c r="F1048" i="3"/>
  <c r="E1048" i="3"/>
  <c r="D1048" i="3"/>
  <c r="C1048" i="3"/>
  <c r="N1047" i="3"/>
  <c r="M1047" i="3"/>
  <c r="K1047" i="3"/>
  <c r="J1047" i="3"/>
  <c r="I1047" i="3"/>
  <c r="H1047" i="3"/>
  <c r="F1047" i="3"/>
  <c r="E1047" i="3"/>
  <c r="D1047" i="3"/>
  <c r="C1047" i="3"/>
  <c r="M1046" i="3"/>
  <c r="L1046" i="3"/>
  <c r="K1046" i="3"/>
  <c r="J1046" i="3"/>
  <c r="I1046" i="3"/>
  <c r="H1046" i="3"/>
  <c r="G1046" i="3"/>
  <c r="F1046" i="3"/>
  <c r="E1046" i="3"/>
  <c r="D1046" i="3"/>
  <c r="C1046" i="3"/>
  <c r="M1045" i="3"/>
  <c r="L1045" i="3"/>
  <c r="K1045" i="3"/>
  <c r="J1045" i="3"/>
  <c r="I1045" i="3"/>
  <c r="H1045" i="3"/>
  <c r="G1045" i="3"/>
  <c r="F1045" i="3"/>
  <c r="E1045" i="3"/>
  <c r="D1045" i="3"/>
  <c r="C1045" i="3"/>
  <c r="M1044" i="3"/>
  <c r="L1044" i="3"/>
  <c r="K1044" i="3"/>
  <c r="J1044" i="3"/>
  <c r="I1044" i="3"/>
  <c r="H1044" i="3"/>
  <c r="G1044" i="3"/>
  <c r="F1044" i="3"/>
  <c r="E1044" i="3"/>
  <c r="D1044" i="3"/>
  <c r="C1044" i="3"/>
  <c r="N1043" i="3"/>
  <c r="K1043" i="3"/>
  <c r="J1043" i="3"/>
  <c r="I1043" i="3"/>
  <c r="H1043" i="3"/>
  <c r="F1043" i="3"/>
  <c r="E1043" i="3"/>
  <c r="D1043" i="3"/>
  <c r="C1043" i="3"/>
  <c r="M1042" i="3"/>
  <c r="L1042" i="3"/>
  <c r="K1042" i="3"/>
  <c r="J1042" i="3"/>
  <c r="I1042" i="3"/>
  <c r="H1042" i="3"/>
  <c r="G1042" i="3"/>
  <c r="F1042" i="3"/>
  <c r="E1042" i="3"/>
  <c r="D1042" i="3"/>
  <c r="C1042" i="3"/>
  <c r="M1041" i="3"/>
  <c r="K1041" i="3"/>
  <c r="J1041" i="3"/>
  <c r="I1041" i="3"/>
  <c r="H1041" i="3"/>
  <c r="F1041" i="3"/>
  <c r="E1041" i="3"/>
  <c r="D1041" i="3"/>
  <c r="C1041" i="3"/>
  <c r="N1040" i="3"/>
  <c r="L1040" i="3"/>
  <c r="K1040" i="3"/>
  <c r="J1040" i="3"/>
  <c r="I1040" i="3"/>
  <c r="H1040" i="3"/>
  <c r="G1040" i="3"/>
  <c r="F1040" i="3"/>
  <c r="E1040" i="3"/>
  <c r="D1040" i="3"/>
  <c r="C1040" i="3"/>
  <c r="N1039" i="3"/>
  <c r="M1039" i="3"/>
  <c r="L1039" i="3"/>
  <c r="K1039" i="3"/>
  <c r="J1039" i="3"/>
  <c r="I1039" i="3"/>
  <c r="H1039" i="3"/>
  <c r="G1039" i="3"/>
  <c r="F1039" i="3"/>
  <c r="E1039" i="3"/>
  <c r="D1039" i="3"/>
  <c r="C1039" i="3"/>
  <c r="M1038" i="3"/>
  <c r="L1038" i="3"/>
  <c r="K1038" i="3"/>
  <c r="J1038" i="3"/>
  <c r="I1038" i="3"/>
  <c r="H1038" i="3"/>
  <c r="G1038" i="3"/>
  <c r="F1038" i="3"/>
  <c r="E1038" i="3"/>
  <c r="D1038" i="3"/>
  <c r="C1038" i="3"/>
  <c r="N1037" i="3"/>
  <c r="M1037" i="3"/>
  <c r="L1037" i="3"/>
  <c r="K1037" i="3"/>
  <c r="J1037" i="3"/>
  <c r="I1037" i="3"/>
  <c r="H1037" i="3"/>
  <c r="G1037" i="3"/>
  <c r="F1037" i="3"/>
  <c r="E1037" i="3"/>
  <c r="D1037" i="3"/>
  <c r="C1037" i="3"/>
  <c r="N1036" i="3"/>
  <c r="L1036" i="3"/>
  <c r="K1036" i="3"/>
  <c r="J1036" i="3"/>
  <c r="I1036" i="3"/>
  <c r="H1036" i="3"/>
  <c r="G1036" i="3"/>
  <c r="F1036" i="3"/>
  <c r="E1036" i="3"/>
  <c r="D1036" i="3"/>
  <c r="C1036" i="3"/>
  <c r="M1035" i="3"/>
  <c r="L1035" i="3"/>
  <c r="K1035" i="3"/>
  <c r="J1035" i="3"/>
  <c r="I1035" i="3"/>
  <c r="H1035" i="3"/>
  <c r="G1035" i="3"/>
  <c r="F1035" i="3"/>
  <c r="E1035" i="3"/>
  <c r="D1035" i="3"/>
  <c r="C1035" i="3"/>
  <c r="M1034" i="3"/>
  <c r="L1034" i="3"/>
  <c r="K1034" i="3"/>
  <c r="J1034" i="3"/>
  <c r="I1034" i="3"/>
  <c r="H1034" i="3"/>
  <c r="G1034" i="3"/>
  <c r="F1034" i="3"/>
  <c r="E1034" i="3"/>
  <c r="D1034" i="3"/>
  <c r="C1034" i="3"/>
  <c r="N1033" i="3"/>
  <c r="M1033" i="3"/>
  <c r="L1033" i="3"/>
  <c r="K1033" i="3"/>
  <c r="J1033" i="3"/>
  <c r="I1033" i="3"/>
  <c r="H1033" i="3"/>
  <c r="G1033" i="3"/>
  <c r="F1033" i="3"/>
  <c r="E1033" i="3"/>
  <c r="D1033" i="3"/>
  <c r="C1033" i="3"/>
  <c r="M1032" i="3"/>
  <c r="L1032" i="3"/>
  <c r="K1032" i="3"/>
  <c r="J1032" i="3"/>
  <c r="I1032" i="3"/>
  <c r="H1032" i="3"/>
  <c r="G1032" i="3"/>
  <c r="F1032" i="3"/>
  <c r="E1032" i="3"/>
  <c r="D1032" i="3"/>
  <c r="C1032" i="3"/>
  <c r="N1031" i="3"/>
  <c r="L1031" i="3"/>
  <c r="K1031" i="3"/>
  <c r="J1031" i="3"/>
  <c r="I1031" i="3"/>
  <c r="H1031" i="3"/>
  <c r="G1031" i="3"/>
  <c r="F1031" i="3"/>
  <c r="E1031" i="3"/>
  <c r="D1031" i="3"/>
  <c r="C1031" i="3"/>
  <c r="M1030" i="3"/>
  <c r="L1030" i="3"/>
  <c r="K1030" i="3"/>
  <c r="J1030" i="3"/>
  <c r="I1030" i="3"/>
  <c r="H1030" i="3"/>
  <c r="G1030" i="3"/>
  <c r="F1030" i="3"/>
  <c r="E1030" i="3"/>
  <c r="D1030" i="3"/>
  <c r="C1030" i="3"/>
  <c r="N1029" i="3"/>
  <c r="L1029" i="3"/>
  <c r="K1029" i="3"/>
  <c r="J1029" i="3"/>
  <c r="I1029" i="3"/>
  <c r="H1029" i="3"/>
  <c r="G1029" i="3"/>
  <c r="F1029" i="3"/>
  <c r="E1029" i="3"/>
  <c r="D1029" i="3"/>
  <c r="C1029" i="3"/>
  <c r="N1028" i="3"/>
  <c r="L1028" i="3"/>
  <c r="K1028" i="3"/>
  <c r="J1028" i="3"/>
  <c r="I1028" i="3"/>
  <c r="H1028" i="3"/>
  <c r="G1028" i="3"/>
  <c r="F1028" i="3"/>
  <c r="E1028" i="3"/>
  <c r="D1028" i="3"/>
  <c r="C1028" i="3"/>
  <c r="M1027" i="3"/>
  <c r="L1027" i="3"/>
  <c r="K1027" i="3"/>
  <c r="J1027" i="3"/>
  <c r="I1027" i="3"/>
  <c r="H1027" i="3"/>
  <c r="G1027" i="3"/>
  <c r="F1027" i="3"/>
  <c r="E1027" i="3"/>
  <c r="D1027" i="3"/>
  <c r="C1027" i="3"/>
  <c r="N1026" i="3"/>
  <c r="L1026" i="3"/>
  <c r="K1026" i="3"/>
  <c r="J1026" i="3"/>
  <c r="I1026" i="3"/>
  <c r="H1026" i="3"/>
  <c r="G1026" i="3"/>
  <c r="F1026" i="3"/>
  <c r="E1026" i="3"/>
  <c r="D1026" i="3"/>
  <c r="C1026" i="3"/>
  <c r="M1025" i="3"/>
  <c r="K1025" i="3"/>
  <c r="J1025" i="3"/>
  <c r="I1025" i="3"/>
  <c r="H1025" i="3"/>
  <c r="F1025" i="3"/>
  <c r="E1025" i="3"/>
  <c r="D1025" i="3"/>
  <c r="C1025" i="3"/>
  <c r="N1024" i="3"/>
  <c r="L1024" i="3"/>
  <c r="K1024" i="3"/>
  <c r="J1024" i="3"/>
  <c r="I1024" i="3"/>
  <c r="H1024" i="3"/>
  <c r="G1024" i="3"/>
  <c r="F1024" i="3"/>
  <c r="E1024" i="3"/>
  <c r="D1024" i="3"/>
  <c r="C1024" i="3"/>
  <c r="M1023" i="3"/>
  <c r="L1023" i="3"/>
  <c r="K1023" i="3"/>
  <c r="J1023" i="3"/>
  <c r="I1023" i="3"/>
  <c r="H1023" i="3"/>
  <c r="G1023" i="3"/>
  <c r="F1023" i="3"/>
  <c r="E1023" i="3"/>
  <c r="D1023" i="3"/>
  <c r="C1023" i="3"/>
  <c r="N1022" i="3"/>
  <c r="L1022" i="3"/>
  <c r="K1022" i="3"/>
  <c r="J1022" i="3"/>
  <c r="I1022" i="3"/>
  <c r="H1022" i="3"/>
  <c r="G1022" i="3"/>
  <c r="F1022" i="3"/>
  <c r="E1022" i="3"/>
  <c r="D1022" i="3"/>
  <c r="C1022" i="3"/>
  <c r="N1021" i="3"/>
  <c r="L1021" i="3"/>
  <c r="K1021" i="3"/>
  <c r="J1021" i="3"/>
  <c r="I1021" i="3"/>
  <c r="H1021" i="3"/>
  <c r="G1021" i="3"/>
  <c r="F1021" i="3"/>
  <c r="E1021" i="3"/>
  <c r="D1021" i="3"/>
  <c r="C1021" i="3"/>
  <c r="N1020" i="3"/>
  <c r="L1020" i="3"/>
  <c r="K1020" i="3"/>
  <c r="J1020" i="3"/>
  <c r="I1020" i="3"/>
  <c r="H1020" i="3"/>
  <c r="G1020" i="3"/>
  <c r="F1020" i="3"/>
  <c r="E1020" i="3"/>
  <c r="D1020" i="3"/>
  <c r="C1020" i="3"/>
  <c r="M1019" i="3"/>
  <c r="L1019" i="3"/>
  <c r="K1019" i="3"/>
  <c r="J1019" i="3"/>
  <c r="I1019" i="3"/>
  <c r="H1019" i="3"/>
  <c r="G1019" i="3"/>
  <c r="F1019" i="3"/>
  <c r="E1019" i="3"/>
  <c r="D1019" i="3"/>
  <c r="C1019" i="3"/>
  <c r="M1018" i="3"/>
  <c r="L1018" i="3"/>
  <c r="K1018" i="3"/>
  <c r="J1018" i="3"/>
  <c r="I1018" i="3"/>
  <c r="H1018" i="3"/>
  <c r="G1018" i="3"/>
  <c r="F1018" i="3"/>
  <c r="E1018" i="3"/>
  <c r="D1018" i="3"/>
  <c r="C1018" i="3"/>
  <c r="N1017" i="3"/>
  <c r="M1017" i="3"/>
  <c r="L1017" i="3"/>
  <c r="K1017" i="3"/>
  <c r="J1017" i="3"/>
  <c r="I1017" i="3"/>
  <c r="H1017" i="3"/>
  <c r="G1017" i="3"/>
  <c r="F1017" i="3"/>
  <c r="E1017" i="3"/>
  <c r="D1017" i="3"/>
  <c r="C1017" i="3"/>
  <c r="N1016" i="3"/>
  <c r="M1016" i="3"/>
  <c r="L1016" i="3"/>
  <c r="K1016" i="3"/>
  <c r="J1016" i="3"/>
  <c r="I1016" i="3"/>
  <c r="H1016" i="3"/>
  <c r="G1016" i="3"/>
  <c r="F1016" i="3"/>
  <c r="E1016" i="3"/>
  <c r="D1016" i="3"/>
  <c r="C1016" i="3"/>
  <c r="M1015" i="3"/>
  <c r="L1015" i="3"/>
  <c r="K1015" i="3"/>
  <c r="J1015" i="3"/>
  <c r="I1015" i="3"/>
  <c r="H1015" i="3"/>
  <c r="G1015" i="3"/>
  <c r="F1015" i="3"/>
  <c r="E1015" i="3"/>
  <c r="D1015" i="3"/>
  <c r="C1015" i="3"/>
  <c r="N1014" i="3"/>
  <c r="L1014" i="3"/>
  <c r="K1014" i="3"/>
  <c r="J1014" i="3"/>
  <c r="I1014" i="3"/>
  <c r="H1014" i="3"/>
  <c r="G1014" i="3"/>
  <c r="F1014" i="3"/>
  <c r="E1014" i="3"/>
  <c r="D1014" i="3"/>
  <c r="C1014" i="3"/>
  <c r="N1013" i="3"/>
  <c r="L1013" i="3"/>
  <c r="K1013" i="3"/>
  <c r="J1013" i="3"/>
  <c r="I1013" i="3"/>
  <c r="H1013" i="3"/>
  <c r="G1013" i="3"/>
  <c r="F1013" i="3"/>
  <c r="E1013" i="3"/>
  <c r="D1013" i="3"/>
  <c r="C1013" i="3"/>
  <c r="N1012" i="3"/>
  <c r="L1012" i="3"/>
  <c r="K1012" i="3"/>
  <c r="J1012" i="3"/>
  <c r="I1012" i="3"/>
  <c r="H1012" i="3"/>
  <c r="G1012" i="3"/>
  <c r="F1012" i="3"/>
  <c r="E1012" i="3"/>
  <c r="D1012" i="3"/>
  <c r="C1012" i="3"/>
  <c r="N1011" i="3"/>
  <c r="L1011" i="3"/>
  <c r="K1011" i="3"/>
  <c r="J1011" i="3"/>
  <c r="I1011" i="3"/>
  <c r="H1011" i="3"/>
  <c r="G1011" i="3"/>
  <c r="F1011" i="3"/>
  <c r="E1011" i="3"/>
  <c r="D1011" i="3"/>
  <c r="C1011" i="3"/>
  <c r="M1010" i="3"/>
  <c r="L1010" i="3"/>
  <c r="K1010" i="3"/>
  <c r="J1010" i="3"/>
  <c r="I1010" i="3"/>
  <c r="H1010" i="3"/>
  <c r="G1010" i="3"/>
  <c r="F1010" i="3"/>
  <c r="E1010" i="3"/>
  <c r="D1010" i="3"/>
  <c r="C1010" i="3"/>
  <c r="M1009" i="3"/>
  <c r="L1009" i="3"/>
  <c r="K1009" i="3"/>
  <c r="J1009" i="3"/>
  <c r="I1009" i="3"/>
  <c r="H1009" i="3"/>
  <c r="G1009" i="3"/>
  <c r="F1009" i="3"/>
  <c r="E1009" i="3"/>
  <c r="D1009" i="3"/>
  <c r="C1009" i="3"/>
  <c r="M1008" i="3"/>
  <c r="L1008" i="3"/>
  <c r="K1008" i="3"/>
  <c r="J1008" i="3"/>
  <c r="I1008" i="3"/>
  <c r="H1008" i="3"/>
  <c r="G1008" i="3"/>
  <c r="F1008" i="3"/>
  <c r="E1008" i="3"/>
  <c r="D1008" i="3"/>
  <c r="C1008" i="3"/>
  <c r="N1007" i="3"/>
  <c r="M1007" i="3"/>
  <c r="L1007" i="3"/>
  <c r="K1007" i="3"/>
  <c r="J1007" i="3"/>
  <c r="I1007" i="3"/>
  <c r="H1007" i="3"/>
  <c r="G1007" i="3"/>
  <c r="F1007" i="3"/>
  <c r="E1007" i="3"/>
  <c r="D1007" i="3"/>
  <c r="C1007" i="3"/>
  <c r="M1006" i="3"/>
  <c r="L1006" i="3"/>
  <c r="K1006" i="3"/>
  <c r="J1006" i="3"/>
  <c r="I1006" i="3"/>
  <c r="H1006" i="3"/>
  <c r="G1006" i="3"/>
  <c r="F1006" i="3"/>
  <c r="E1006" i="3"/>
  <c r="D1006" i="3"/>
  <c r="C1006" i="3"/>
  <c r="N1005" i="3"/>
  <c r="K1005" i="3"/>
  <c r="J1005" i="3"/>
  <c r="I1005" i="3"/>
  <c r="H1005" i="3"/>
  <c r="F1005" i="3"/>
  <c r="E1005" i="3"/>
  <c r="D1005" i="3"/>
  <c r="C1005" i="3"/>
  <c r="N1004" i="3"/>
  <c r="L1004" i="3"/>
  <c r="K1004" i="3"/>
  <c r="J1004" i="3"/>
  <c r="I1004" i="3"/>
  <c r="H1004" i="3"/>
  <c r="G1004" i="3"/>
  <c r="F1004" i="3"/>
  <c r="E1004" i="3"/>
  <c r="D1004" i="3"/>
  <c r="C1004" i="3"/>
  <c r="M1003" i="3"/>
  <c r="L1003" i="3"/>
  <c r="K1003" i="3"/>
  <c r="J1003" i="3"/>
  <c r="I1003" i="3"/>
  <c r="H1003" i="3"/>
  <c r="G1003" i="3"/>
  <c r="F1003" i="3"/>
  <c r="E1003" i="3"/>
  <c r="D1003" i="3"/>
  <c r="C1003" i="3"/>
  <c r="N1002" i="3"/>
  <c r="L1002" i="3"/>
  <c r="K1002" i="3"/>
  <c r="J1002" i="3"/>
  <c r="I1002" i="3"/>
  <c r="H1002" i="3"/>
  <c r="G1002" i="3"/>
  <c r="F1002" i="3"/>
  <c r="E1002" i="3"/>
  <c r="D1002" i="3"/>
  <c r="C1002" i="3"/>
  <c r="M1001" i="3"/>
  <c r="L1001" i="3"/>
  <c r="K1001" i="3"/>
  <c r="J1001" i="3"/>
  <c r="I1001" i="3"/>
  <c r="H1001" i="3"/>
  <c r="G1001" i="3"/>
  <c r="F1001" i="3"/>
  <c r="E1001" i="3"/>
  <c r="D1001" i="3"/>
  <c r="C1001" i="3"/>
  <c r="N1000" i="3"/>
  <c r="L1000" i="3"/>
  <c r="K1000" i="3"/>
  <c r="J1000" i="3"/>
  <c r="I1000" i="3"/>
  <c r="H1000" i="3"/>
  <c r="G1000" i="3"/>
  <c r="F1000" i="3"/>
  <c r="E1000" i="3"/>
  <c r="D1000" i="3"/>
  <c r="C1000" i="3"/>
  <c r="N999" i="3"/>
  <c r="L999" i="3"/>
  <c r="K999" i="3"/>
  <c r="J999" i="3"/>
  <c r="I999" i="3"/>
  <c r="H999" i="3"/>
  <c r="G999" i="3"/>
  <c r="F999" i="3"/>
  <c r="E999" i="3"/>
  <c r="D999" i="3"/>
  <c r="C999" i="3"/>
  <c r="N998" i="3"/>
  <c r="L998" i="3"/>
  <c r="K998" i="3"/>
  <c r="J998" i="3"/>
  <c r="I998" i="3"/>
  <c r="H998" i="3"/>
  <c r="G998" i="3"/>
  <c r="F998" i="3"/>
  <c r="E998" i="3"/>
  <c r="D998" i="3"/>
  <c r="C998" i="3"/>
  <c r="N997" i="3"/>
  <c r="L997" i="3"/>
  <c r="K997" i="3"/>
  <c r="J997" i="3"/>
  <c r="I997" i="3"/>
  <c r="H997" i="3"/>
  <c r="G997" i="3"/>
  <c r="F997" i="3"/>
  <c r="E997" i="3"/>
  <c r="D997" i="3"/>
  <c r="C997" i="3"/>
  <c r="K996" i="3"/>
  <c r="J996" i="3"/>
  <c r="I996" i="3"/>
  <c r="H996" i="3"/>
  <c r="F996" i="3"/>
  <c r="E996" i="3"/>
  <c r="D996" i="3"/>
  <c r="C996" i="3"/>
  <c r="N995" i="3"/>
  <c r="L995" i="3"/>
  <c r="K995" i="3"/>
  <c r="J995" i="3"/>
  <c r="I995" i="3"/>
  <c r="H995" i="3"/>
  <c r="G995" i="3"/>
  <c r="F995" i="3"/>
  <c r="E995" i="3"/>
  <c r="D995" i="3"/>
  <c r="C995" i="3"/>
  <c r="M994" i="3"/>
  <c r="K994" i="3"/>
  <c r="J994" i="3"/>
  <c r="I994" i="3"/>
  <c r="H994" i="3"/>
  <c r="F994" i="3"/>
  <c r="E994" i="3"/>
  <c r="D994" i="3"/>
  <c r="C994" i="3"/>
  <c r="N993" i="3"/>
  <c r="L993" i="3"/>
  <c r="K993" i="3"/>
  <c r="J993" i="3"/>
  <c r="I993" i="3"/>
  <c r="H993" i="3"/>
  <c r="G993" i="3"/>
  <c r="F993" i="3"/>
  <c r="E993" i="3"/>
  <c r="D993" i="3"/>
  <c r="C993" i="3"/>
  <c r="N992" i="3"/>
  <c r="L992" i="3"/>
  <c r="K992" i="3"/>
  <c r="J992" i="3"/>
  <c r="I992" i="3"/>
  <c r="H992" i="3"/>
  <c r="G992" i="3"/>
  <c r="F992" i="3"/>
  <c r="E992" i="3"/>
  <c r="D992" i="3"/>
  <c r="C992" i="3"/>
  <c r="N991" i="3"/>
  <c r="K991" i="3"/>
  <c r="J991" i="3"/>
  <c r="I991" i="3"/>
  <c r="H991" i="3"/>
  <c r="F991" i="3"/>
  <c r="E991" i="3"/>
  <c r="D991" i="3"/>
  <c r="C991" i="3"/>
  <c r="N990" i="3"/>
  <c r="L990" i="3"/>
  <c r="K990" i="3"/>
  <c r="J990" i="3"/>
  <c r="I990" i="3"/>
  <c r="H990" i="3"/>
  <c r="G990" i="3"/>
  <c r="F990" i="3"/>
  <c r="E990" i="3"/>
  <c r="D990" i="3"/>
  <c r="C990" i="3"/>
  <c r="N989" i="3"/>
  <c r="L989" i="3"/>
  <c r="K989" i="3"/>
  <c r="J989" i="3"/>
  <c r="I989" i="3"/>
  <c r="H989" i="3"/>
  <c r="G989" i="3"/>
  <c r="F989" i="3"/>
  <c r="E989" i="3"/>
  <c r="D989" i="3"/>
  <c r="C989" i="3"/>
  <c r="N988" i="3"/>
  <c r="L988" i="3"/>
  <c r="K988" i="3"/>
  <c r="J988" i="3"/>
  <c r="I988" i="3"/>
  <c r="H988" i="3"/>
  <c r="G988" i="3"/>
  <c r="F988" i="3"/>
  <c r="E988" i="3"/>
  <c r="D988" i="3"/>
  <c r="C988" i="3"/>
  <c r="M987" i="3"/>
  <c r="L987" i="3"/>
  <c r="K987" i="3"/>
  <c r="J987" i="3"/>
  <c r="I987" i="3"/>
  <c r="H987" i="3"/>
  <c r="G987" i="3"/>
  <c r="F987" i="3"/>
  <c r="E987" i="3"/>
  <c r="D987" i="3"/>
  <c r="C987" i="3"/>
  <c r="M986" i="3"/>
  <c r="L986" i="3"/>
  <c r="K986" i="3"/>
  <c r="J986" i="3"/>
  <c r="I986" i="3"/>
  <c r="H986" i="3"/>
  <c r="G986" i="3"/>
  <c r="F986" i="3"/>
  <c r="E986" i="3"/>
  <c r="D986" i="3"/>
  <c r="C986" i="3"/>
  <c r="M985" i="3"/>
  <c r="K985" i="3"/>
  <c r="J985" i="3"/>
  <c r="I985" i="3"/>
  <c r="H985" i="3"/>
  <c r="F985" i="3"/>
  <c r="E985" i="3"/>
  <c r="D985" i="3"/>
  <c r="C985" i="3"/>
  <c r="N984" i="3"/>
  <c r="L984" i="3"/>
  <c r="K984" i="3"/>
  <c r="J984" i="3"/>
  <c r="I984" i="3"/>
  <c r="H984" i="3"/>
  <c r="G984" i="3"/>
  <c r="F984" i="3"/>
  <c r="E984" i="3"/>
  <c r="D984" i="3"/>
  <c r="C984" i="3"/>
  <c r="M983" i="3"/>
  <c r="K983" i="3"/>
  <c r="J983" i="3"/>
  <c r="I983" i="3"/>
  <c r="H983" i="3"/>
  <c r="F983" i="3"/>
  <c r="E983" i="3"/>
  <c r="D983" i="3"/>
  <c r="C983" i="3"/>
  <c r="N982" i="3"/>
  <c r="K982" i="3"/>
  <c r="J982" i="3"/>
  <c r="I982" i="3"/>
  <c r="H982" i="3"/>
  <c r="F982" i="3"/>
  <c r="E982" i="3"/>
  <c r="D982" i="3"/>
  <c r="C982" i="3"/>
  <c r="M981" i="3"/>
  <c r="L981" i="3"/>
  <c r="K981" i="3"/>
  <c r="J981" i="3"/>
  <c r="I981" i="3"/>
  <c r="H981" i="3"/>
  <c r="G981" i="3"/>
  <c r="F981" i="3"/>
  <c r="E981" i="3"/>
  <c r="D981" i="3"/>
  <c r="C981" i="3"/>
  <c r="M980" i="3"/>
  <c r="L980" i="3"/>
  <c r="K980" i="3"/>
  <c r="J980" i="3"/>
  <c r="I980" i="3"/>
  <c r="H980" i="3"/>
  <c r="G980" i="3"/>
  <c r="F980" i="3"/>
  <c r="E980" i="3"/>
  <c r="D980" i="3"/>
  <c r="C980" i="3"/>
  <c r="N979" i="3"/>
  <c r="L979" i="3"/>
  <c r="K979" i="3"/>
  <c r="J979" i="3"/>
  <c r="I979" i="3"/>
  <c r="H979" i="3"/>
  <c r="G979" i="3"/>
  <c r="F979" i="3"/>
  <c r="E979" i="3"/>
  <c r="D979" i="3"/>
  <c r="C979" i="3"/>
  <c r="N978" i="3"/>
  <c r="L978" i="3"/>
  <c r="K978" i="3"/>
  <c r="J978" i="3"/>
  <c r="I978" i="3"/>
  <c r="H978" i="3"/>
  <c r="G978" i="3"/>
  <c r="F978" i="3"/>
  <c r="E978" i="3"/>
  <c r="D978" i="3"/>
  <c r="C978" i="3"/>
  <c r="M977" i="3"/>
  <c r="L977" i="3"/>
  <c r="K977" i="3"/>
  <c r="J977" i="3"/>
  <c r="I977" i="3"/>
  <c r="H977" i="3"/>
  <c r="G977" i="3"/>
  <c r="F977" i="3"/>
  <c r="E977" i="3"/>
  <c r="D977" i="3"/>
  <c r="C977" i="3"/>
  <c r="N976" i="3"/>
  <c r="L976" i="3"/>
  <c r="K976" i="3"/>
  <c r="J976" i="3"/>
  <c r="I976" i="3"/>
  <c r="H976" i="3"/>
  <c r="G976" i="3"/>
  <c r="F976" i="3"/>
  <c r="E976" i="3"/>
  <c r="D976" i="3"/>
  <c r="C976" i="3"/>
  <c r="N975" i="3"/>
  <c r="M975" i="3"/>
  <c r="L975" i="3"/>
  <c r="K975" i="3"/>
  <c r="J975" i="3"/>
  <c r="I975" i="3"/>
  <c r="H975" i="3"/>
  <c r="G975" i="3"/>
  <c r="F975" i="3"/>
  <c r="E975" i="3"/>
  <c r="D975" i="3"/>
  <c r="C975" i="3"/>
  <c r="N974" i="3"/>
  <c r="K974" i="3"/>
  <c r="J974" i="3"/>
  <c r="I974" i="3"/>
  <c r="H974" i="3"/>
  <c r="F974" i="3"/>
  <c r="E974" i="3"/>
  <c r="D974" i="3"/>
  <c r="C974" i="3"/>
  <c r="N973" i="3"/>
  <c r="L973" i="3"/>
  <c r="K973" i="3"/>
  <c r="J973" i="3"/>
  <c r="I973" i="3"/>
  <c r="H973" i="3"/>
  <c r="G973" i="3"/>
  <c r="F973" i="3"/>
  <c r="E973" i="3"/>
  <c r="D973" i="3"/>
  <c r="C973" i="3"/>
  <c r="N972" i="3"/>
  <c r="L972" i="3"/>
  <c r="K972" i="3"/>
  <c r="J972" i="3"/>
  <c r="I972" i="3"/>
  <c r="H972" i="3"/>
  <c r="G972" i="3"/>
  <c r="F972" i="3"/>
  <c r="E972" i="3"/>
  <c r="D972" i="3"/>
  <c r="C972" i="3"/>
  <c r="N971" i="3"/>
  <c r="K971" i="3"/>
  <c r="J971" i="3"/>
  <c r="I971" i="3"/>
  <c r="H971" i="3"/>
  <c r="F971" i="3"/>
  <c r="E971" i="3"/>
  <c r="D971" i="3"/>
  <c r="C971" i="3"/>
  <c r="N970" i="3"/>
  <c r="M970" i="3"/>
  <c r="L970" i="3"/>
  <c r="K970" i="3"/>
  <c r="J970" i="3"/>
  <c r="I970" i="3"/>
  <c r="H970" i="3"/>
  <c r="G970" i="3"/>
  <c r="F970" i="3"/>
  <c r="E970" i="3"/>
  <c r="D970" i="3"/>
  <c r="C970" i="3"/>
  <c r="M969" i="3"/>
  <c r="L969" i="3"/>
  <c r="K969" i="3"/>
  <c r="J969" i="3"/>
  <c r="I969" i="3"/>
  <c r="H969" i="3"/>
  <c r="G969" i="3"/>
  <c r="F969" i="3"/>
  <c r="E969" i="3"/>
  <c r="D969" i="3"/>
  <c r="C969" i="3"/>
  <c r="M968" i="3"/>
  <c r="L968" i="3"/>
  <c r="K968" i="3"/>
  <c r="J968" i="3"/>
  <c r="I968" i="3"/>
  <c r="H968" i="3"/>
  <c r="G968" i="3"/>
  <c r="F968" i="3"/>
  <c r="E968" i="3"/>
  <c r="D968" i="3"/>
  <c r="C968" i="3"/>
  <c r="M967" i="3"/>
  <c r="L967" i="3"/>
  <c r="K967" i="3"/>
  <c r="J967" i="3"/>
  <c r="I967" i="3"/>
  <c r="H967" i="3"/>
  <c r="G967" i="3"/>
  <c r="F967" i="3"/>
  <c r="E967" i="3"/>
  <c r="D967" i="3"/>
  <c r="C967" i="3"/>
  <c r="M966" i="3"/>
  <c r="L966" i="3"/>
  <c r="K966" i="3"/>
  <c r="J966" i="3"/>
  <c r="I966" i="3"/>
  <c r="H966" i="3"/>
  <c r="G966" i="3"/>
  <c r="F966" i="3"/>
  <c r="E966" i="3"/>
  <c r="D966" i="3"/>
  <c r="C966" i="3"/>
  <c r="M965" i="3"/>
  <c r="L965" i="3"/>
  <c r="K965" i="3"/>
  <c r="J965" i="3"/>
  <c r="I965" i="3"/>
  <c r="H965" i="3"/>
  <c r="G965" i="3"/>
  <c r="F965" i="3"/>
  <c r="E965" i="3"/>
  <c r="D965" i="3"/>
  <c r="C965" i="3"/>
  <c r="M964" i="3"/>
  <c r="L964" i="3"/>
  <c r="K964" i="3"/>
  <c r="J964" i="3"/>
  <c r="I964" i="3"/>
  <c r="H964" i="3"/>
  <c r="G964" i="3"/>
  <c r="F964" i="3"/>
  <c r="E964" i="3"/>
  <c r="D964" i="3"/>
  <c r="C964" i="3"/>
  <c r="M963" i="3"/>
  <c r="L963" i="3"/>
  <c r="K963" i="3"/>
  <c r="J963" i="3"/>
  <c r="I963" i="3"/>
  <c r="H963" i="3"/>
  <c r="G963" i="3"/>
  <c r="F963" i="3"/>
  <c r="E963" i="3"/>
  <c r="D963" i="3"/>
  <c r="C963" i="3"/>
  <c r="N962" i="3"/>
  <c r="L962" i="3"/>
  <c r="K962" i="3"/>
  <c r="J962" i="3"/>
  <c r="I962" i="3"/>
  <c r="H962" i="3"/>
  <c r="G962" i="3"/>
  <c r="F962" i="3"/>
  <c r="E962" i="3"/>
  <c r="D962" i="3"/>
  <c r="C962" i="3"/>
  <c r="N961" i="3"/>
  <c r="L961" i="3"/>
  <c r="K961" i="3"/>
  <c r="J961" i="3"/>
  <c r="I961" i="3"/>
  <c r="H961" i="3"/>
  <c r="G961" i="3"/>
  <c r="F961" i="3"/>
  <c r="E961" i="3"/>
  <c r="D961" i="3"/>
  <c r="C961" i="3"/>
  <c r="N960" i="3"/>
  <c r="L960" i="3"/>
  <c r="K960" i="3"/>
  <c r="J960" i="3"/>
  <c r="I960" i="3"/>
  <c r="H960" i="3"/>
  <c r="G960" i="3"/>
  <c r="F960" i="3"/>
  <c r="E960" i="3"/>
  <c r="D960" i="3"/>
  <c r="C960" i="3"/>
  <c r="N959" i="3"/>
  <c r="K959" i="3"/>
  <c r="J959" i="3"/>
  <c r="I959" i="3"/>
  <c r="H959" i="3"/>
  <c r="F959" i="3"/>
  <c r="E959" i="3"/>
  <c r="D959" i="3"/>
  <c r="C959" i="3"/>
  <c r="M958" i="3"/>
  <c r="L958" i="3"/>
  <c r="K958" i="3"/>
  <c r="J958" i="3"/>
  <c r="I958" i="3"/>
  <c r="H958" i="3"/>
  <c r="G958" i="3"/>
  <c r="F958" i="3"/>
  <c r="E958" i="3"/>
  <c r="D958" i="3"/>
  <c r="C958" i="3"/>
  <c r="M957" i="3"/>
  <c r="L957" i="3"/>
  <c r="K957" i="3"/>
  <c r="J957" i="3"/>
  <c r="I957" i="3"/>
  <c r="H957" i="3"/>
  <c r="G957" i="3"/>
  <c r="F957" i="3"/>
  <c r="E957" i="3"/>
  <c r="D957" i="3"/>
  <c r="C957" i="3"/>
  <c r="M956" i="3"/>
  <c r="L956" i="3"/>
  <c r="K956" i="3"/>
  <c r="J956" i="3"/>
  <c r="I956" i="3"/>
  <c r="H956" i="3"/>
  <c r="G956" i="3"/>
  <c r="F956" i="3"/>
  <c r="E956" i="3"/>
  <c r="D956" i="3"/>
  <c r="C956" i="3"/>
  <c r="N955" i="3"/>
  <c r="M955" i="3"/>
  <c r="K955" i="3"/>
  <c r="J955" i="3"/>
  <c r="I955" i="3"/>
  <c r="H955" i="3"/>
  <c r="F955" i="3"/>
  <c r="E955" i="3"/>
  <c r="D955" i="3"/>
  <c r="C955" i="3"/>
  <c r="N954" i="3"/>
  <c r="M954" i="3"/>
  <c r="L954" i="3"/>
  <c r="K954" i="3"/>
  <c r="J954" i="3"/>
  <c r="I954" i="3"/>
  <c r="H954" i="3"/>
  <c r="G954" i="3"/>
  <c r="F954" i="3"/>
  <c r="E954" i="3"/>
  <c r="D954" i="3"/>
  <c r="C954" i="3"/>
  <c r="M953" i="3"/>
  <c r="L953" i="3"/>
  <c r="K953" i="3"/>
  <c r="J953" i="3"/>
  <c r="I953" i="3"/>
  <c r="H953" i="3"/>
  <c r="G953" i="3"/>
  <c r="F953" i="3"/>
  <c r="E953" i="3"/>
  <c r="D953" i="3"/>
  <c r="C953" i="3"/>
  <c r="N952" i="3"/>
  <c r="L952" i="3"/>
  <c r="K952" i="3"/>
  <c r="J952" i="3"/>
  <c r="I952" i="3"/>
  <c r="H952" i="3"/>
  <c r="G952" i="3"/>
  <c r="F952" i="3"/>
  <c r="E952" i="3"/>
  <c r="D952" i="3"/>
  <c r="C952" i="3"/>
  <c r="M951" i="3"/>
  <c r="L951" i="3"/>
  <c r="K951" i="3"/>
  <c r="J951" i="3"/>
  <c r="I951" i="3"/>
  <c r="H951" i="3"/>
  <c r="G951" i="3"/>
  <c r="F951" i="3"/>
  <c r="E951" i="3"/>
  <c r="D951" i="3"/>
  <c r="C951" i="3"/>
  <c r="M950" i="3"/>
  <c r="K950" i="3"/>
  <c r="J950" i="3"/>
  <c r="I950" i="3"/>
  <c r="H950" i="3"/>
  <c r="F950" i="3"/>
  <c r="E950" i="3"/>
  <c r="D950" i="3"/>
  <c r="C950" i="3"/>
  <c r="N949" i="3"/>
  <c r="M949" i="3"/>
  <c r="L949" i="3"/>
  <c r="K949" i="3"/>
  <c r="J949" i="3"/>
  <c r="I949" i="3"/>
  <c r="H949" i="3"/>
  <c r="G949" i="3"/>
  <c r="F949" i="3"/>
  <c r="E949" i="3"/>
  <c r="D949" i="3"/>
  <c r="C949" i="3"/>
  <c r="K948" i="3"/>
  <c r="J948" i="3"/>
  <c r="I948" i="3"/>
  <c r="H948" i="3"/>
  <c r="F948" i="3"/>
  <c r="E948" i="3"/>
  <c r="D948" i="3"/>
  <c r="C948" i="3"/>
  <c r="M947" i="3"/>
  <c r="L947" i="3"/>
  <c r="K947" i="3"/>
  <c r="J947" i="3"/>
  <c r="I947" i="3"/>
  <c r="H947" i="3"/>
  <c r="G947" i="3"/>
  <c r="F947" i="3"/>
  <c r="E947" i="3"/>
  <c r="D947" i="3"/>
  <c r="C947" i="3"/>
  <c r="M946" i="3"/>
  <c r="L946" i="3"/>
  <c r="K946" i="3"/>
  <c r="J946" i="3"/>
  <c r="I946" i="3"/>
  <c r="H946" i="3"/>
  <c r="G946" i="3"/>
  <c r="F946" i="3"/>
  <c r="E946" i="3"/>
  <c r="D946" i="3"/>
  <c r="C946" i="3"/>
  <c r="M945" i="3"/>
  <c r="L945" i="3"/>
  <c r="K945" i="3"/>
  <c r="J945" i="3"/>
  <c r="I945" i="3"/>
  <c r="H945" i="3"/>
  <c r="G945" i="3"/>
  <c r="F945" i="3"/>
  <c r="E945" i="3"/>
  <c r="D945" i="3"/>
  <c r="C945" i="3"/>
  <c r="M944" i="3"/>
  <c r="L944" i="3"/>
  <c r="K944" i="3"/>
  <c r="J944" i="3"/>
  <c r="I944" i="3"/>
  <c r="H944" i="3"/>
  <c r="G944" i="3"/>
  <c r="F944" i="3"/>
  <c r="E944" i="3"/>
  <c r="D944" i="3"/>
  <c r="C944" i="3"/>
  <c r="N943" i="3"/>
  <c r="M943" i="3"/>
  <c r="L943" i="3"/>
  <c r="K943" i="3"/>
  <c r="J943" i="3"/>
  <c r="I943" i="3"/>
  <c r="H943" i="3"/>
  <c r="G943" i="3"/>
  <c r="F943" i="3"/>
  <c r="E943" i="3"/>
  <c r="D943" i="3"/>
  <c r="C943" i="3"/>
  <c r="M942" i="3"/>
  <c r="L942" i="3"/>
  <c r="K942" i="3"/>
  <c r="J942" i="3"/>
  <c r="I942" i="3"/>
  <c r="H942" i="3"/>
  <c r="G942" i="3"/>
  <c r="F942" i="3"/>
  <c r="E942" i="3"/>
  <c r="D942" i="3"/>
  <c r="C942" i="3"/>
  <c r="N941" i="3"/>
  <c r="K941" i="3"/>
  <c r="J941" i="3"/>
  <c r="I941" i="3"/>
  <c r="H941" i="3"/>
  <c r="F941" i="3"/>
  <c r="E941" i="3"/>
  <c r="D941" i="3"/>
  <c r="C941" i="3"/>
  <c r="M940" i="3"/>
  <c r="L940" i="3"/>
  <c r="K940" i="3"/>
  <c r="J940" i="3"/>
  <c r="I940" i="3"/>
  <c r="H940" i="3"/>
  <c r="G940" i="3"/>
  <c r="F940" i="3"/>
  <c r="E940" i="3"/>
  <c r="D940" i="3"/>
  <c r="C940" i="3"/>
  <c r="M939" i="3"/>
  <c r="L939" i="3"/>
  <c r="K939" i="3"/>
  <c r="J939" i="3"/>
  <c r="I939" i="3"/>
  <c r="H939" i="3"/>
  <c r="G939" i="3"/>
  <c r="F939" i="3"/>
  <c r="E939" i="3"/>
  <c r="D939" i="3"/>
  <c r="C939" i="3"/>
  <c r="N938" i="3"/>
  <c r="M938" i="3"/>
  <c r="L938" i="3"/>
  <c r="K938" i="3"/>
  <c r="J938" i="3"/>
  <c r="I938" i="3"/>
  <c r="H938" i="3"/>
  <c r="G938" i="3"/>
  <c r="F938" i="3"/>
  <c r="E938" i="3"/>
  <c r="D938" i="3"/>
  <c r="C938" i="3"/>
  <c r="M937" i="3"/>
  <c r="L937" i="3"/>
  <c r="K937" i="3"/>
  <c r="J937" i="3"/>
  <c r="I937" i="3"/>
  <c r="H937" i="3"/>
  <c r="G937" i="3"/>
  <c r="F937" i="3"/>
  <c r="E937" i="3"/>
  <c r="D937" i="3"/>
  <c r="C937" i="3"/>
  <c r="N936" i="3"/>
  <c r="L936" i="3"/>
  <c r="K936" i="3"/>
  <c r="J936" i="3"/>
  <c r="I936" i="3"/>
  <c r="H936" i="3"/>
  <c r="G936" i="3"/>
  <c r="F936" i="3"/>
  <c r="E936" i="3"/>
  <c r="D936" i="3"/>
  <c r="C936" i="3"/>
  <c r="M935" i="3"/>
  <c r="L935" i="3"/>
  <c r="K935" i="3"/>
  <c r="J935" i="3"/>
  <c r="I935" i="3"/>
  <c r="H935" i="3"/>
  <c r="G935" i="3"/>
  <c r="F935" i="3"/>
  <c r="E935" i="3"/>
  <c r="D935" i="3"/>
  <c r="C935" i="3"/>
  <c r="M934" i="3"/>
  <c r="L934" i="3"/>
  <c r="K934" i="3"/>
  <c r="J934" i="3"/>
  <c r="I934" i="3"/>
  <c r="H934" i="3"/>
  <c r="G934" i="3"/>
  <c r="F934" i="3"/>
  <c r="E934" i="3"/>
  <c r="D934" i="3"/>
  <c r="C934" i="3"/>
  <c r="M933" i="3"/>
  <c r="L933" i="3"/>
  <c r="K933" i="3"/>
  <c r="J933" i="3"/>
  <c r="I933" i="3"/>
  <c r="H933" i="3"/>
  <c r="G933" i="3"/>
  <c r="F933" i="3"/>
  <c r="E933" i="3"/>
  <c r="D933" i="3"/>
  <c r="C933" i="3"/>
  <c r="N932" i="3"/>
  <c r="L932" i="3"/>
  <c r="K932" i="3"/>
  <c r="J932" i="3"/>
  <c r="I932" i="3"/>
  <c r="H932" i="3"/>
  <c r="G932" i="3"/>
  <c r="F932" i="3"/>
  <c r="E932" i="3"/>
  <c r="D932" i="3"/>
  <c r="C932" i="3"/>
  <c r="M931" i="3"/>
  <c r="L931" i="3"/>
  <c r="K931" i="3"/>
  <c r="J931" i="3"/>
  <c r="I931" i="3"/>
  <c r="H931" i="3"/>
  <c r="G931" i="3"/>
  <c r="F931" i="3"/>
  <c r="E931" i="3"/>
  <c r="D931" i="3"/>
  <c r="C931" i="3"/>
  <c r="L930" i="3"/>
  <c r="K930" i="3"/>
  <c r="J930" i="3"/>
  <c r="I930" i="3"/>
  <c r="H930" i="3"/>
  <c r="G930" i="3"/>
  <c r="F930" i="3"/>
  <c r="E930" i="3"/>
  <c r="D930" i="3"/>
  <c r="C930" i="3"/>
  <c r="L929" i="3"/>
  <c r="K929" i="3"/>
  <c r="J929" i="3"/>
  <c r="I929" i="3"/>
  <c r="H929" i="3"/>
  <c r="G929" i="3"/>
  <c r="F929" i="3"/>
  <c r="E929" i="3"/>
  <c r="D929" i="3"/>
  <c r="C929" i="3"/>
  <c r="L928" i="3"/>
  <c r="K928" i="3"/>
  <c r="J928" i="3"/>
  <c r="I928" i="3"/>
  <c r="H928" i="3"/>
  <c r="G928" i="3"/>
  <c r="F928" i="3"/>
  <c r="E928" i="3"/>
  <c r="D928" i="3"/>
  <c r="C928" i="3"/>
  <c r="M927" i="3"/>
  <c r="L927" i="3"/>
  <c r="K927" i="3"/>
  <c r="J927" i="3"/>
  <c r="I927" i="3"/>
  <c r="H927" i="3"/>
  <c r="G927" i="3"/>
  <c r="F927" i="3"/>
  <c r="E927" i="3"/>
  <c r="D927" i="3"/>
  <c r="C927" i="3"/>
  <c r="M926" i="3"/>
  <c r="L926" i="3"/>
  <c r="K926" i="3"/>
  <c r="J926" i="3"/>
  <c r="I926" i="3"/>
  <c r="H926" i="3"/>
  <c r="G926" i="3"/>
  <c r="F926" i="3"/>
  <c r="E926" i="3"/>
  <c r="D926" i="3"/>
  <c r="C926" i="3"/>
  <c r="M925" i="3"/>
  <c r="L925" i="3"/>
  <c r="K925" i="3"/>
  <c r="J925" i="3"/>
  <c r="I925" i="3"/>
  <c r="H925" i="3"/>
  <c r="G925" i="3"/>
  <c r="F925" i="3"/>
  <c r="E925" i="3"/>
  <c r="D925" i="3"/>
  <c r="C925" i="3"/>
  <c r="M924" i="3"/>
  <c r="L924" i="3"/>
  <c r="K924" i="3"/>
  <c r="J924" i="3"/>
  <c r="I924" i="3"/>
  <c r="H924" i="3"/>
  <c r="G924" i="3"/>
  <c r="F924" i="3"/>
  <c r="E924" i="3"/>
  <c r="D924" i="3"/>
  <c r="C924" i="3"/>
  <c r="N923" i="3"/>
  <c r="L923" i="3"/>
  <c r="K923" i="3"/>
  <c r="J923" i="3"/>
  <c r="I923" i="3"/>
  <c r="H923" i="3"/>
  <c r="G923" i="3"/>
  <c r="F923" i="3"/>
  <c r="E923" i="3"/>
  <c r="D923" i="3"/>
  <c r="C923" i="3"/>
  <c r="N922" i="3"/>
  <c r="L922" i="3"/>
  <c r="K922" i="3"/>
  <c r="J922" i="3"/>
  <c r="I922" i="3"/>
  <c r="H922" i="3"/>
  <c r="G922" i="3"/>
  <c r="F922" i="3"/>
  <c r="E922" i="3"/>
  <c r="D922" i="3"/>
  <c r="C922" i="3"/>
  <c r="N921" i="3"/>
  <c r="M921" i="3"/>
  <c r="L921" i="3"/>
  <c r="K921" i="3"/>
  <c r="J921" i="3"/>
  <c r="I921" i="3"/>
  <c r="H921" i="3"/>
  <c r="G921" i="3"/>
  <c r="F921" i="3"/>
  <c r="E921" i="3"/>
  <c r="D921" i="3"/>
  <c r="C921" i="3"/>
  <c r="N920" i="3"/>
  <c r="M920" i="3"/>
  <c r="L920" i="3"/>
  <c r="K920" i="3"/>
  <c r="J920" i="3"/>
  <c r="I920" i="3"/>
  <c r="H920" i="3"/>
  <c r="G920" i="3"/>
  <c r="F920" i="3"/>
  <c r="E920" i="3"/>
  <c r="D920" i="3"/>
  <c r="C920" i="3"/>
  <c r="N919" i="3"/>
  <c r="M919" i="3"/>
  <c r="L919" i="3"/>
  <c r="K919" i="3"/>
  <c r="J919" i="3"/>
  <c r="I919" i="3"/>
  <c r="H919" i="3"/>
  <c r="G919" i="3"/>
  <c r="F919" i="3"/>
  <c r="E919" i="3"/>
  <c r="D919" i="3"/>
  <c r="C919" i="3"/>
  <c r="N918" i="3"/>
  <c r="L918" i="3"/>
  <c r="K918" i="3"/>
  <c r="J918" i="3"/>
  <c r="I918" i="3"/>
  <c r="H918" i="3"/>
  <c r="G918" i="3"/>
  <c r="F918" i="3"/>
  <c r="E918" i="3"/>
  <c r="D918" i="3"/>
  <c r="C918" i="3"/>
  <c r="N917" i="3"/>
  <c r="L917" i="3"/>
  <c r="K917" i="3"/>
  <c r="J917" i="3"/>
  <c r="I917" i="3"/>
  <c r="H917" i="3"/>
  <c r="G917" i="3"/>
  <c r="F917" i="3"/>
  <c r="E917" i="3"/>
  <c r="D917" i="3"/>
  <c r="C917" i="3"/>
  <c r="N916" i="3"/>
  <c r="M916" i="3"/>
  <c r="L916" i="3"/>
  <c r="K916" i="3"/>
  <c r="J916" i="3"/>
  <c r="I916" i="3"/>
  <c r="H916" i="3"/>
  <c r="G916" i="3"/>
  <c r="F916" i="3"/>
  <c r="E916" i="3"/>
  <c r="D916" i="3"/>
  <c r="C916" i="3"/>
  <c r="N915" i="3"/>
  <c r="M915" i="3"/>
  <c r="L915" i="3"/>
  <c r="K915" i="3"/>
  <c r="J915" i="3"/>
  <c r="I915" i="3"/>
  <c r="H915" i="3"/>
  <c r="G915" i="3"/>
  <c r="F915" i="3"/>
  <c r="E915" i="3"/>
  <c r="D915" i="3"/>
  <c r="C915" i="3"/>
  <c r="N914" i="3"/>
  <c r="L914" i="3"/>
  <c r="K914" i="3"/>
  <c r="J914" i="3"/>
  <c r="I914" i="3"/>
  <c r="H914" i="3"/>
  <c r="G914" i="3"/>
  <c r="F914" i="3"/>
  <c r="E914" i="3"/>
  <c r="D914" i="3"/>
  <c r="C914" i="3"/>
  <c r="N913" i="3"/>
  <c r="M913" i="3"/>
  <c r="L913" i="3"/>
  <c r="K913" i="3"/>
  <c r="J913" i="3"/>
  <c r="I913" i="3"/>
  <c r="H913" i="3"/>
  <c r="G913" i="3"/>
  <c r="F913" i="3"/>
  <c r="E913" i="3"/>
  <c r="D913" i="3"/>
  <c r="C913" i="3"/>
  <c r="N912" i="3"/>
  <c r="M912" i="3"/>
  <c r="L912" i="3"/>
  <c r="K912" i="3"/>
  <c r="J912" i="3"/>
  <c r="I912" i="3"/>
  <c r="H912" i="3"/>
  <c r="G912" i="3"/>
  <c r="F912" i="3"/>
  <c r="E912" i="3"/>
  <c r="D912" i="3"/>
  <c r="C912" i="3"/>
  <c r="N911" i="3"/>
  <c r="L911" i="3"/>
  <c r="K911" i="3"/>
  <c r="J911" i="3"/>
  <c r="I911" i="3"/>
  <c r="H911" i="3"/>
  <c r="G911" i="3"/>
  <c r="F911" i="3"/>
  <c r="E911" i="3"/>
  <c r="D911" i="3"/>
  <c r="C911" i="3"/>
  <c r="N910" i="3"/>
  <c r="L910" i="3"/>
  <c r="K910" i="3"/>
  <c r="J910" i="3"/>
  <c r="I910" i="3"/>
  <c r="H910" i="3"/>
  <c r="G910" i="3"/>
  <c r="F910" i="3"/>
  <c r="E910" i="3"/>
  <c r="D910" i="3"/>
  <c r="C910" i="3"/>
  <c r="N909" i="3"/>
  <c r="M909" i="3"/>
  <c r="L909" i="3"/>
  <c r="K909" i="3"/>
  <c r="J909" i="3"/>
  <c r="I909" i="3"/>
  <c r="H909" i="3"/>
  <c r="G909" i="3"/>
  <c r="F909" i="3"/>
  <c r="E909" i="3"/>
  <c r="D909" i="3"/>
  <c r="C909" i="3"/>
  <c r="N908" i="3"/>
  <c r="L908" i="3"/>
  <c r="K908" i="3"/>
  <c r="J908" i="3"/>
  <c r="I908" i="3"/>
  <c r="H908" i="3"/>
  <c r="G908" i="3"/>
  <c r="F908" i="3"/>
  <c r="E908" i="3"/>
  <c r="D908" i="3"/>
  <c r="C908" i="3"/>
  <c r="N907" i="3"/>
  <c r="L907" i="3"/>
  <c r="K907" i="3"/>
  <c r="J907" i="3"/>
  <c r="I907" i="3"/>
  <c r="H907" i="3"/>
  <c r="G907" i="3"/>
  <c r="F907" i="3"/>
  <c r="E907" i="3"/>
  <c r="D907" i="3"/>
  <c r="C907" i="3"/>
  <c r="N906" i="3"/>
  <c r="K906" i="3"/>
  <c r="J906" i="3"/>
  <c r="I906" i="3"/>
  <c r="H906" i="3"/>
  <c r="F906" i="3"/>
  <c r="E906" i="3"/>
  <c r="D906" i="3"/>
  <c r="C906" i="3"/>
  <c r="N905" i="3"/>
  <c r="M905" i="3"/>
  <c r="L905" i="3"/>
  <c r="K905" i="3"/>
  <c r="J905" i="3"/>
  <c r="I905" i="3"/>
  <c r="H905" i="3"/>
  <c r="G905" i="3"/>
  <c r="F905" i="3"/>
  <c r="E905" i="3"/>
  <c r="D905" i="3"/>
  <c r="C905" i="3"/>
  <c r="N904" i="3"/>
  <c r="M904" i="3"/>
  <c r="L904" i="3"/>
  <c r="K904" i="3"/>
  <c r="J904" i="3"/>
  <c r="I904" i="3"/>
  <c r="H904" i="3"/>
  <c r="G904" i="3"/>
  <c r="F904" i="3"/>
  <c r="E904" i="3"/>
  <c r="D904" i="3"/>
  <c r="C904" i="3"/>
  <c r="K903" i="3"/>
  <c r="J903" i="3"/>
  <c r="I903" i="3"/>
  <c r="H903" i="3"/>
  <c r="F903" i="3"/>
  <c r="E903" i="3"/>
  <c r="D903" i="3"/>
  <c r="C903" i="3"/>
  <c r="N902" i="3"/>
  <c r="M902" i="3"/>
  <c r="L902" i="3"/>
  <c r="K902" i="3"/>
  <c r="J902" i="3"/>
  <c r="I902" i="3"/>
  <c r="H902" i="3"/>
  <c r="G902" i="3"/>
  <c r="F902" i="3"/>
  <c r="E902" i="3"/>
  <c r="D902" i="3"/>
  <c r="C902" i="3"/>
  <c r="M901" i="3"/>
  <c r="L901" i="3"/>
  <c r="K901" i="3"/>
  <c r="J901" i="3"/>
  <c r="I901" i="3"/>
  <c r="H901" i="3"/>
  <c r="G901" i="3"/>
  <c r="F901" i="3"/>
  <c r="E901" i="3"/>
  <c r="D901" i="3"/>
  <c r="C901" i="3"/>
  <c r="L900" i="3"/>
  <c r="K900" i="3"/>
  <c r="J900" i="3"/>
  <c r="I900" i="3"/>
  <c r="H900" i="3"/>
  <c r="G900" i="3"/>
  <c r="F900" i="3"/>
  <c r="E900" i="3"/>
  <c r="D900" i="3"/>
  <c r="C900" i="3"/>
  <c r="N899" i="3"/>
  <c r="L899" i="3"/>
  <c r="K899" i="3"/>
  <c r="J899" i="3"/>
  <c r="I899" i="3"/>
  <c r="H899" i="3"/>
  <c r="G899" i="3"/>
  <c r="F899" i="3"/>
  <c r="E899" i="3"/>
  <c r="D899" i="3"/>
  <c r="C899" i="3"/>
  <c r="M898" i="3"/>
  <c r="L898" i="3"/>
  <c r="K898" i="3"/>
  <c r="J898" i="3"/>
  <c r="I898" i="3"/>
  <c r="H898" i="3"/>
  <c r="G898" i="3"/>
  <c r="F898" i="3"/>
  <c r="E898" i="3"/>
  <c r="D898" i="3"/>
  <c r="C898" i="3"/>
  <c r="M897" i="3"/>
  <c r="K897" i="3"/>
  <c r="J897" i="3"/>
  <c r="I897" i="3"/>
  <c r="H897" i="3"/>
  <c r="F897" i="3"/>
  <c r="E897" i="3"/>
  <c r="D897" i="3"/>
  <c r="C897" i="3"/>
  <c r="M896" i="3"/>
  <c r="L896" i="3"/>
  <c r="K896" i="3"/>
  <c r="J896" i="3"/>
  <c r="I896" i="3"/>
  <c r="H896" i="3"/>
  <c r="G896" i="3"/>
  <c r="F896" i="3"/>
  <c r="E896" i="3"/>
  <c r="D896" i="3"/>
  <c r="C896" i="3"/>
  <c r="M895" i="3"/>
  <c r="L895" i="3"/>
  <c r="K895" i="3"/>
  <c r="J895" i="3"/>
  <c r="I895" i="3"/>
  <c r="H895" i="3"/>
  <c r="G895" i="3"/>
  <c r="F895" i="3"/>
  <c r="E895" i="3"/>
  <c r="D895" i="3"/>
  <c r="C895" i="3"/>
  <c r="M894" i="3"/>
  <c r="L894" i="3"/>
  <c r="K894" i="3"/>
  <c r="J894" i="3"/>
  <c r="I894" i="3"/>
  <c r="H894" i="3"/>
  <c r="G894" i="3"/>
  <c r="F894" i="3"/>
  <c r="E894" i="3"/>
  <c r="D894" i="3"/>
  <c r="C894" i="3"/>
  <c r="N893" i="3"/>
  <c r="L893" i="3"/>
  <c r="K893" i="3"/>
  <c r="J893" i="3"/>
  <c r="I893" i="3"/>
  <c r="H893" i="3"/>
  <c r="G893" i="3"/>
  <c r="F893" i="3"/>
  <c r="E893" i="3"/>
  <c r="D893" i="3"/>
  <c r="C893" i="3"/>
  <c r="N892" i="3"/>
  <c r="L892" i="3"/>
  <c r="K892" i="3"/>
  <c r="J892" i="3"/>
  <c r="I892" i="3"/>
  <c r="H892" i="3"/>
  <c r="G892" i="3"/>
  <c r="F892" i="3"/>
  <c r="E892" i="3"/>
  <c r="D892" i="3"/>
  <c r="C892" i="3"/>
  <c r="M891" i="3"/>
  <c r="L891" i="3"/>
  <c r="K891" i="3"/>
  <c r="J891" i="3"/>
  <c r="I891" i="3"/>
  <c r="H891" i="3"/>
  <c r="G891" i="3"/>
  <c r="F891" i="3"/>
  <c r="E891" i="3"/>
  <c r="D891" i="3"/>
  <c r="C891" i="3"/>
  <c r="N890" i="3"/>
  <c r="M890" i="3"/>
  <c r="L890" i="3"/>
  <c r="K890" i="3"/>
  <c r="J890" i="3"/>
  <c r="I890" i="3"/>
  <c r="H890" i="3"/>
  <c r="G890" i="3"/>
  <c r="F890" i="3"/>
  <c r="E890" i="3"/>
  <c r="D890" i="3"/>
  <c r="C890" i="3"/>
  <c r="M889" i="3"/>
  <c r="L889" i="3"/>
  <c r="K889" i="3"/>
  <c r="J889" i="3"/>
  <c r="I889" i="3"/>
  <c r="H889" i="3"/>
  <c r="G889" i="3"/>
  <c r="F889" i="3"/>
  <c r="E889" i="3"/>
  <c r="D889" i="3"/>
  <c r="C889" i="3"/>
  <c r="N888" i="3"/>
  <c r="M888" i="3"/>
  <c r="L888" i="3"/>
  <c r="K888" i="3"/>
  <c r="J888" i="3"/>
  <c r="I888" i="3"/>
  <c r="H888" i="3"/>
  <c r="G888" i="3"/>
  <c r="F888" i="3"/>
  <c r="E888" i="3"/>
  <c r="D888" i="3"/>
  <c r="C888" i="3"/>
  <c r="M887" i="3"/>
  <c r="L887" i="3"/>
  <c r="K887" i="3"/>
  <c r="J887" i="3"/>
  <c r="I887" i="3"/>
  <c r="H887" i="3"/>
  <c r="G887" i="3"/>
  <c r="F887" i="3"/>
  <c r="E887" i="3"/>
  <c r="D887" i="3"/>
  <c r="C887" i="3"/>
  <c r="N886" i="3"/>
  <c r="L886" i="3"/>
  <c r="K886" i="3"/>
  <c r="J886" i="3"/>
  <c r="I886" i="3"/>
  <c r="H886" i="3"/>
  <c r="G886" i="3"/>
  <c r="F886" i="3"/>
  <c r="E886" i="3"/>
  <c r="D886" i="3"/>
  <c r="C886" i="3"/>
  <c r="M885" i="3"/>
  <c r="L885" i="3"/>
  <c r="K885" i="3"/>
  <c r="J885" i="3"/>
  <c r="I885" i="3"/>
  <c r="H885" i="3"/>
  <c r="G885" i="3"/>
  <c r="F885" i="3"/>
  <c r="E885" i="3"/>
  <c r="D885" i="3"/>
  <c r="C885" i="3"/>
  <c r="N884" i="3"/>
  <c r="K884" i="3"/>
  <c r="J884" i="3"/>
  <c r="I884" i="3"/>
  <c r="H884" i="3"/>
  <c r="F884" i="3"/>
  <c r="E884" i="3"/>
  <c r="D884" i="3"/>
  <c r="C884" i="3"/>
  <c r="N883" i="3"/>
  <c r="L883" i="3"/>
  <c r="K883" i="3"/>
  <c r="J883" i="3"/>
  <c r="I883" i="3"/>
  <c r="H883" i="3"/>
  <c r="G883" i="3"/>
  <c r="F883" i="3"/>
  <c r="E883" i="3"/>
  <c r="D883" i="3"/>
  <c r="C883" i="3"/>
  <c r="N882" i="3"/>
  <c r="L882" i="3"/>
  <c r="K882" i="3"/>
  <c r="J882" i="3"/>
  <c r="I882" i="3"/>
  <c r="H882" i="3"/>
  <c r="G882" i="3"/>
  <c r="F882" i="3"/>
  <c r="E882" i="3"/>
  <c r="D882" i="3"/>
  <c r="C882" i="3"/>
  <c r="N881" i="3"/>
  <c r="K881" i="3"/>
  <c r="J881" i="3"/>
  <c r="I881" i="3"/>
  <c r="H881" i="3"/>
  <c r="F881" i="3"/>
  <c r="E881" i="3"/>
  <c r="D881" i="3"/>
  <c r="C881" i="3"/>
  <c r="N880" i="3"/>
  <c r="K880" i="3"/>
  <c r="J880" i="3"/>
  <c r="I880" i="3"/>
  <c r="H880" i="3"/>
  <c r="F880" i="3"/>
  <c r="E880" i="3"/>
  <c r="D880" i="3"/>
  <c r="C880" i="3"/>
  <c r="L879" i="3"/>
  <c r="K879" i="3"/>
  <c r="J879" i="3"/>
  <c r="I879" i="3"/>
  <c r="H879" i="3"/>
  <c r="G879" i="3"/>
  <c r="F879" i="3"/>
  <c r="E879" i="3"/>
  <c r="D879" i="3"/>
  <c r="C879" i="3"/>
  <c r="M878" i="3"/>
  <c r="L878" i="3"/>
  <c r="K878" i="3"/>
  <c r="J878" i="3"/>
  <c r="I878" i="3"/>
  <c r="H878" i="3"/>
  <c r="G878" i="3"/>
  <c r="F878" i="3"/>
  <c r="E878" i="3"/>
  <c r="D878" i="3"/>
  <c r="C878" i="3"/>
  <c r="N877" i="3"/>
  <c r="L877" i="3"/>
  <c r="K877" i="3"/>
  <c r="J877" i="3"/>
  <c r="I877" i="3"/>
  <c r="H877" i="3"/>
  <c r="G877" i="3"/>
  <c r="F877" i="3"/>
  <c r="E877" i="3"/>
  <c r="D877" i="3"/>
  <c r="C877" i="3"/>
  <c r="N876" i="3"/>
  <c r="L876" i="3"/>
  <c r="K876" i="3"/>
  <c r="J876" i="3"/>
  <c r="I876" i="3"/>
  <c r="H876" i="3"/>
  <c r="G876" i="3"/>
  <c r="F876" i="3"/>
  <c r="E876" i="3"/>
  <c r="D876" i="3"/>
  <c r="C876" i="3"/>
  <c r="N875" i="3"/>
  <c r="L875" i="3"/>
  <c r="K875" i="3"/>
  <c r="J875" i="3"/>
  <c r="I875" i="3"/>
  <c r="H875" i="3"/>
  <c r="G875" i="3"/>
  <c r="F875" i="3"/>
  <c r="E875" i="3"/>
  <c r="D875" i="3"/>
  <c r="C875" i="3"/>
  <c r="M874" i="3"/>
  <c r="L874" i="3"/>
  <c r="K874" i="3"/>
  <c r="J874" i="3"/>
  <c r="I874" i="3"/>
  <c r="H874" i="3"/>
  <c r="G874" i="3"/>
  <c r="F874" i="3"/>
  <c r="E874" i="3"/>
  <c r="D874" i="3"/>
  <c r="C874" i="3"/>
  <c r="M873" i="3"/>
  <c r="L873" i="3"/>
  <c r="K873" i="3"/>
  <c r="J873" i="3"/>
  <c r="I873" i="3"/>
  <c r="H873" i="3"/>
  <c r="G873" i="3"/>
  <c r="F873" i="3"/>
  <c r="E873" i="3"/>
  <c r="D873" i="3"/>
  <c r="C873" i="3"/>
  <c r="M872" i="3"/>
  <c r="L872" i="3"/>
  <c r="K872" i="3"/>
  <c r="J872" i="3"/>
  <c r="I872" i="3"/>
  <c r="H872" i="3"/>
  <c r="G872" i="3"/>
  <c r="F872" i="3"/>
  <c r="E872" i="3"/>
  <c r="D872" i="3"/>
  <c r="C872" i="3"/>
  <c r="N871" i="3"/>
  <c r="L871" i="3"/>
  <c r="K871" i="3"/>
  <c r="I871" i="3"/>
  <c r="H871" i="3"/>
  <c r="G871" i="3"/>
  <c r="F871" i="3"/>
  <c r="E871" i="3"/>
  <c r="D871" i="3"/>
  <c r="C871" i="3"/>
  <c r="M870" i="3"/>
  <c r="L870" i="3"/>
  <c r="K870" i="3"/>
  <c r="J870" i="3"/>
  <c r="I870" i="3"/>
  <c r="H870" i="3"/>
  <c r="G870" i="3"/>
  <c r="F870" i="3"/>
  <c r="E870" i="3"/>
  <c r="D870" i="3"/>
  <c r="C870" i="3"/>
  <c r="M869" i="3"/>
  <c r="L869" i="3"/>
  <c r="K869" i="3"/>
  <c r="J869" i="3"/>
  <c r="I869" i="3"/>
  <c r="H869" i="3"/>
  <c r="G869" i="3"/>
  <c r="F869" i="3"/>
  <c r="E869" i="3"/>
  <c r="D869" i="3"/>
  <c r="C869" i="3"/>
  <c r="M868" i="3"/>
  <c r="L868" i="3"/>
  <c r="K868" i="3"/>
  <c r="J868" i="3"/>
  <c r="I868" i="3"/>
  <c r="H868" i="3"/>
  <c r="G868" i="3"/>
  <c r="F868" i="3"/>
  <c r="E868" i="3"/>
  <c r="D868" i="3"/>
  <c r="C868" i="3"/>
  <c r="M867" i="3"/>
  <c r="K867" i="3"/>
  <c r="J867" i="3"/>
  <c r="I867" i="3"/>
  <c r="H867" i="3"/>
  <c r="F867" i="3"/>
  <c r="E867" i="3"/>
  <c r="D867" i="3"/>
  <c r="C867" i="3"/>
  <c r="M866" i="3"/>
  <c r="L866" i="3"/>
  <c r="K866" i="3"/>
  <c r="J866" i="3"/>
  <c r="I866" i="3"/>
  <c r="H866" i="3"/>
  <c r="G866" i="3"/>
  <c r="F866" i="3"/>
  <c r="E866" i="3"/>
  <c r="D866" i="3"/>
  <c r="C866" i="3"/>
  <c r="N865" i="3"/>
  <c r="M865" i="3"/>
  <c r="L865" i="3"/>
  <c r="K865" i="3"/>
  <c r="J865" i="3"/>
  <c r="I865" i="3"/>
  <c r="H865" i="3"/>
  <c r="G865" i="3"/>
  <c r="F865" i="3"/>
  <c r="E865" i="3"/>
  <c r="D865" i="3"/>
  <c r="C865" i="3"/>
  <c r="N864" i="3"/>
  <c r="K864" i="3"/>
  <c r="J864" i="3"/>
  <c r="I864" i="3"/>
  <c r="H864" i="3"/>
  <c r="F864" i="3"/>
  <c r="E864" i="3"/>
  <c r="D864" i="3"/>
  <c r="C864" i="3"/>
  <c r="M863" i="3"/>
  <c r="L863" i="3"/>
  <c r="K863" i="3"/>
  <c r="J863" i="3"/>
  <c r="I863" i="3"/>
  <c r="H863" i="3"/>
  <c r="G863" i="3"/>
  <c r="F863" i="3"/>
  <c r="E863" i="3"/>
  <c r="D863" i="3"/>
  <c r="C863" i="3"/>
  <c r="M862" i="3"/>
  <c r="L862" i="3"/>
  <c r="K862" i="3"/>
  <c r="J862" i="3"/>
  <c r="I862" i="3"/>
  <c r="H862" i="3"/>
  <c r="G862" i="3"/>
  <c r="F862" i="3"/>
  <c r="E862" i="3"/>
  <c r="D862" i="3"/>
  <c r="C862" i="3"/>
  <c r="N861" i="3"/>
  <c r="L861" i="3"/>
  <c r="K861" i="3"/>
  <c r="J861" i="3"/>
  <c r="I861" i="3"/>
  <c r="H861" i="3"/>
  <c r="G861" i="3"/>
  <c r="F861" i="3"/>
  <c r="E861" i="3"/>
  <c r="D861" i="3"/>
  <c r="C861" i="3"/>
  <c r="M860" i="3"/>
  <c r="L860" i="3"/>
  <c r="K860" i="3"/>
  <c r="J860" i="3"/>
  <c r="I860" i="3"/>
  <c r="H860" i="3"/>
  <c r="G860" i="3"/>
  <c r="F860" i="3"/>
  <c r="E860" i="3"/>
  <c r="D860" i="3"/>
  <c r="C860" i="3"/>
  <c r="M859" i="3"/>
  <c r="K859" i="3"/>
  <c r="J859" i="3"/>
  <c r="I859" i="3"/>
  <c r="H859" i="3"/>
  <c r="F859" i="3"/>
  <c r="E859" i="3"/>
  <c r="D859" i="3"/>
  <c r="C859" i="3"/>
  <c r="M858" i="3"/>
  <c r="L858" i="3"/>
  <c r="K858" i="3"/>
  <c r="J858" i="3"/>
  <c r="I858" i="3"/>
  <c r="H858" i="3"/>
  <c r="G858" i="3"/>
  <c r="F858" i="3"/>
  <c r="E858" i="3"/>
  <c r="D858" i="3"/>
  <c r="C858" i="3"/>
  <c r="M857" i="3"/>
  <c r="L857" i="3"/>
  <c r="K857" i="3"/>
  <c r="J857" i="3"/>
  <c r="I857" i="3"/>
  <c r="H857" i="3"/>
  <c r="G857" i="3"/>
  <c r="F857" i="3"/>
  <c r="E857" i="3"/>
  <c r="D857" i="3"/>
  <c r="C857" i="3"/>
  <c r="K856" i="3"/>
  <c r="J856" i="3"/>
  <c r="I856" i="3"/>
  <c r="H856" i="3"/>
  <c r="F856" i="3"/>
  <c r="E856" i="3"/>
  <c r="D856" i="3"/>
  <c r="C856" i="3"/>
  <c r="M855" i="3"/>
  <c r="L855" i="3"/>
  <c r="K855" i="3"/>
  <c r="J855" i="3"/>
  <c r="I855" i="3"/>
  <c r="H855" i="3"/>
  <c r="G855" i="3"/>
  <c r="F855" i="3"/>
  <c r="E855" i="3"/>
  <c r="D855" i="3"/>
  <c r="C855" i="3"/>
  <c r="M854" i="3"/>
  <c r="L854" i="3"/>
  <c r="K854" i="3"/>
  <c r="J854" i="3"/>
  <c r="I854" i="3"/>
  <c r="H854" i="3"/>
  <c r="G854" i="3"/>
  <c r="F854" i="3"/>
  <c r="E854" i="3"/>
  <c r="D854" i="3"/>
  <c r="C854" i="3"/>
  <c r="N853" i="3"/>
  <c r="L853" i="3"/>
  <c r="K853" i="3"/>
  <c r="J853" i="3"/>
  <c r="I853" i="3"/>
  <c r="H853" i="3"/>
  <c r="G853" i="3"/>
  <c r="F853" i="3"/>
  <c r="E853" i="3"/>
  <c r="D853" i="3"/>
  <c r="C853" i="3"/>
  <c r="N852" i="3"/>
  <c r="M852" i="3"/>
  <c r="K852" i="3"/>
  <c r="J852" i="3"/>
  <c r="I852" i="3"/>
  <c r="H852" i="3"/>
  <c r="F852" i="3"/>
  <c r="E852" i="3"/>
  <c r="D852" i="3"/>
  <c r="C852" i="3"/>
  <c r="L851" i="3"/>
  <c r="K851" i="3"/>
  <c r="J851" i="3"/>
  <c r="I851" i="3"/>
  <c r="H851" i="3"/>
  <c r="G851" i="3"/>
  <c r="F851" i="3"/>
  <c r="E851" i="3"/>
  <c r="D851" i="3"/>
  <c r="C851" i="3"/>
  <c r="M850" i="3"/>
  <c r="L850" i="3"/>
  <c r="K850" i="3"/>
  <c r="J850" i="3"/>
  <c r="I850" i="3"/>
  <c r="H850" i="3"/>
  <c r="G850" i="3"/>
  <c r="F850" i="3"/>
  <c r="E850" i="3"/>
  <c r="D850" i="3"/>
  <c r="C850" i="3"/>
  <c r="N849" i="3"/>
  <c r="L849" i="3"/>
  <c r="K849" i="3"/>
  <c r="J849" i="3"/>
  <c r="I849" i="3"/>
  <c r="H849" i="3"/>
  <c r="G849" i="3"/>
  <c r="F849" i="3"/>
  <c r="E849" i="3"/>
  <c r="D849" i="3"/>
  <c r="C849" i="3"/>
  <c r="N848" i="3"/>
  <c r="M848" i="3"/>
  <c r="L848" i="3"/>
  <c r="K848" i="3"/>
  <c r="J848" i="3"/>
  <c r="I848" i="3"/>
  <c r="H848" i="3"/>
  <c r="G848" i="3"/>
  <c r="F848" i="3"/>
  <c r="E848" i="3"/>
  <c r="D848" i="3"/>
  <c r="C848" i="3"/>
  <c r="M847" i="3"/>
  <c r="L847" i="3"/>
  <c r="K847" i="3"/>
  <c r="J847" i="3"/>
  <c r="I847" i="3"/>
  <c r="H847" i="3"/>
  <c r="G847" i="3"/>
  <c r="F847" i="3"/>
  <c r="E847" i="3"/>
  <c r="D847" i="3"/>
  <c r="C847" i="3"/>
  <c r="L846" i="3"/>
  <c r="K846" i="3"/>
  <c r="J846" i="3"/>
  <c r="I846" i="3"/>
  <c r="H846" i="3"/>
  <c r="G846" i="3"/>
  <c r="F846" i="3"/>
  <c r="E846" i="3"/>
  <c r="D846" i="3"/>
  <c r="C846" i="3"/>
  <c r="N845" i="3"/>
  <c r="M845" i="3"/>
  <c r="L845" i="3"/>
  <c r="K845" i="3"/>
  <c r="J845" i="3"/>
  <c r="I845" i="3"/>
  <c r="H845" i="3"/>
  <c r="G845" i="3"/>
  <c r="F845" i="3"/>
  <c r="E845" i="3"/>
  <c r="D845" i="3"/>
  <c r="C845" i="3"/>
  <c r="M844" i="3"/>
  <c r="L844" i="3"/>
  <c r="K844" i="3"/>
  <c r="J844" i="3"/>
  <c r="I844" i="3"/>
  <c r="H844" i="3"/>
  <c r="G844" i="3"/>
  <c r="F844" i="3"/>
  <c r="E844" i="3"/>
  <c r="D844" i="3"/>
  <c r="C844" i="3"/>
  <c r="M843" i="3"/>
  <c r="L843" i="3"/>
  <c r="K843" i="3"/>
  <c r="J843" i="3"/>
  <c r="I843" i="3"/>
  <c r="H843" i="3"/>
  <c r="G843" i="3"/>
  <c r="F843" i="3"/>
  <c r="E843" i="3"/>
  <c r="D843" i="3"/>
  <c r="C843" i="3"/>
  <c r="N842" i="3"/>
  <c r="M842" i="3"/>
  <c r="L842" i="3"/>
  <c r="K842" i="3"/>
  <c r="J842" i="3"/>
  <c r="I842" i="3"/>
  <c r="H842" i="3"/>
  <c r="G842" i="3"/>
  <c r="F842" i="3"/>
  <c r="E842" i="3"/>
  <c r="D842" i="3"/>
  <c r="C842" i="3"/>
  <c r="M841" i="3"/>
  <c r="L841" i="3"/>
  <c r="K841" i="3"/>
  <c r="J841" i="3"/>
  <c r="I841" i="3"/>
  <c r="H841" i="3"/>
  <c r="G841" i="3"/>
  <c r="F841" i="3"/>
  <c r="E841" i="3"/>
  <c r="D841" i="3"/>
  <c r="C841" i="3"/>
  <c r="N840" i="3"/>
  <c r="L840" i="3"/>
  <c r="K840" i="3"/>
  <c r="J840" i="3"/>
  <c r="I840" i="3"/>
  <c r="H840" i="3"/>
  <c r="G840" i="3"/>
  <c r="F840" i="3"/>
  <c r="E840" i="3"/>
  <c r="D840" i="3"/>
  <c r="C840" i="3"/>
  <c r="M839" i="3"/>
  <c r="L839" i="3"/>
  <c r="K839" i="3"/>
  <c r="J839" i="3"/>
  <c r="I839" i="3"/>
  <c r="H839" i="3"/>
  <c r="G839" i="3"/>
  <c r="F839" i="3"/>
  <c r="E839" i="3"/>
  <c r="D839" i="3"/>
  <c r="C839" i="3"/>
  <c r="N838" i="3"/>
  <c r="L838" i="3"/>
  <c r="K838" i="3"/>
  <c r="J838" i="3"/>
  <c r="I838" i="3"/>
  <c r="H838" i="3"/>
  <c r="G838" i="3"/>
  <c r="F838" i="3"/>
  <c r="E838" i="3"/>
  <c r="D838" i="3"/>
  <c r="C838" i="3"/>
  <c r="M837" i="3"/>
  <c r="L837" i="3"/>
  <c r="K837" i="3"/>
  <c r="J837" i="3"/>
  <c r="I837" i="3"/>
  <c r="H837" i="3"/>
  <c r="G837" i="3"/>
  <c r="F837" i="3"/>
  <c r="E837" i="3"/>
  <c r="D837" i="3"/>
  <c r="C837" i="3"/>
  <c r="M836" i="3"/>
  <c r="L836" i="3"/>
  <c r="K836" i="3"/>
  <c r="J836" i="3"/>
  <c r="I836" i="3"/>
  <c r="H836" i="3"/>
  <c r="G836" i="3"/>
  <c r="F836" i="3"/>
  <c r="E836" i="3"/>
  <c r="D836" i="3"/>
  <c r="C836" i="3"/>
  <c r="L835" i="3"/>
  <c r="K835" i="3"/>
  <c r="J835" i="3"/>
  <c r="I835" i="3"/>
  <c r="H835" i="3"/>
  <c r="G835" i="3"/>
  <c r="F835" i="3"/>
  <c r="E835" i="3"/>
  <c r="D835" i="3"/>
  <c r="C835" i="3"/>
  <c r="M834" i="3"/>
  <c r="L834" i="3"/>
  <c r="K834" i="3"/>
  <c r="J834" i="3"/>
  <c r="I834" i="3"/>
  <c r="H834" i="3"/>
  <c r="G834" i="3"/>
  <c r="F834" i="3"/>
  <c r="E834" i="3"/>
  <c r="D834" i="3"/>
  <c r="C834" i="3"/>
  <c r="N833" i="3"/>
  <c r="K833" i="3"/>
  <c r="J833" i="3"/>
  <c r="I833" i="3"/>
  <c r="H833" i="3"/>
  <c r="F833" i="3"/>
  <c r="E833" i="3"/>
  <c r="D833" i="3"/>
  <c r="C833" i="3"/>
  <c r="N832" i="3"/>
  <c r="K832" i="3"/>
  <c r="J832" i="3"/>
  <c r="I832" i="3"/>
  <c r="H832" i="3"/>
  <c r="F832" i="3"/>
  <c r="E832" i="3"/>
  <c r="D832" i="3"/>
  <c r="C832" i="3"/>
  <c r="N831" i="3"/>
  <c r="L831" i="3"/>
  <c r="K831" i="3"/>
  <c r="J831" i="3"/>
  <c r="I831" i="3"/>
  <c r="H831" i="3"/>
  <c r="G831" i="3"/>
  <c r="F831" i="3"/>
  <c r="E831" i="3"/>
  <c r="D831" i="3"/>
  <c r="C831" i="3"/>
  <c r="N830" i="3"/>
  <c r="L830" i="3"/>
  <c r="K830" i="3"/>
  <c r="J830" i="3"/>
  <c r="I830" i="3"/>
  <c r="H830" i="3"/>
  <c r="G830" i="3"/>
  <c r="F830" i="3"/>
  <c r="E830" i="3"/>
  <c r="D830" i="3"/>
  <c r="C830" i="3"/>
  <c r="N829" i="3"/>
  <c r="K829" i="3"/>
  <c r="J829" i="3"/>
  <c r="I829" i="3"/>
  <c r="H829" i="3"/>
  <c r="F829" i="3"/>
  <c r="E829" i="3"/>
  <c r="D829" i="3"/>
  <c r="C829" i="3"/>
  <c r="N828" i="3"/>
  <c r="L828" i="3"/>
  <c r="K828" i="3"/>
  <c r="J828" i="3"/>
  <c r="I828" i="3"/>
  <c r="H828" i="3"/>
  <c r="G828" i="3"/>
  <c r="F828" i="3"/>
  <c r="E828" i="3"/>
  <c r="D828" i="3"/>
  <c r="C828" i="3"/>
  <c r="M827" i="3"/>
  <c r="L827" i="3"/>
  <c r="K827" i="3"/>
  <c r="J827" i="3"/>
  <c r="I827" i="3"/>
  <c r="H827" i="3"/>
  <c r="G827" i="3"/>
  <c r="F827" i="3"/>
  <c r="E827" i="3"/>
  <c r="D827" i="3"/>
  <c r="C827" i="3"/>
  <c r="M826" i="3"/>
  <c r="L826" i="3"/>
  <c r="K826" i="3"/>
  <c r="J826" i="3"/>
  <c r="I826" i="3"/>
  <c r="H826" i="3"/>
  <c r="G826" i="3"/>
  <c r="F826" i="3"/>
  <c r="E826" i="3"/>
  <c r="D826" i="3"/>
  <c r="C826" i="3"/>
  <c r="M825" i="3"/>
  <c r="L825" i="3"/>
  <c r="K825" i="3"/>
  <c r="J825" i="3"/>
  <c r="I825" i="3"/>
  <c r="H825" i="3"/>
  <c r="G825" i="3"/>
  <c r="F825" i="3"/>
  <c r="E825" i="3"/>
  <c r="D825" i="3"/>
  <c r="C825" i="3"/>
  <c r="M824" i="3"/>
  <c r="L824" i="3"/>
  <c r="K824" i="3"/>
  <c r="J824" i="3"/>
  <c r="I824" i="3"/>
  <c r="H824" i="3"/>
  <c r="G824" i="3"/>
  <c r="F824" i="3"/>
  <c r="E824" i="3"/>
  <c r="D824" i="3"/>
  <c r="C824" i="3"/>
  <c r="N823" i="3"/>
  <c r="L823" i="3"/>
  <c r="K823" i="3"/>
  <c r="J823" i="3"/>
  <c r="I823" i="3"/>
  <c r="H823" i="3"/>
  <c r="G823" i="3"/>
  <c r="F823" i="3"/>
  <c r="E823" i="3"/>
  <c r="D823" i="3"/>
  <c r="C823" i="3"/>
  <c r="M822" i="3"/>
  <c r="L822" i="3"/>
  <c r="K822" i="3"/>
  <c r="J822" i="3"/>
  <c r="I822" i="3"/>
  <c r="H822" i="3"/>
  <c r="G822" i="3"/>
  <c r="F822" i="3"/>
  <c r="E822" i="3"/>
  <c r="D822" i="3"/>
  <c r="C822" i="3"/>
  <c r="M821" i="3"/>
  <c r="L821" i="3"/>
  <c r="K821" i="3"/>
  <c r="J821" i="3"/>
  <c r="I821" i="3"/>
  <c r="H821" i="3"/>
  <c r="G821" i="3"/>
  <c r="F821" i="3"/>
  <c r="E821" i="3"/>
  <c r="D821" i="3"/>
  <c r="C821" i="3"/>
  <c r="N820" i="3"/>
  <c r="M820" i="3"/>
  <c r="L820" i="3"/>
  <c r="K820" i="3"/>
  <c r="J820" i="3"/>
  <c r="I820" i="3"/>
  <c r="H820" i="3"/>
  <c r="G820" i="3"/>
  <c r="F820" i="3"/>
  <c r="E820" i="3"/>
  <c r="D820" i="3"/>
  <c r="C820" i="3"/>
  <c r="M819" i="3"/>
  <c r="L819" i="3"/>
  <c r="K819" i="3"/>
  <c r="J819" i="3"/>
  <c r="I819" i="3"/>
  <c r="H819" i="3"/>
  <c r="G819" i="3"/>
  <c r="F819" i="3"/>
  <c r="E819" i="3"/>
  <c r="D819" i="3"/>
  <c r="C819" i="3"/>
  <c r="M818" i="3"/>
  <c r="L818" i="3"/>
  <c r="K818" i="3"/>
  <c r="J818" i="3"/>
  <c r="I818" i="3"/>
  <c r="H818" i="3"/>
  <c r="G818" i="3"/>
  <c r="F818" i="3"/>
  <c r="E818" i="3"/>
  <c r="D818" i="3"/>
  <c r="C818" i="3"/>
  <c r="M817" i="3"/>
  <c r="L817" i="3"/>
  <c r="K817" i="3"/>
  <c r="J817" i="3"/>
  <c r="I817" i="3"/>
  <c r="H817" i="3"/>
  <c r="G817" i="3"/>
  <c r="F817" i="3"/>
  <c r="E817" i="3"/>
  <c r="D817" i="3"/>
  <c r="C817" i="3"/>
  <c r="M816" i="3"/>
  <c r="L816" i="3"/>
  <c r="K816" i="3"/>
  <c r="J816" i="3"/>
  <c r="I816" i="3"/>
  <c r="H816" i="3"/>
  <c r="G816" i="3"/>
  <c r="F816" i="3"/>
  <c r="E816" i="3"/>
  <c r="D816" i="3"/>
  <c r="C816" i="3"/>
  <c r="M815" i="3"/>
  <c r="L815" i="3"/>
  <c r="K815" i="3"/>
  <c r="J815" i="3"/>
  <c r="I815" i="3"/>
  <c r="H815" i="3"/>
  <c r="G815" i="3"/>
  <c r="F815" i="3"/>
  <c r="E815" i="3"/>
  <c r="D815" i="3"/>
  <c r="C815" i="3"/>
  <c r="M814" i="3"/>
  <c r="L814" i="3"/>
  <c r="K814" i="3"/>
  <c r="J814" i="3"/>
  <c r="I814" i="3"/>
  <c r="H814" i="3"/>
  <c r="G814" i="3"/>
  <c r="F814" i="3"/>
  <c r="E814" i="3"/>
  <c r="D814" i="3"/>
  <c r="C814" i="3"/>
  <c r="M813" i="3"/>
  <c r="L813" i="3"/>
  <c r="K813" i="3"/>
  <c r="J813" i="3"/>
  <c r="I813" i="3"/>
  <c r="H813" i="3"/>
  <c r="G813" i="3"/>
  <c r="F813" i="3"/>
  <c r="E813" i="3"/>
  <c r="D813" i="3"/>
  <c r="C813" i="3"/>
  <c r="N812" i="3"/>
  <c r="M812" i="3"/>
  <c r="L812" i="3"/>
  <c r="K812" i="3"/>
  <c r="J812" i="3"/>
  <c r="I812" i="3"/>
  <c r="H812" i="3"/>
  <c r="G812" i="3"/>
  <c r="F812" i="3"/>
  <c r="E812" i="3"/>
  <c r="D812" i="3"/>
  <c r="C812" i="3"/>
  <c r="N811" i="3"/>
  <c r="L811" i="3"/>
  <c r="K811" i="3"/>
  <c r="J811" i="3"/>
  <c r="I811" i="3"/>
  <c r="H811" i="3"/>
  <c r="G811" i="3"/>
  <c r="F811" i="3"/>
  <c r="E811" i="3"/>
  <c r="D811" i="3"/>
  <c r="C811" i="3"/>
  <c r="M810" i="3"/>
  <c r="L810" i="3"/>
  <c r="K810" i="3"/>
  <c r="J810" i="3"/>
  <c r="I810" i="3"/>
  <c r="H810" i="3"/>
  <c r="G810" i="3"/>
  <c r="F810" i="3"/>
  <c r="E810" i="3"/>
  <c r="D810" i="3"/>
  <c r="C810" i="3"/>
  <c r="N809" i="3"/>
  <c r="K809" i="3"/>
  <c r="J809" i="3"/>
  <c r="I809" i="3"/>
  <c r="H809" i="3"/>
  <c r="F809" i="3"/>
  <c r="E809" i="3"/>
  <c r="D809" i="3"/>
  <c r="C809" i="3"/>
  <c r="M808" i="3"/>
  <c r="L808" i="3"/>
  <c r="K808" i="3"/>
  <c r="J808" i="3"/>
  <c r="I808" i="3"/>
  <c r="H808" i="3"/>
  <c r="G808" i="3"/>
  <c r="F808" i="3"/>
  <c r="E808" i="3"/>
  <c r="D808" i="3"/>
  <c r="C808" i="3"/>
  <c r="M807" i="3"/>
  <c r="L807" i="3"/>
  <c r="K807" i="3"/>
  <c r="J807" i="3"/>
  <c r="I807" i="3"/>
  <c r="H807" i="3"/>
  <c r="G807" i="3"/>
  <c r="F807" i="3"/>
  <c r="E807" i="3"/>
  <c r="D807" i="3"/>
  <c r="C807" i="3"/>
  <c r="M806" i="3"/>
  <c r="L806" i="3"/>
  <c r="K806" i="3"/>
  <c r="J806" i="3"/>
  <c r="I806" i="3"/>
  <c r="H806" i="3"/>
  <c r="G806" i="3"/>
  <c r="F806" i="3"/>
  <c r="E806" i="3"/>
  <c r="D806" i="3"/>
  <c r="C806" i="3"/>
  <c r="N805" i="3"/>
  <c r="K805" i="3"/>
  <c r="J805" i="3"/>
  <c r="I805" i="3"/>
  <c r="H805" i="3"/>
  <c r="F805" i="3"/>
  <c r="E805" i="3"/>
  <c r="D805" i="3"/>
  <c r="C805" i="3"/>
  <c r="N804" i="3"/>
  <c r="M804" i="3"/>
  <c r="L804" i="3"/>
  <c r="K804" i="3"/>
  <c r="J804" i="3"/>
  <c r="I804" i="3"/>
  <c r="H804" i="3"/>
  <c r="G804" i="3"/>
  <c r="F804" i="3"/>
  <c r="E804" i="3"/>
  <c r="D804" i="3"/>
  <c r="C804" i="3"/>
  <c r="M803" i="3"/>
  <c r="K803" i="3"/>
  <c r="J803" i="3"/>
  <c r="I803" i="3"/>
  <c r="H803" i="3"/>
  <c r="F803" i="3"/>
  <c r="E803" i="3"/>
  <c r="D803" i="3"/>
  <c r="C803" i="3"/>
  <c r="N802" i="3"/>
  <c r="M802" i="3"/>
  <c r="L802" i="3"/>
  <c r="K802" i="3"/>
  <c r="J802" i="3"/>
  <c r="I802" i="3"/>
  <c r="H802" i="3"/>
  <c r="G802" i="3"/>
  <c r="F802" i="3"/>
  <c r="E802" i="3"/>
  <c r="D802" i="3"/>
  <c r="C802" i="3"/>
  <c r="N801" i="3"/>
  <c r="M801" i="3"/>
  <c r="L801" i="3"/>
  <c r="K801" i="3"/>
  <c r="J801" i="3"/>
  <c r="I801" i="3"/>
  <c r="H801" i="3"/>
  <c r="G801" i="3"/>
  <c r="F801" i="3"/>
  <c r="E801" i="3"/>
  <c r="D801" i="3"/>
  <c r="C801" i="3"/>
  <c r="M800" i="3"/>
  <c r="L800" i="3"/>
  <c r="K800" i="3"/>
  <c r="J800" i="3"/>
  <c r="I800" i="3"/>
  <c r="H800" i="3"/>
  <c r="G800" i="3"/>
  <c r="F800" i="3"/>
  <c r="E800" i="3"/>
  <c r="D800" i="3"/>
  <c r="C800" i="3"/>
  <c r="L799" i="3"/>
  <c r="K799" i="3"/>
  <c r="J799" i="3"/>
  <c r="I799" i="3"/>
  <c r="H799" i="3"/>
  <c r="G799" i="3"/>
  <c r="F799" i="3"/>
  <c r="E799" i="3"/>
  <c r="D799" i="3"/>
  <c r="C799" i="3"/>
  <c r="M798" i="3"/>
  <c r="L798" i="3"/>
  <c r="K798" i="3"/>
  <c r="J798" i="3"/>
  <c r="I798" i="3"/>
  <c r="H798" i="3"/>
  <c r="G798" i="3"/>
  <c r="F798" i="3"/>
  <c r="E798" i="3"/>
  <c r="D798" i="3"/>
  <c r="C798" i="3"/>
  <c r="M797" i="3"/>
  <c r="L797" i="3"/>
  <c r="K797" i="3"/>
  <c r="J797" i="3"/>
  <c r="I797" i="3"/>
  <c r="H797" i="3"/>
  <c r="G797" i="3"/>
  <c r="F797" i="3"/>
  <c r="E797" i="3"/>
  <c r="D797" i="3"/>
  <c r="C797" i="3"/>
  <c r="N796" i="3"/>
  <c r="L796" i="3"/>
  <c r="K796" i="3"/>
  <c r="J796" i="3"/>
  <c r="I796" i="3"/>
  <c r="H796" i="3"/>
  <c r="G796" i="3"/>
  <c r="F796" i="3"/>
  <c r="E796" i="3"/>
  <c r="D796" i="3"/>
  <c r="C796" i="3"/>
  <c r="M795" i="3"/>
  <c r="L795" i="3"/>
  <c r="K795" i="3"/>
  <c r="J795" i="3"/>
  <c r="I795" i="3"/>
  <c r="H795" i="3"/>
  <c r="G795" i="3"/>
  <c r="F795" i="3"/>
  <c r="E795" i="3"/>
  <c r="D795" i="3"/>
  <c r="C795" i="3"/>
  <c r="M794" i="3"/>
  <c r="K794" i="3"/>
  <c r="J794" i="3"/>
  <c r="I794" i="3"/>
  <c r="H794" i="3"/>
  <c r="F794" i="3"/>
  <c r="E794" i="3"/>
  <c r="D794" i="3"/>
  <c r="C794" i="3"/>
  <c r="N793" i="3"/>
  <c r="L793" i="3"/>
  <c r="K793" i="3"/>
  <c r="J793" i="3"/>
  <c r="I793" i="3"/>
  <c r="H793" i="3"/>
  <c r="G793" i="3"/>
  <c r="F793" i="3"/>
  <c r="E793" i="3"/>
  <c r="D793" i="3"/>
  <c r="C793" i="3"/>
  <c r="N792" i="3"/>
  <c r="M792" i="3"/>
  <c r="L792" i="3"/>
  <c r="K792" i="3"/>
  <c r="J792" i="3"/>
  <c r="I792" i="3"/>
  <c r="H792" i="3"/>
  <c r="G792" i="3"/>
  <c r="F792" i="3"/>
  <c r="E792" i="3"/>
  <c r="D792" i="3"/>
  <c r="C792" i="3"/>
  <c r="M791" i="3"/>
  <c r="L791" i="3"/>
  <c r="K791" i="3"/>
  <c r="J791" i="3"/>
  <c r="I791" i="3"/>
  <c r="H791" i="3"/>
  <c r="G791" i="3"/>
  <c r="F791" i="3"/>
  <c r="E791" i="3"/>
  <c r="D791" i="3"/>
  <c r="C791" i="3"/>
  <c r="N790" i="3"/>
  <c r="M790" i="3"/>
  <c r="L790" i="3"/>
  <c r="K790" i="3"/>
  <c r="J790" i="3"/>
  <c r="I790" i="3"/>
  <c r="H790" i="3"/>
  <c r="G790" i="3"/>
  <c r="F790" i="3"/>
  <c r="E790" i="3"/>
  <c r="D790" i="3"/>
  <c r="C790" i="3"/>
  <c r="M789" i="3"/>
  <c r="L789" i="3"/>
  <c r="K789" i="3"/>
  <c r="J789" i="3"/>
  <c r="I789" i="3"/>
  <c r="H789" i="3"/>
  <c r="G789" i="3"/>
  <c r="F789" i="3"/>
  <c r="E789" i="3"/>
  <c r="D789" i="3"/>
  <c r="C789" i="3"/>
  <c r="M788" i="3"/>
  <c r="L788" i="3"/>
  <c r="K788" i="3"/>
  <c r="J788" i="3"/>
  <c r="I788" i="3"/>
  <c r="H788" i="3"/>
  <c r="G788" i="3"/>
  <c r="F788" i="3"/>
  <c r="E788" i="3"/>
  <c r="D788" i="3"/>
  <c r="C788" i="3"/>
  <c r="N787" i="3"/>
  <c r="M787" i="3"/>
  <c r="L787" i="3"/>
  <c r="K787" i="3"/>
  <c r="J787" i="3"/>
  <c r="I787" i="3"/>
  <c r="H787" i="3"/>
  <c r="G787" i="3"/>
  <c r="F787" i="3"/>
  <c r="E787" i="3"/>
  <c r="D787" i="3"/>
  <c r="C787" i="3"/>
  <c r="N786" i="3"/>
  <c r="L786" i="3"/>
  <c r="K786" i="3"/>
  <c r="J786" i="3"/>
  <c r="I786" i="3"/>
  <c r="H786" i="3"/>
  <c r="G786" i="3"/>
  <c r="F786" i="3"/>
  <c r="E786" i="3"/>
  <c r="D786" i="3"/>
  <c r="C786" i="3"/>
  <c r="N785" i="3"/>
  <c r="M785" i="3"/>
  <c r="L785" i="3"/>
  <c r="K785" i="3"/>
  <c r="J785" i="3"/>
  <c r="I785" i="3"/>
  <c r="H785" i="3"/>
  <c r="G785" i="3"/>
  <c r="F785" i="3"/>
  <c r="E785" i="3"/>
  <c r="D785" i="3"/>
  <c r="C785" i="3"/>
  <c r="N784" i="3"/>
  <c r="L784" i="3"/>
  <c r="K784" i="3"/>
  <c r="J784" i="3"/>
  <c r="I784" i="3"/>
  <c r="H784" i="3"/>
  <c r="G784" i="3"/>
  <c r="F784" i="3"/>
  <c r="E784" i="3"/>
  <c r="D784" i="3"/>
  <c r="C784" i="3"/>
  <c r="N783" i="3"/>
  <c r="M783" i="3"/>
  <c r="L783" i="3"/>
  <c r="K783" i="3"/>
  <c r="J783" i="3"/>
  <c r="I783" i="3"/>
  <c r="H783" i="3"/>
  <c r="G783" i="3"/>
  <c r="F783" i="3"/>
  <c r="E783" i="3"/>
  <c r="D783" i="3"/>
  <c r="C783" i="3"/>
  <c r="N782" i="3"/>
  <c r="M782" i="3"/>
  <c r="L782" i="3"/>
  <c r="K782" i="3"/>
  <c r="J782" i="3"/>
  <c r="I782" i="3"/>
  <c r="H782" i="3"/>
  <c r="G782" i="3"/>
  <c r="F782" i="3"/>
  <c r="E782" i="3"/>
  <c r="D782" i="3"/>
  <c r="C782" i="3"/>
  <c r="N781" i="3"/>
  <c r="M781" i="3"/>
  <c r="L781" i="3"/>
  <c r="K781" i="3"/>
  <c r="J781" i="3"/>
  <c r="I781" i="3"/>
  <c r="H781" i="3"/>
  <c r="G781" i="3"/>
  <c r="F781" i="3"/>
  <c r="E781" i="3"/>
  <c r="D781" i="3"/>
  <c r="C781" i="3"/>
  <c r="N780" i="3"/>
  <c r="M780" i="3"/>
  <c r="L780" i="3"/>
  <c r="K780" i="3"/>
  <c r="J780" i="3"/>
  <c r="I780" i="3"/>
  <c r="H780" i="3"/>
  <c r="G780" i="3"/>
  <c r="F780" i="3"/>
  <c r="E780" i="3"/>
  <c r="D780" i="3"/>
  <c r="C780" i="3"/>
  <c r="M779" i="3"/>
  <c r="L779" i="3"/>
  <c r="K779" i="3"/>
  <c r="J779" i="3"/>
  <c r="I779" i="3"/>
  <c r="H779" i="3"/>
  <c r="G779" i="3"/>
  <c r="F779" i="3"/>
  <c r="E779" i="3"/>
  <c r="D779" i="3"/>
  <c r="C779" i="3"/>
  <c r="M778" i="3"/>
  <c r="K778" i="3"/>
  <c r="J778" i="3"/>
  <c r="I778" i="3"/>
  <c r="H778" i="3"/>
  <c r="F778" i="3"/>
  <c r="E778" i="3"/>
  <c r="D778" i="3"/>
  <c r="C778" i="3"/>
  <c r="M777" i="3"/>
  <c r="L777" i="3"/>
  <c r="K777" i="3"/>
  <c r="J777" i="3"/>
  <c r="I777" i="3"/>
  <c r="H777" i="3"/>
  <c r="G777" i="3"/>
  <c r="F777" i="3"/>
  <c r="E777" i="3"/>
  <c r="D777" i="3"/>
  <c r="C777" i="3"/>
  <c r="M776" i="3"/>
  <c r="L776" i="3"/>
  <c r="K776" i="3"/>
  <c r="J776" i="3"/>
  <c r="I776" i="3"/>
  <c r="H776" i="3"/>
  <c r="G776" i="3"/>
  <c r="F776" i="3"/>
  <c r="E776" i="3"/>
  <c r="D776" i="3"/>
  <c r="C776" i="3"/>
  <c r="M775" i="3"/>
  <c r="L775" i="3"/>
  <c r="K775" i="3"/>
  <c r="J775" i="3"/>
  <c r="I775" i="3"/>
  <c r="H775" i="3"/>
  <c r="G775" i="3"/>
  <c r="F775" i="3"/>
  <c r="E775" i="3"/>
  <c r="D775" i="3"/>
  <c r="C775" i="3"/>
  <c r="M774" i="3"/>
  <c r="L774" i="3"/>
  <c r="K774" i="3"/>
  <c r="J774" i="3"/>
  <c r="I774" i="3"/>
  <c r="H774" i="3"/>
  <c r="G774" i="3"/>
  <c r="F774" i="3"/>
  <c r="E774" i="3"/>
  <c r="D774" i="3"/>
  <c r="C774" i="3"/>
  <c r="M773" i="3"/>
  <c r="L773" i="3"/>
  <c r="K773" i="3"/>
  <c r="J773" i="3"/>
  <c r="I773" i="3"/>
  <c r="H773" i="3"/>
  <c r="G773" i="3"/>
  <c r="F773" i="3"/>
  <c r="E773" i="3"/>
  <c r="D773" i="3"/>
  <c r="C773" i="3"/>
  <c r="M772" i="3"/>
  <c r="L772" i="3"/>
  <c r="K772" i="3"/>
  <c r="J772" i="3"/>
  <c r="I772" i="3"/>
  <c r="H772" i="3"/>
  <c r="G772" i="3"/>
  <c r="F772" i="3"/>
  <c r="E772" i="3"/>
  <c r="D772" i="3"/>
  <c r="C772" i="3"/>
  <c r="N771" i="3"/>
  <c r="M771" i="3"/>
  <c r="L771" i="3"/>
  <c r="K771" i="3"/>
  <c r="J771" i="3"/>
  <c r="I771" i="3"/>
  <c r="H771" i="3"/>
  <c r="G771" i="3"/>
  <c r="F771" i="3"/>
  <c r="E771" i="3"/>
  <c r="D771" i="3"/>
  <c r="C771" i="3"/>
  <c r="M770" i="3"/>
  <c r="L770" i="3"/>
  <c r="K770" i="3"/>
  <c r="J770" i="3"/>
  <c r="I770" i="3"/>
  <c r="H770" i="3"/>
  <c r="G770" i="3"/>
  <c r="F770" i="3"/>
  <c r="E770" i="3"/>
  <c r="D770" i="3"/>
  <c r="C770" i="3"/>
  <c r="N769" i="3"/>
  <c r="M769" i="3"/>
  <c r="K769" i="3"/>
  <c r="J769" i="3"/>
  <c r="I769" i="3"/>
  <c r="H769" i="3"/>
  <c r="F769" i="3"/>
  <c r="E769" i="3"/>
  <c r="D769" i="3"/>
  <c r="C769" i="3"/>
  <c r="N768" i="3"/>
  <c r="M768" i="3"/>
  <c r="L768" i="3"/>
  <c r="K768" i="3"/>
  <c r="J768" i="3"/>
  <c r="I768" i="3"/>
  <c r="H768" i="3"/>
  <c r="G768" i="3"/>
  <c r="F768" i="3"/>
  <c r="E768" i="3"/>
  <c r="D768" i="3"/>
  <c r="C768" i="3"/>
  <c r="N767" i="3"/>
  <c r="L767" i="3"/>
  <c r="K767" i="3"/>
  <c r="J767" i="3"/>
  <c r="I767" i="3"/>
  <c r="H767" i="3"/>
  <c r="G767" i="3"/>
  <c r="F767" i="3"/>
  <c r="E767" i="3"/>
  <c r="D767" i="3"/>
  <c r="C767" i="3"/>
  <c r="N766" i="3"/>
  <c r="L766" i="3"/>
  <c r="K766" i="3"/>
  <c r="J766" i="3"/>
  <c r="I766" i="3"/>
  <c r="H766" i="3"/>
  <c r="G766" i="3"/>
  <c r="F766" i="3"/>
  <c r="E766" i="3"/>
  <c r="D766" i="3"/>
  <c r="C766" i="3"/>
  <c r="N765" i="3"/>
  <c r="M765" i="3"/>
  <c r="K765" i="3"/>
  <c r="J765" i="3"/>
  <c r="I765" i="3"/>
  <c r="H765" i="3"/>
  <c r="F765" i="3"/>
  <c r="E765" i="3"/>
  <c r="D765" i="3"/>
  <c r="C765" i="3"/>
  <c r="M764" i="3"/>
  <c r="L764" i="3"/>
  <c r="K764" i="3"/>
  <c r="J764" i="3"/>
  <c r="I764" i="3"/>
  <c r="H764" i="3"/>
  <c r="G764" i="3"/>
  <c r="F764" i="3"/>
  <c r="E764" i="3"/>
  <c r="D764" i="3"/>
  <c r="C764" i="3"/>
  <c r="N763" i="3"/>
  <c r="M763" i="3"/>
  <c r="K763" i="3"/>
  <c r="J763" i="3"/>
  <c r="I763" i="3"/>
  <c r="H763" i="3"/>
  <c r="F763" i="3"/>
  <c r="E763" i="3"/>
  <c r="D763" i="3"/>
  <c r="C763" i="3"/>
  <c r="N762" i="3"/>
  <c r="M762" i="3"/>
  <c r="K762" i="3"/>
  <c r="J762" i="3"/>
  <c r="I762" i="3"/>
  <c r="H762" i="3"/>
  <c r="F762" i="3"/>
  <c r="E762" i="3"/>
  <c r="D762" i="3"/>
  <c r="C762" i="3"/>
  <c r="N761" i="3"/>
  <c r="M761" i="3"/>
  <c r="K761" i="3"/>
  <c r="J761" i="3"/>
  <c r="I761" i="3"/>
  <c r="H761" i="3"/>
  <c r="F761" i="3"/>
  <c r="E761" i="3"/>
  <c r="D761" i="3"/>
  <c r="C761" i="3"/>
  <c r="N760" i="3"/>
  <c r="M760" i="3"/>
  <c r="L760" i="3"/>
  <c r="K760" i="3"/>
  <c r="J760" i="3"/>
  <c r="I760" i="3"/>
  <c r="H760" i="3"/>
  <c r="G760" i="3"/>
  <c r="F760" i="3"/>
  <c r="E760" i="3"/>
  <c r="D760" i="3"/>
  <c r="C760" i="3"/>
  <c r="N759" i="3"/>
  <c r="M759" i="3"/>
  <c r="L759" i="3"/>
  <c r="K759" i="3"/>
  <c r="J759" i="3"/>
  <c r="I759" i="3"/>
  <c r="H759" i="3"/>
  <c r="G759" i="3"/>
  <c r="F759" i="3"/>
  <c r="E759" i="3"/>
  <c r="D759" i="3"/>
  <c r="C759" i="3"/>
  <c r="M758" i="3"/>
  <c r="L758" i="3"/>
  <c r="K758" i="3"/>
  <c r="J758" i="3"/>
  <c r="I758" i="3"/>
  <c r="H758" i="3"/>
  <c r="G758" i="3"/>
  <c r="F758" i="3"/>
  <c r="E758" i="3"/>
  <c r="D758" i="3"/>
  <c r="C758" i="3"/>
  <c r="M757" i="3"/>
  <c r="L757" i="3"/>
  <c r="K757" i="3"/>
  <c r="J757" i="3"/>
  <c r="I757" i="3"/>
  <c r="H757" i="3"/>
  <c r="G757" i="3"/>
  <c r="F757" i="3"/>
  <c r="E757" i="3"/>
  <c r="D757" i="3"/>
  <c r="C757" i="3"/>
  <c r="M756" i="3"/>
  <c r="L756" i="3"/>
  <c r="K756" i="3"/>
  <c r="J756" i="3"/>
  <c r="I756" i="3"/>
  <c r="H756" i="3"/>
  <c r="G756" i="3"/>
  <c r="F756" i="3"/>
  <c r="E756" i="3"/>
  <c r="D756" i="3"/>
  <c r="C756" i="3"/>
  <c r="N755" i="3"/>
  <c r="M755" i="3"/>
  <c r="L755" i="3"/>
  <c r="K755" i="3"/>
  <c r="J755" i="3"/>
  <c r="I755" i="3"/>
  <c r="H755" i="3"/>
  <c r="G755" i="3"/>
  <c r="F755" i="3"/>
  <c r="E755" i="3"/>
  <c r="D755" i="3"/>
  <c r="C755" i="3"/>
  <c r="M754" i="3"/>
  <c r="L754" i="3"/>
  <c r="K754" i="3"/>
  <c r="J754" i="3"/>
  <c r="I754" i="3"/>
  <c r="H754" i="3"/>
  <c r="G754" i="3"/>
  <c r="F754" i="3"/>
  <c r="E754" i="3"/>
  <c r="D754" i="3"/>
  <c r="C754" i="3"/>
  <c r="M753" i="3"/>
  <c r="L753" i="3"/>
  <c r="K753" i="3"/>
  <c r="J753" i="3"/>
  <c r="I753" i="3"/>
  <c r="H753" i="3"/>
  <c r="G753" i="3"/>
  <c r="F753" i="3"/>
  <c r="E753" i="3"/>
  <c r="D753" i="3"/>
  <c r="C753" i="3"/>
  <c r="M752" i="3"/>
  <c r="L752" i="3"/>
  <c r="K752" i="3"/>
  <c r="J752" i="3"/>
  <c r="I752" i="3"/>
  <c r="H752" i="3"/>
  <c r="G752" i="3"/>
  <c r="F752" i="3"/>
  <c r="E752" i="3"/>
  <c r="D752" i="3"/>
  <c r="C752" i="3"/>
  <c r="M751" i="3"/>
  <c r="L751" i="3"/>
  <c r="K751" i="3"/>
  <c r="J751" i="3"/>
  <c r="I751" i="3"/>
  <c r="H751" i="3"/>
  <c r="G751" i="3"/>
  <c r="F751" i="3"/>
  <c r="E751" i="3"/>
  <c r="D751" i="3"/>
  <c r="C751" i="3"/>
  <c r="M750" i="3"/>
  <c r="L750" i="3"/>
  <c r="K750" i="3"/>
  <c r="J750" i="3"/>
  <c r="I750" i="3"/>
  <c r="H750" i="3"/>
  <c r="G750" i="3"/>
  <c r="F750" i="3"/>
  <c r="E750" i="3"/>
  <c r="D750" i="3"/>
  <c r="C750" i="3"/>
  <c r="N749" i="3"/>
  <c r="M749" i="3"/>
  <c r="L749" i="3"/>
  <c r="K749" i="3"/>
  <c r="J749" i="3"/>
  <c r="I749" i="3"/>
  <c r="H749" i="3"/>
  <c r="G749" i="3"/>
  <c r="F749" i="3"/>
  <c r="E749" i="3"/>
  <c r="D749" i="3"/>
  <c r="C749" i="3"/>
  <c r="M748" i="3"/>
  <c r="K748" i="3"/>
  <c r="J748" i="3"/>
  <c r="I748" i="3"/>
  <c r="H748" i="3"/>
  <c r="F748" i="3"/>
  <c r="E748" i="3"/>
  <c r="D748" i="3"/>
  <c r="C748" i="3"/>
  <c r="M747" i="3"/>
  <c r="L747" i="3"/>
  <c r="K747" i="3"/>
  <c r="J747" i="3"/>
  <c r="I747" i="3"/>
  <c r="H747" i="3"/>
  <c r="G747" i="3"/>
  <c r="F747" i="3"/>
  <c r="E747" i="3"/>
  <c r="D747" i="3"/>
  <c r="C747" i="3"/>
  <c r="M746" i="3"/>
  <c r="L746" i="3"/>
  <c r="K746" i="3"/>
  <c r="J746" i="3"/>
  <c r="I746" i="3"/>
  <c r="H746" i="3"/>
  <c r="G746" i="3"/>
  <c r="F746" i="3"/>
  <c r="E746" i="3"/>
  <c r="D746" i="3"/>
  <c r="C746" i="3"/>
  <c r="M745" i="3"/>
  <c r="L745" i="3"/>
  <c r="K745" i="3"/>
  <c r="J745" i="3"/>
  <c r="I745" i="3"/>
  <c r="H745" i="3"/>
  <c r="G745" i="3"/>
  <c r="F745" i="3"/>
  <c r="E745" i="3"/>
  <c r="D745" i="3"/>
  <c r="C745" i="3"/>
  <c r="M744" i="3"/>
  <c r="L744" i="3"/>
  <c r="K744" i="3"/>
  <c r="J744" i="3"/>
  <c r="I744" i="3"/>
  <c r="H744" i="3"/>
  <c r="G744" i="3"/>
  <c r="F744" i="3"/>
  <c r="E744" i="3"/>
  <c r="D744" i="3"/>
  <c r="C744" i="3"/>
  <c r="M743" i="3"/>
  <c r="L743" i="3"/>
  <c r="K743" i="3"/>
  <c r="J743" i="3"/>
  <c r="I743" i="3"/>
  <c r="H743" i="3"/>
  <c r="G743" i="3"/>
  <c r="F743" i="3"/>
  <c r="E743" i="3"/>
  <c r="D743" i="3"/>
  <c r="C743" i="3"/>
  <c r="N742" i="3"/>
  <c r="M742" i="3"/>
  <c r="K742" i="3"/>
  <c r="J742" i="3"/>
  <c r="I742" i="3"/>
  <c r="H742" i="3"/>
  <c r="F742" i="3"/>
  <c r="E742" i="3"/>
  <c r="D742" i="3"/>
  <c r="C742" i="3"/>
  <c r="M741" i="3"/>
  <c r="L741" i="3"/>
  <c r="K741" i="3"/>
  <c r="J741" i="3"/>
  <c r="I741" i="3"/>
  <c r="H741" i="3"/>
  <c r="G741" i="3"/>
  <c r="F741" i="3"/>
  <c r="E741" i="3"/>
  <c r="D741" i="3"/>
  <c r="C741" i="3"/>
  <c r="N740" i="3"/>
  <c r="L740" i="3"/>
  <c r="K740" i="3"/>
  <c r="J740" i="3"/>
  <c r="I740" i="3"/>
  <c r="H740" i="3"/>
  <c r="G740" i="3"/>
  <c r="F740" i="3"/>
  <c r="E740" i="3"/>
  <c r="D740" i="3"/>
  <c r="C740" i="3"/>
  <c r="M739" i="3"/>
  <c r="L739" i="3"/>
  <c r="K739" i="3"/>
  <c r="J739" i="3"/>
  <c r="I739" i="3"/>
  <c r="H739" i="3"/>
  <c r="G739" i="3"/>
  <c r="F739" i="3"/>
  <c r="E739" i="3"/>
  <c r="D739" i="3"/>
  <c r="C739" i="3"/>
  <c r="M738" i="3"/>
  <c r="L738" i="3"/>
  <c r="K738" i="3"/>
  <c r="J738" i="3"/>
  <c r="I738" i="3"/>
  <c r="H738" i="3"/>
  <c r="G738" i="3"/>
  <c r="F738" i="3"/>
  <c r="E738" i="3"/>
  <c r="D738" i="3"/>
  <c r="C738" i="3"/>
  <c r="M737" i="3"/>
  <c r="L737" i="3"/>
  <c r="K737" i="3"/>
  <c r="J737" i="3"/>
  <c r="I737" i="3"/>
  <c r="H737" i="3"/>
  <c r="G737" i="3"/>
  <c r="F737" i="3"/>
  <c r="E737" i="3"/>
  <c r="D737" i="3"/>
  <c r="C737" i="3"/>
  <c r="M736" i="3"/>
  <c r="L736" i="3"/>
  <c r="K736" i="3"/>
  <c r="J736" i="3"/>
  <c r="I736" i="3"/>
  <c r="H736" i="3"/>
  <c r="G736" i="3"/>
  <c r="F736" i="3"/>
  <c r="E736" i="3"/>
  <c r="D736" i="3"/>
  <c r="C736" i="3"/>
  <c r="N735" i="3"/>
  <c r="L735" i="3"/>
  <c r="K735" i="3"/>
  <c r="J735" i="3"/>
  <c r="I735" i="3"/>
  <c r="H735" i="3"/>
  <c r="G735" i="3"/>
  <c r="F735" i="3"/>
  <c r="E735" i="3"/>
  <c r="D735" i="3"/>
  <c r="C735" i="3"/>
  <c r="M734" i="3"/>
  <c r="L734" i="3"/>
  <c r="K734" i="3"/>
  <c r="J734" i="3"/>
  <c r="I734" i="3"/>
  <c r="H734" i="3"/>
  <c r="G734" i="3"/>
  <c r="F734" i="3"/>
  <c r="E734" i="3"/>
  <c r="D734" i="3"/>
  <c r="C734" i="3"/>
  <c r="N733" i="3"/>
  <c r="M733" i="3"/>
  <c r="L733" i="3"/>
  <c r="K733" i="3"/>
  <c r="J733" i="3"/>
  <c r="I733" i="3"/>
  <c r="H733" i="3"/>
  <c r="G733" i="3"/>
  <c r="F733" i="3"/>
  <c r="E733" i="3"/>
  <c r="D733" i="3"/>
  <c r="C733" i="3"/>
  <c r="N732" i="3"/>
  <c r="K732" i="3"/>
  <c r="J732" i="3"/>
  <c r="I732" i="3"/>
  <c r="H732" i="3"/>
  <c r="F732" i="3"/>
  <c r="E732" i="3"/>
  <c r="D732" i="3"/>
  <c r="C732" i="3"/>
  <c r="N731" i="3"/>
  <c r="M731" i="3"/>
  <c r="K731" i="3"/>
  <c r="J731" i="3"/>
  <c r="I731" i="3"/>
  <c r="H731" i="3"/>
  <c r="F731" i="3"/>
  <c r="E731" i="3"/>
  <c r="D731" i="3"/>
  <c r="C731" i="3"/>
  <c r="M730" i="3"/>
  <c r="L730" i="3"/>
  <c r="K730" i="3"/>
  <c r="J730" i="3"/>
  <c r="I730" i="3"/>
  <c r="H730" i="3"/>
  <c r="G730" i="3"/>
  <c r="F730" i="3"/>
  <c r="E730" i="3"/>
  <c r="D730" i="3"/>
  <c r="C730" i="3"/>
  <c r="N729" i="3"/>
  <c r="M729" i="3"/>
  <c r="L729" i="3"/>
  <c r="K729" i="3"/>
  <c r="J729" i="3"/>
  <c r="I729" i="3"/>
  <c r="H729" i="3"/>
  <c r="G729" i="3"/>
  <c r="F729" i="3"/>
  <c r="E729" i="3"/>
  <c r="D729" i="3"/>
  <c r="C729" i="3"/>
  <c r="N728" i="3"/>
  <c r="L728" i="3"/>
  <c r="K728" i="3"/>
  <c r="J728" i="3"/>
  <c r="I728" i="3"/>
  <c r="H728" i="3"/>
  <c r="G728" i="3"/>
  <c r="F728" i="3"/>
  <c r="E728" i="3"/>
  <c r="D728" i="3"/>
  <c r="C728" i="3"/>
  <c r="M727" i="3"/>
  <c r="L727" i="3"/>
  <c r="K727" i="3"/>
  <c r="J727" i="3"/>
  <c r="I727" i="3"/>
  <c r="H727" i="3"/>
  <c r="G727" i="3"/>
  <c r="F727" i="3"/>
  <c r="E727" i="3"/>
  <c r="D727" i="3"/>
  <c r="C727" i="3"/>
  <c r="M726" i="3"/>
  <c r="L726" i="3"/>
  <c r="K726" i="3"/>
  <c r="J726" i="3"/>
  <c r="I726" i="3"/>
  <c r="H726" i="3"/>
  <c r="G726" i="3"/>
  <c r="F726" i="3"/>
  <c r="E726" i="3"/>
  <c r="D726" i="3"/>
  <c r="C726" i="3"/>
  <c r="M725" i="3"/>
  <c r="K725" i="3"/>
  <c r="J725" i="3"/>
  <c r="I725" i="3"/>
  <c r="H725" i="3"/>
  <c r="F725" i="3"/>
  <c r="E725" i="3"/>
  <c r="D725" i="3"/>
  <c r="C725" i="3"/>
  <c r="M724" i="3"/>
  <c r="L724" i="3"/>
  <c r="K724" i="3"/>
  <c r="J724" i="3"/>
  <c r="I724" i="3"/>
  <c r="H724" i="3"/>
  <c r="G724" i="3"/>
  <c r="F724" i="3"/>
  <c r="E724" i="3"/>
  <c r="D724" i="3"/>
  <c r="C724" i="3"/>
  <c r="M723" i="3"/>
  <c r="L723" i="3"/>
  <c r="K723" i="3"/>
  <c r="J723" i="3"/>
  <c r="I723" i="3"/>
  <c r="H723" i="3"/>
  <c r="G723" i="3"/>
  <c r="F723" i="3"/>
  <c r="E723" i="3"/>
  <c r="D723" i="3"/>
  <c r="C723" i="3"/>
  <c r="M722" i="3"/>
  <c r="L722" i="3"/>
  <c r="K722" i="3"/>
  <c r="J722" i="3"/>
  <c r="I722" i="3"/>
  <c r="H722" i="3"/>
  <c r="G722" i="3"/>
  <c r="F722" i="3"/>
  <c r="E722" i="3"/>
  <c r="D722" i="3"/>
  <c r="C722" i="3"/>
  <c r="M721" i="3"/>
  <c r="L721" i="3"/>
  <c r="K721" i="3"/>
  <c r="J721" i="3"/>
  <c r="I721" i="3"/>
  <c r="H721" i="3"/>
  <c r="G721" i="3"/>
  <c r="F721" i="3"/>
  <c r="E721" i="3"/>
  <c r="D721" i="3"/>
  <c r="C721" i="3"/>
  <c r="N720" i="3"/>
  <c r="L720" i="3"/>
  <c r="K720" i="3"/>
  <c r="J720" i="3"/>
  <c r="I720" i="3"/>
  <c r="H720" i="3"/>
  <c r="G720" i="3"/>
  <c r="F720" i="3"/>
  <c r="E720" i="3"/>
  <c r="D720" i="3"/>
  <c r="C720" i="3"/>
  <c r="M719" i="3"/>
  <c r="K719" i="3"/>
  <c r="J719" i="3"/>
  <c r="I719" i="3"/>
  <c r="H719" i="3"/>
  <c r="F719" i="3"/>
  <c r="E719" i="3"/>
  <c r="D719" i="3"/>
  <c r="C719" i="3"/>
  <c r="M718" i="3"/>
  <c r="L718" i="3"/>
  <c r="K718" i="3"/>
  <c r="J718" i="3"/>
  <c r="I718" i="3"/>
  <c r="H718" i="3"/>
  <c r="G718" i="3"/>
  <c r="F718" i="3"/>
  <c r="E718" i="3"/>
  <c r="D718" i="3"/>
  <c r="C718" i="3"/>
  <c r="M717" i="3"/>
  <c r="K717" i="3"/>
  <c r="J717" i="3"/>
  <c r="I717" i="3"/>
  <c r="H717" i="3"/>
  <c r="F717" i="3"/>
  <c r="E717" i="3"/>
  <c r="D717" i="3"/>
  <c r="C717" i="3"/>
  <c r="M716" i="3"/>
  <c r="K716" i="3"/>
  <c r="J716" i="3"/>
  <c r="I716" i="3"/>
  <c r="H716" i="3"/>
  <c r="F716" i="3"/>
  <c r="E716" i="3"/>
  <c r="D716" i="3"/>
  <c r="C716" i="3"/>
  <c r="M715" i="3"/>
  <c r="L715" i="3"/>
  <c r="K715" i="3"/>
  <c r="J715" i="3"/>
  <c r="I715" i="3"/>
  <c r="H715" i="3"/>
  <c r="G715" i="3"/>
  <c r="F715" i="3"/>
  <c r="E715" i="3"/>
  <c r="D715" i="3"/>
  <c r="C715" i="3"/>
  <c r="M714" i="3"/>
  <c r="L714" i="3"/>
  <c r="K714" i="3"/>
  <c r="J714" i="3"/>
  <c r="I714" i="3"/>
  <c r="H714" i="3"/>
  <c r="G714" i="3"/>
  <c r="F714" i="3"/>
  <c r="E714" i="3"/>
  <c r="D714" i="3"/>
  <c r="C714" i="3"/>
  <c r="N713" i="3"/>
  <c r="L713" i="3"/>
  <c r="K713" i="3"/>
  <c r="J713" i="3"/>
  <c r="I713" i="3"/>
  <c r="H713" i="3"/>
  <c r="G713" i="3"/>
  <c r="F713" i="3"/>
  <c r="E713" i="3"/>
  <c r="D713" i="3"/>
  <c r="C713" i="3"/>
  <c r="M712" i="3"/>
  <c r="L712" i="3"/>
  <c r="K712" i="3"/>
  <c r="J712" i="3"/>
  <c r="I712" i="3"/>
  <c r="H712" i="3"/>
  <c r="G712" i="3"/>
  <c r="F712" i="3"/>
  <c r="E712" i="3"/>
  <c r="D712" i="3"/>
  <c r="C712" i="3"/>
  <c r="M711" i="3"/>
  <c r="L711" i="3"/>
  <c r="K711" i="3"/>
  <c r="J711" i="3"/>
  <c r="I711" i="3"/>
  <c r="H711" i="3"/>
  <c r="G711" i="3"/>
  <c r="F711" i="3"/>
  <c r="E711" i="3"/>
  <c r="D711" i="3"/>
  <c r="C711" i="3"/>
  <c r="M710" i="3"/>
  <c r="L710" i="3"/>
  <c r="K710" i="3"/>
  <c r="J710" i="3"/>
  <c r="I710" i="3"/>
  <c r="H710" i="3"/>
  <c r="G710" i="3"/>
  <c r="F710" i="3"/>
  <c r="E710" i="3"/>
  <c r="D710" i="3"/>
  <c r="C710" i="3"/>
  <c r="N709" i="3"/>
  <c r="K709" i="3"/>
  <c r="J709" i="3"/>
  <c r="I709" i="3"/>
  <c r="H709" i="3"/>
  <c r="F709" i="3"/>
  <c r="E709" i="3"/>
  <c r="D709" i="3"/>
  <c r="C709" i="3"/>
  <c r="M708" i="3"/>
  <c r="L708" i="3"/>
  <c r="K708" i="3"/>
  <c r="J708" i="3"/>
  <c r="I708" i="3"/>
  <c r="H708" i="3"/>
  <c r="G708" i="3"/>
  <c r="F708" i="3"/>
  <c r="E708" i="3"/>
  <c r="D708" i="3"/>
  <c r="C708" i="3"/>
  <c r="M707" i="3"/>
  <c r="L707" i="3"/>
  <c r="K707" i="3"/>
  <c r="J707" i="3"/>
  <c r="I707" i="3"/>
  <c r="H707" i="3"/>
  <c r="G707" i="3"/>
  <c r="F707" i="3"/>
  <c r="E707" i="3"/>
  <c r="D707" i="3"/>
  <c r="C707" i="3"/>
  <c r="M706" i="3"/>
  <c r="L706" i="3"/>
  <c r="K706" i="3"/>
  <c r="J706" i="3"/>
  <c r="I706" i="3"/>
  <c r="H706" i="3"/>
  <c r="G706" i="3"/>
  <c r="F706" i="3"/>
  <c r="E706" i="3"/>
  <c r="D706" i="3"/>
  <c r="C706" i="3"/>
  <c r="N705" i="3"/>
  <c r="L705" i="3"/>
  <c r="K705" i="3"/>
  <c r="J705" i="3"/>
  <c r="I705" i="3"/>
  <c r="H705" i="3"/>
  <c r="G705" i="3"/>
  <c r="F705" i="3"/>
  <c r="E705" i="3"/>
  <c r="D705" i="3"/>
  <c r="C705" i="3"/>
  <c r="N704" i="3"/>
  <c r="L704" i="3"/>
  <c r="K704" i="3"/>
  <c r="J704" i="3"/>
  <c r="I704" i="3"/>
  <c r="H704" i="3"/>
  <c r="G704" i="3"/>
  <c r="F704" i="3"/>
  <c r="E704" i="3"/>
  <c r="D704" i="3"/>
  <c r="C704" i="3"/>
  <c r="N703" i="3"/>
  <c r="K703" i="3"/>
  <c r="J703" i="3"/>
  <c r="I703" i="3"/>
  <c r="H703" i="3"/>
  <c r="F703" i="3"/>
  <c r="E703" i="3"/>
  <c r="D703" i="3"/>
  <c r="C703" i="3"/>
  <c r="M702" i="3"/>
  <c r="L702" i="3"/>
  <c r="K702" i="3"/>
  <c r="J702" i="3"/>
  <c r="I702" i="3"/>
  <c r="H702" i="3"/>
  <c r="G702" i="3"/>
  <c r="F702" i="3"/>
  <c r="E702" i="3"/>
  <c r="D702" i="3"/>
  <c r="C702" i="3"/>
  <c r="N701" i="3"/>
  <c r="K701" i="3"/>
  <c r="J701" i="3"/>
  <c r="I701" i="3"/>
  <c r="H701" i="3"/>
  <c r="F701" i="3"/>
  <c r="E701" i="3"/>
  <c r="D701" i="3"/>
  <c r="C701" i="3"/>
  <c r="M700" i="3"/>
  <c r="L700" i="3"/>
  <c r="K700" i="3"/>
  <c r="J700" i="3"/>
  <c r="I700" i="3"/>
  <c r="H700" i="3"/>
  <c r="G700" i="3"/>
  <c r="F700" i="3"/>
  <c r="E700" i="3"/>
  <c r="D700" i="3"/>
  <c r="C700" i="3"/>
  <c r="N699" i="3"/>
  <c r="L699" i="3"/>
  <c r="K699" i="3"/>
  <c r="J699" i="3"/>
  <c r="I699" i="3"/>
  <c r="H699" i="3"/>
  <c r="G699" i="3"/>
  <c r="F699" i="3"/>
  <c r="E699" i="3"/>
  <c r="D699" i="3"/>
  <c r="C699" i="3"/>
  <c r="M698" i="3"/>
  <c r="L698" i="3"/>
  <c r="K698" i="3"/>
  <c r="J698" i="3"/>
  <c r="I698" i="3"/>
  <c r="H698" i="3"/>
  <c r="G698" i="3"/>
  <c r="F698" i="3"/>
  <c r="E698" i="3"/>
  <c r="D698" i="3"/>
  <c r="C698" i="3"/>
  <c r="M697" i="3"/>
  <c r="L697" i="3"/>
  <c r="K697" i="3"/>
  <c r="J697" i="3"/>
  <c r="I697" i="3"/>
  <c r="H697" i="3"/>
  <c r="G697" i="3"/>
  <c r="F697" i="3"/>
  <c r="E697" i="3"/>
  <c r="D697" i="3"/>
  <c r="C697" i="3"/>
  <c r="N696" i="3"/>
  <c r="L696" i="3"/>
  <c r="K696" i="3"/>
  <c r="J696" i="3"/>
  <c r="I696" i="3"/>
  <c r="H696" i="3"/>
  <c r="G696" i="3"/>
  <c r="F696" i="3"/>
  <c r="E696" i="3"/>
  <c r="D696" i="3"/>
  <c r="C696" i="3"/>
  <c r="M695" i="3"/>
  <c r="L695" i="3"/>
  <c r="K695" i="3"/>
  <c r="J695" i="3"/>
  <c r="I695" i="3"/>
  <c r="H695" i="3"/>
  <c r="G695" i="3"/>
  <c r="F695" i="3"/>
  <c r="E695" i="3"/>
  <c r="D695" i="3"/>
  <c r="C695" i="3"/>
  <c r="L694" i="3"/>
  <c r="K694" i="3"/>
  <c r="J694" i="3"/>
  <c r="I694" i="3"/>
  <c r="H694" i="3"/>
  <c r="G694" i="3"/>
  <c r="F694" i="3"/>
  <c r="E694" i="3"/>
  <c r="D694" i="3"/>
  <c r="C694" i="3"/>
  <c r="N693" i="3"/>
  <c r="L693" i="3"/>
  <c r="K693" i="3"/>
  <c r="J693" i="3"/>
  <c r="I693" i="3"/>
  <c r="H693" i="3"/>
  <c r="G693" i="3"/>
  <c r="F693" i="3"/>
  <c r="E693" i="3"/>
  <c r="D693" i="3"/>
  <c r="C693" i="3"/>
  <c r="M692" i="3"/>
  <c r="L692" i="3"/>
  <c r="K692" i="3"/>
  <c r="J692" i="3"/>
  <c r="I692" i="3"/>
  <c r="H692" i="3"/>
  <c r="G692" i="3"/>
  <c r="F692" i="3"/>
  <c r="E692" i="3"/>
  <c r="D692" i="3"/>
  <c r="C692" i="3"/>
  <c r="N691" i="3"/>
  <c r="K691" i="3"/>
  <c r="J691" i="3"/>
  <c r="I691" i="3"/>
  <c r="H691" i="3"/>
  <c r="F691" i="3"/>
  <c r="E691" i="3"/>
  <c r="D691" i="3"/>
  <c r="C691" i="3"/>
  <c r="N690" i="3"/>
  <c r="K690" i="3"/>
  <c r="J690" i="3"/>
  <c r="I690" i="3"/>
  <c r="H690" i="3"/>
  <c r="F690" i="3"/>
  <c r="E690" i="3"/>
  <c r="D690" i="3"/>
  <c r="C690" i="3"/>
  <c r="M689" i="3"/>
  <c r="L689" i="3"/>
  <c r="K689" i="3"/>
  <c r="J689" i="3"/>
  <c r="I689" i="3"/>
  <c r="H689" i="3"/>
  <c r="G689" i="3"/>
  <c r="F689" i="3"/>
  <c r="E689" i="3"/>
  <c r="D689" i="3"/>
  <c r="C689" i="3"/>
  <c r="M688" i="3"/>
  <c r="L688" i="3"/>
  <c r="K688" i="3"/>
  <c r="J688" i="3"/>
  <c r="I688" i="3"/>
  <c r="H688" i="3"/>
  <c r="G688" i="3"/>
  <c r="F688" i="3"/>
  <c r="E688" i="3"/>
  <c r="D688" i="3"/>
  <c r="C688" i="3"/>
  <c r="M687" i="3"/>
  <c r="L687" i="3"/>
  <c r="K687" i="3"/>
  <c r="J687" i="3"/>
  <c r="I687" i="3"/>
  <c r="H687" i="3"/>
  <c r="G687" i="3"/>
  <c r="F687" i="3"/>
  <c r="E687" i="3"/>
  <c r="D687" i="3"/>
  <c r="C687" i="3"/>
  <c r="M686" i="3"/>
  <c r="L686" i="3"/>
  <c r="K686" i="3"/>
  <c r="J686" i="3"/>
  <c r="I686" i="3"/>
  <c r="H686" i="3"/>
  <c r="G686" i="3"/>
  <c r="F686" i="3"/>
  <c r="E686" i="3"/>
  <c r="D686" i="3"/>
  <c r="C686" i="3"/>
  <c r="N685" i="3"/>
  <c r="M685" i="3"/>
  <c r="L685" i="3"/>
  <c r="K685" i="3"/>
  <c r="J685" i="3"/>
  <c r="I685" i="3"/>
  <c r="H685" i="3"/>
  <c r="G685" i="3"/>
  <c r="F685" i="3"/>
  <c r="E685" i="3"/>
  <c r="D685" i="3"/>
  <c r="C685" i="3"/>
  <c r="M684" i="3"/>
  <c r="L684" i="3"/>
  <c r="K684" i="3"/>
  <c r="J684" i="3"/>
  <c r="I684" i="3"/>
  <c r="H684" i="3"/>
  <c r="G684" i="3"/>
  <c r="F684" i="3"/>
  <c r="E684" i="3"/>
  <c r="D684" i="3"/>
  <c r="C684" i="3"/>
  <c r="M683" i="3"/>
  <c r="L683" i="3"/>
  <c r="K683" i="3"/>
  <c r="J683" i="3"/>
  <c r="I683" i="3"/>
  <c r="H683" i="3"/>
  <c r="G683" i="3"/>
  <c r="F683" i="3"/>
  <c r="E683" i="3"/>
  <c r="D683" i="3"/>
  <c r="C683" i="3"/>
  <c r="M682" i="3"/>
  <c r="L682" i="3"/>
  <c r="K682" i="3"/>
  <c r="J682" i="3"/>
  <c r="I682" i="3"/>
  <c r="H682" i="3"/>
  <c r="G682" i="3"/>
  <c r="F682" i="3"/>
  <c r="E682" i="3"/>
  <c r="D682" i="3"/>
  <c r="C682" i="3"/>
  <c r="N681" i="3"/>
  <c r="M681" i="3"/>
  <c r="L681" i="3"/>
  <c r="K681" i="3"/>
  <c r="J681" i="3"/>
  <c r="I681" i="3"/>
  <c r="H681" i="3"/>
  <c r="G681" i="3"/>
  <c r="F681" i="3"/>
  <c r="E681" i="3"/>
  <c r="D681" i="3"/>
  <c r="C681" i="3"/>
  <c r="K680" i="3"/>
  <c r="J680" i="3"/>
  <c r="I680" i="3"/>
  <c r="H680" i="3"/>
  <c r="F680" i="3"/>
  <c r="E680" i="3"/>
  <c r="D680" i="3"/>
  <c r="C680" i="3"/>
  <c r="N679" i="3"/>
  <c r="K679" i="3"/>
  <c r="J679" i="3"/>
  <c r="I679" i="3"/>
  <c r="H679" i="3"/>
  <c r="F679" i="3"/>
  <c r="E679" i="3"/>
  <c r="D679" i="3"/>
  <c r="C679" i="3"/>
  <c r="N678" i="3"/>
  <c r="M678" i="3"/>
  <c r="L678" i="3"/>
  <c r="K678" i="3"/>
  <c r="J678" i="3"/>
  <c r="I678" i="3"/>
  <c r="H678" i="3"/>
  <c r="G678" i="3"/>
  <c r="F678" i="3"/>
  <c r="E678" i="3"/>
  <c r="D678" i="3"/>
  <c r="C678" i="3"/>
  <c r="N677" i="3"/>
  <c r="L677" i="3"/>
  <c r="K677" i="3"/>
  <c r="J677" i="3"/>
  <c r="I677" i="3"/>
  <c r="H677" i="3"/>
  <c r="G677" i="3"/>
  <c r="F677" i="3"/>
  <c r="E677" i="3"/>
  <c r="D677" i="3"/>
  <c r="C677" i="3"/>
  <c r="M676" i="3"/>
  <c r="L676" i="3"/>
  <c r="K676" i="3"/>
  <c r="J676" i="3"/>
  <c r="I676" i="3"/>
  <c r="H676" i="3"/>
  <c r="G676" i="3"/>
  <c r="F676" i="3"/>
  <c r="E676" i="3"/>
  <c r="D676" i="3"/>
  <c r="C676" i="3"/>
  <c r="M675" i="3"/>
  <c r="L675" i="3"/>
  <c r="K675" i="3"/>
  <c r="J675" i="3"/>
  <c r="I675" i="3"/>
  <c r="H675" i="3"/>
  <c r="G675" i="3"/>
  <c r="F675" i="3"/>
  <c r="E675" i="3"/>
  <c r="D675" i="3"/>
  <c r="C675" i="3"/>
  <c r="M674" i="3"/>
  <c r="L674" i="3"/>
  <c r="K674" i="3"/>
  <c r="J674" i="3"/>
  <c r="I674" i="3"/>
  <c r="H674" i="3"/>
  <c r="G674" i="3"/>
  <c r="F674" i="3"/>
  <c r="E674" i="3"/>
  <c r="D674" i="3"/>
  <c r="C674" i="3"/>
  <c r="M673" i="3"/>
  <c r="L673" i="3"/>
  <c r="K673" i="3"/>
  <c r="J673" i="3"/>
  <c r="I673" i="3"/>
  <c r="H673" i="3"/>
  <c r="G673" i="3"/>
  <c r="F673" i="3"/>
  <c r="E673" i="3"/>
  <c r="D673" i="3"/>
  <c r="C673" i="3"/>
  <c r="M672" i="3"/>
  <c r="L672" i="3"/>
  <c r="K672" i="3"/>
  <c r="J672" i="3"/>
  <c r="I672" i="3"/>
  <c r="H672" i="3"/>
  <c r="G672" i="3"/>
  <c r="F672" i="3"/>
  <c r="E672" i="3"/>
  <c r="D672" i="3"/>
  <c r="C672" i="3"/>
  <c r="M671" i="3"/>
  <c r="L671" i="3"/>
  <c r="K671" i="3"/>
  <c r="J671" i="3"/>
  <c r="I671" i="3"/>
  <c r="H671" i="3"/>
  <c r="G671" i="3"/>
  <c r="F671" i="3"/>
  <c r="E671" i="3"/>
  <c r="D671" i="3"/>
  <c r="C671" i="3"/>
  <c r="M670" i="3"/>
  <c r="L670" i="3"/>
  <c r="K670" i="3"/>
  <c r="J670" i="3"/>
  <c r="I670" i="3"/>
  <c r="H670" i="3"/>
  <c r="G670" i="3"/>
  <c r="F670" i="3"/>
  <c r="E670" i="3"/>
  <c r="D670" i="3"/>
  <c r="C670" i="3"/>
  <c r="M669" i="3"/>
  <c r="L669" i="3"/>
  <c r="K669" i="3"/>
  <c r="J669" i="3"/>
  <c r="I669" i="3"/>
  <c r="H669" i="3"/>
  <c r="G669" i="3"/>
  <c r="F669" i="3"/>
  <c r="E669" i="3"/>
  <c r="D669" i="3"/>
  <c r="C669" i="3"/>
  <c r="M668" i="3"/>
  <c r="L668" i="3"/>
  <c r="K668" i="3"/>
  <c r="J668" i="3"/>
  <c r="I668" i="3"/>
  <c r="H668" i="3"/>
  <c r="G668" i="3"/>
  <c r="F668" i="3"/>
  <c r="E668" i="3"/>
  <c r="D668" i="3"/>
  <c r="C668" i="3"/>
  <c r="M667" i="3"/>
  <c r="L667" i="3"/>
  <c r="K667" i="3"/>
  <c r="J667" i="3"/>
  <c r="I667" i="3"/>
  <c r="H667" i="3"/>
  <c r="G667" i="3"/>
  <c r="F667" i="3"/>
  <c r="E667" i="3"/>
  <c r="D667" i="3"/>
  <c r="C667" i="3"/>
  <c r="M666" i="3"/>
  <c r="L666" i="3"/>
  <c r="K666" i="3"/>
  <c r="J666" i="3"/>
  <c r="I666" i="3"/>
  <c r="H666" i="3"/>
  <c r="G666" i="3"/>
  <c r="F666" i="3"/>
  <c r="E666" i="3"/>
  <c r="D666" i="3"/>
  <c r="C666" i="3"/>
  <c r="M665" i="3"/>
  <c r="L665" i="3"/>
  <c r="K665" i="3"/>
  <c r="J665" i="3"/>
  <c r="I665" i="3"/>
  <c r="H665" i="3"/>
  <c r="G665" i="3"/>
  <c r="F665" i="3"/>
  <c r="E665" i="3"/>
  <c r="D665" i="3"/>
  <c r="C665" i="3"/>
  <c r="M664" i="3"/>
  <c r="L664" i="3"/>
  <c r="K664" i="3"/>
  <c r="J664" i="3"/>
  <c r="I664" i="3"/>
  <c r="H664" i="3"/>
  <c r="G664" i="3"/>
  <c r="F664" i="3"/>
  <c r="E664" i="3"/>
  <c r="D664" i="3"/>
  <c r="C664" i="3"/>
  <c r="N663" i="3"/>
  <c r="L663" i="3"/>
  <c r="K663" i="3"/>
  <c r="J663" i="3"/>
  <c r="I663" i="3"/>
  <c r="H663" i="3"/>
  <c r="G663" i="3"/>
  <c r="F663" i="3"/>
  <c r="E663" i="3"/>
  <c r="D663" i="3"/>
  <c r="C663" i="3"/>
  <c r="M662" i="3"/>
  <c r="L662" i="3"/>
  <c r="K662" i="3"/>
  <c r="J662" i="3"/>
  <c r="I662" i="3"/>
  <c r="H662" i="3"/>
  <c r="G662" i="3"/>
  <c r="F662" i="3"/>
  <c r="E662" i="3"/>
  <c r="D662" i="3"/>
  <c r="C662" i="3"/>
  <c r="N661" i="3"/>
  <c r="L661" i="3"/>
  <c r="K661" i="3"/>
  <c r="J661" i="3"/>
  <c r="I661" i="3"/>
  <c r="H661" i="3"/>
  <c r="G661" i="3"/>
  <c r="F661" i="3"/>
  <c r="E661" i="3"/>
  <c r="D661" i="3"/>
  <c r="C661" i="3"/>
  <c r="M660" i="3"/>
  <c r="L660" i="3"/>
  <c r="K660" i="3"/>
  <c r="J660" i="3"/>
  <c r="I660" i="3"/>
  <c r="H660" i="3"/>
  <c r="G660" i="3"/>
  <c r="F660" i="3"/>
  <c r="E660" i="3"/>
  <c r="D660" i="3"/>
  <c r="C660" i="3"/>
  <c r="N659" i="3"/>
  <c r="K659" i="3"/>
  <c r="J659" i="3"/>
  <c r="I659" i="3"/>
  <c r="H659" i="3"/>
  <c r="F659" i="3"/>
  <c r="E659" i="3"/>
  <c r="D659" i="3"/>
  <c r="C659" i="3"/>
  <c r="N658" i="3"/>
  <c r="M658" i="3"/>
  <c r="L658" i="3"/>
  <c r="K658" i="3"/>
  <c r="J658" i="3"/>
  <c r="I658" i="3"/>
  <c r="H658" i="3"/>
  <c r="G658" i="3"/>
  <c r="F658" i="3"/>
  <c r="E658" i="3"/>
  <c r="D658" i="3"/>
  <c r="C658" i="3"/>
  <c r="N657" i="3"/>
  <c r="M657" i="3"/>
  <c r="L657" i="3"/>
  <c r="K657" i="3"/>
  <c r="J657" i="3"/>
  <c r="I657" i="3"/>
  <c r="H657" i="3"/>
  <c r="G657" i="3"/>
  <c r="F657" i="3"/>
  <c r="E657" i="3"/>
  <c r="D657" i="3"/>
  <c r="C657" i="3"/>
  <c r="N656" i="3"/>
  <c r="M656" i="3"/>
  <c r="L656" i="3"/>
  <c r="K656" i="3"/>
  <c r="J656" i="3"/>
  <c r="I656" i="3"/>
  <c r="H656" i="3"/>
  <c r="G656" i="3"/>
  <c r="F656" i="3"/>
  <c r="E656" i="3"/>
  <c r="D656" i="3"/>
  <c r="C656" i="3"/>
  <c r="N655" i="3"/>
  <c r="M655" i="3"/>
  <c r="K655" i="3"/>
  <c r="J655" i="3"/>
  <c r="I655" i="3"/>
  <c r="H655" i="3"/>
  <c r="F655" i="3"/>
  <c r="E655" i="3"/>
  <c r="D655" i="3"/>
  <c r="C655" i="3"/>
  <c r="M654" i="3"/>
  <c r="L654" i="3"/>
  <c r="K654" i="3"/>
  <c r="J654" i="3"/>
  <c r="I654" i="3"/>
  <c r="H654" i="3"/>
  <c r="G654" i="3"/>
  <c r="F654" i="3"/>
  <c r="E654" i="3"/>
  <c r="D654" i="3"/>
  <c r="C654" i="3"/>
  <c r="M653" i="3"/>
  <c r="L653" i="3"/>
  <c r="K653" i="3"/>
  <c r="J653" i="3"/>
  <c r="I653" i="3"/>
  <c r="H653" i="3"/>
  <c r="G653" i="3"/>
  <c r="F653" i="3"/>
  <c r="E653" i="3"/>
  <c r="D653" i="3"/>
  <c r="C653" i="3"/>
  <c r="M652" i="3"/>
  <c r="L652" i="3"/>
  <c r="K652" i="3"/>
  <c r="J652" i="3"/>
  <c r="I652" i="3"/>
  <c r="H652" i="3"/>
  <c r="G652" i="3"/>
  <c r="F652" i="3"/>
  <c r="E652" i="3"/>
  <c r="D652" i="3"/>
  <c r="C652" i="3"/>
  <c r="M651" i="3"/>
  <c r="L651" i="3"/>
  <c r="K651" i="3"/>
  <c r="J651" i="3"/>
  <c r="I651" i="3"/>
  <c r="H651" i="3"/>
  <c r="G651" i="3"/>
  <c r="F651" i="3"/>
  <c r="E651" i="3"/>
  <c r="D651" i="3"/>
  <c r="C651" i="3"/>
  <c r="N650" i="3"/>
  <c r="L650" i="3"/>
  <c r="K650" i="3"/>
  <c r="J650" i="3"/>
  <c r="I650" i="3"/>
  <c r="H650" i="3"/>
  <c r="G650" i="3"/>
  <c r="F650" i="3"/>
  <c r="E650" i="3"/>
  <c r="D650" i="3"/>
  <c r="C650" i="3"/>
  <c r="N649" i="3"/>
  <c r="L649" i="3"/>
  <c r="K649" i="3"/>
  <c r="J649" i="3"/>
  <c r="I649" i="3"/>
  <c r="H649" i="3"/>
  <c r="G649" i="3"/>
  <c r="F649" i="3"/>
  <c r="E649" i="3"/>
  <c r="D649" i="3"/>
  <c r="C649" i="3"/>
  <c r="M648" i="3"/>
  <c r="K648" i="3"/>
  <c r="J648" i="3"/>
  <c r="I648" i="3"/>
  <c r="H648" i="3"/>
  <c r="F648" i="3"/>
  <c r="E648" i="3"/>
  <c r="D648" i="3"/>
  <c r="C648" i="3"/>
  <c r="N647" i="3"/>
  <c r="L647" i="3"/>
  <c r="K647" i="3"/>
  <c r="J647" i="3"/>
  <c r="I647" i="3"/>
  <c r="H647" i="3"/>
  <c r="G647" i="3"/>
  <c r="F647" i="3"/>
  <c r="E647" i="3"/>
  <c r="D647" i="3"/>
  <c r="C647" i="3"/>
  <c r="N646" i="3"/>
  <c r="L646" i="3"/>
  <c r="K646" i="3"/>
  <c r="J646" i="3"/>
  <c r="I646" i="3"/>
  <c r="H646" i="3"/>
  <c r="G646" i="3"/>
  <c r="F646" i="3"/>
  <c r="E646" i="3"/>
  <c r="D646" i="3"/>
  <c r="C646" i="3"/>
  <c r="M645" i="3"/>
  <c r="L645" i="3"/>
  <c r="K645" i="3"/>
  <c r="J645" i="3"/>
  <c r="I645" i="3"/>
  <c r="H645" i="3"/>
  <c r="G645" i="3"/>
  <c r="F645" i="3"/>
  <c r="E645" i="3"/>
  <c r="D645" i="3"/>
  <c r="C645" i="3"/>
  <c r="N644" i="3"/>
  <c r="L644" i="3"/>
  <c r="K644" i="3"/>
  <c r="J644" i="3"/>
  <c r="I644" i="3"/>
  <c r="H644" i="3"/>
  <c r="G644" i="3"/>
  <c r="F644" i="3"/>
  <c r="E644" i="3"/>
  <c r="D644" i="3"/>
  <c r="C644" i="3"/>
  <c r="N643" i="3"/>
  <c r="M643" i="3"/>
  <c r="L643" i="3"/>
  <c r="K643" i="3"/>
  <c r="J643" i="3"/>
  <c r="I643" i="3"/>
  <c r="H643" i="3"/>
  <c r="G643" i="3"/>
  <c r="F643" i="3"/>
  <c r="E643" i="3"/>
  <c r="D643" i="3"/>
  <c r="C643" i="3"/>
  <c r="M642" i="3"/>
  <c r="L642" i="3"/>
  <c r="K642" i="3"/>
  <c r="J642" i="3"/>
  <c r="I642" i="3"/>
  <c r="H642" i="3"/>
  <c r="G642" i="3"/>
  <c r="F642" i="3"/>
  <c r="E642" i="3"/>
  <c r="D642" i="3"/>
  <c r="C642" i="3"/>
  <c r="M641" i="3"/>
  <c r="L641" i="3"/>
  <c r="K641" i="3"/>
  <c r="J641" i="3"/>
  <c r="I641" i="3"/>
  <c r="H641" i="3"/>
  <c r="G641" i="3"/>
  <c r="F641" i="3"/>
  <c r="E641" i="3"/>
  <c r="D641" i="3"/>
  <c r="C641" i="3"/>
  <c r="M640" i="3"/>
  <c r="L640" i="3"/>
  <c r="K640" i="3"/>
  <c r="J640" i="3"/>
  <c r="I640" i="3"/>
  <c r="H640" i="3"/>
  <c r="G640" i="3"/>
  <c r="F640" i="3"/>
  <c r="E640" i="3"/>
  <c r="D640" i="3"/>
  <c r="C640" i="3"/>
  <c r="M639" i="3"/>
  <c r="L639" i="3"/>
  <c r="K639" i="3"/>
  <c r="J639" i="3"/>
  <c r="I639" i="3"/>
  <c r="H639" i="3"/>
  <c r="G639" i="3"/>
  <c r="F639" i="3"/>
  <c r="E639" i="3"/>
  <c r="D639" i="3"/>
  <c r="C639" i="3"/>
  <c r="M638" i="3"/>
  <c r="L638" i="3"/>
  <c r="K638" i="3"/>
  <c r="J638" i="3"/>
  <c r="I638" i="3"/>
  <c r="H638" i="3"/>
  <c r="G638" i="3"/>
  <c r="F638" i="3"/>
  <c r="E638" i="3"/>
  <c r="D638" i="3"/>
  <c r="C638" i="3"/>
  <c r="M637" i="3"/>
  <c r="L637" i="3"/>
  <c r="K637" i="3"/>
  <c r="J637" i="3"/>
  <c r="I637" i="3"/>
  <c r="H637" i="3"/>
  <c r="G637" i="3"/>
  <c r="F637" i="3"/>
  <c r="E637" i="3"/>
  <c r="D637" i="3"/>
  <c r="C637" i="3"/>
  <c r="N636" i="3"/>
  <c r="L636" i="3"/>
  <c r="K636" i="3"/>
  <c r="J636" i="3"/>
  <c r="I636" i="3"/>
  <c r="H636" i="3"/>
  <c r="G636" i="3"/>
  <c r="F636" i="3"/>
  <c r="E636" i="3"/>
  <c r="D636" i="3"/>
  <c r="C636" i="3"/>
  <c r="M635" i="3"/>
  <c r="L635" i="3"/>
  <c r="K635" i="3"/>
  <c r="J635" i="3"/>
  <c r="I635" i="3"/>
  <c r="H635" i="3"/>
  <c r="G635" i="3"/>
  <c r="F635" i="3"/>
  <c r="E635" i="3"/>
  <c r="D635" i="3"/>
  <c r="C635" i="3"/>
  <c r="M634" i="3"/>
  <c r="L634" i="3"/>
  <c r="K634" i="3"/>
  <c r="J634" i="3"/>
  <c r="I634" i="3"/>
  <c r="H634" i="3"/>
  <c r="G634" i="3"/>
  <c r="F634" i="3"/>
  <c r="E634" i="3"/>
  <c r="D634" i="3"/>
  <c r="C634" i="3"/>
  <c r="M633" i="3"/>
  <c r="L633" i="3"/>
  <c r="K633" i="3"/>
  <c r="J633" i="3"/>
  <c r="I633" i="3"/>
  <c r="H633" i="3"/>
  <c r="G633" i="3"/>
  <c r="F633" i="3"/>
  <c r="E633" i="3"/>
  <c r="D633" i="3"/>
  <c r="C633" i="3"/>
  <c r="M632" i="3"/>
  <c r="L632" i="3"/>
  <c r="K632" i="3"/>
  <c r="J632" i="3"/>
  <c r="I632" i="3"/>
  <c r="H632" i="3"/>
  <c r="G632" i="3"/>
  <c r="F632" i="3"/>
  <c r="E632" i="3"/>
  <c r="D632" i="3"/>
  <c r="C632" i="3"/>
  <c r="N631" i="3"/>
  <c r="L631" i="3"/>
  <c r="K631" i="3"/>
  <c r="J631" i="3"/>
  <c r="I631" i="3"/>
  <c r="H631" i="3"/>
  <c r="G631" i="3"/>
  <c r="F631" i="3"/>
  <c r="E631" i="3"/>
  <c r="D631" i="3"/>
  <c r="C631" i="3"/>
  <c r="N630" i="3"/>
  <c r="K630" i="3"/>
  <c r="J630" i="3"/>
  <c r="I630" i="3"/>
  <c r="H630" i="3"/>
  <c r="F630" i="3"/>
  <c r="E630" i="3"/>
  <c r="D630" i="3"/>
  <c r="C630" i="3"/>
  <c r="M629" i="3"/>
  <c r="L629" i="3"/>
  <c r="K629" i="3"/>
  <c r="J629" i="3"/>
  <c r="I629" i="3"/>
  <c r="H629" i="3"/>
  <c r="G629" i="3"/>
  <c r="F629" i="3"/>
  <c r="E629" i="3"/>
  <c r="D629" i="3"/>
  <c r="C629" i="3"/>
  <c r="M628" i="3"/>
  <c r="L628" i="3"/>
  <c r="K628" i="3"/>
  <c r="J628" i="3"/>
  <c r="I628" i="3"/>
  <c r="H628" i="3"/>
  <c r="G628" i="3"/>
  <c r="F628" i="3"/>
  <c r="E628" i="3"/>
  <c r="D628" i="3"/>
  <c r="C628" i="3"/>
  <c r="N627" i="3"/>
  <c r="M627" i="3"/>
  <c r="L627" i="3"/>
  <c r="K627" i="3"/>
  <c r="J627" i="3"/>
  <c r="I627" i="3"/>
  <c r="H627" i="3"/>
  <c r="G627" i="3"/>
  <c r="F627" i="3"/>
  <c r="E627" i="3"/>
  <c r="D627" i="3"/>
  <c r="C627" i="3"/>
  <c r="N626" i="3"/>
  <c r="L626" i="3"/>
  <c r="K626" i="3"/>
  <c r="J626" i="3"/>
  <c r="I626" i="3"/>
  <c r="H626" i="3"/>
  <c r="G626" i="3"/>
  <c r="F626" i="3"/>
  <c r="E626" i="3"/>
  <c r="D626" i="3"/>
  <c r="C626" i="3"/>
  <c r="M625" i="3"/>
  <c r="L625" i="3"/>
  <c r="K625" i="3"/>
  <c r="J625" i="3"/>
  <c r="I625" i="3"/>
  <c r="H625" i="3"/>
  <c r="G625" i="3"/>
  <c r="F625" i="3"/>
  <c r="E625" i="3"/>
  <c r="D625" i="3"/>
  <c r="C625" i="3"/>
  <c r="N624" i="3"/>
  <c r="M624" i="3"/>
  <c r="L624" i="3"/>
  <c r="K624" i="3"/>
  <c r="J624" i="3"/>
  <c r="I624" i="3"/>
  <c r="H624" i="3"/>
  <c r="G624" i="3"/>
  <c r="F624" i="3"/>
  <c r="E624" i="3"/>
  <c r="D624" i="3"/>
  <c r="C624" i="3"/>
  <c r="N623" i="3"/>
  <c r="M623" i="3"/>
  <c r="L623" i="3"/>
  <c r="K623" i="3"/>
  <c r="J623" i="3"/>
  <c r="I623" i="3"/>
  <c r="H623" i="3"/>
  <c r="G623" i="3"/>
  <c r="F623" i="3"/>
  <c r="E623" i="3"/>
  <c r="D623" i="3"/>
  <c r="C623" i="3"/>
  <c r="M622" i="3"/>
  <c r="L622" i="3"/>
  <c r="K622" i="3"/>
  <c r="J622" i="3"/>
  <c r="I622" i="3"/>
  <c r="H622" i="3"/>
  <c r="G622" i="3"/>
  <c r="F622" i="3"/>
  <c r="E622" i="3"/>
  <c r="D622" i="3"/>
  <c r="C622" i="3"/>
  <c r="N621" i="3"/>
  <c r="L621" i="3"/>
  <c r="K621" i="3"/>
  <c r="J621" i="3"/>
  <c r="I621" i="3"/>
  <c r="H621" i="3"/>
  <c r="G621" i="3"/>
  <c r="F621" i="3"/>
  <c r="E621" i="3"/>
  <c r="D621" i="3"/>
  <c r="C621" i="3"/>
  <c r="N620" i="3"/>
  <c r="M620" i="3"/>
  <c r="L620" i="3"/>
  <c r="K620" i="3"/>
  <c r="J620" i="3"/>
  <c r="I620" i="3"/>
  <c r="H620" i="3"/>
  <c r="G620" i="3"/>
  <c r="F620" i="3"/>
  <c r="E620" i="3"/>
  <c r="D620" i="3"/>
  <c r="C620" i="3"/>
  <c r="M619" i="3"/>
  <c r="L619" i="3"/>
  <c r="K619" i="3"/>
  <c r="J619" i="3"/>
  <c r="I619" i="3"/>
  <c r="H619" i="3"/>
  <c r="G619" i="3"/>
  <c r="F619" i="3"/>
  <c r="E619" i="3"/>
  <c r="D619" i="3"/>
  <c r="C619" i="3"/>
  <c r="M618" i="3"/>
  <c r="L618" i="3"/>
  <c r="K618" i="3"/>
  <c r="J618" i="3"/>
  <c r="I618" i="3"/>
  <c r="H618" i="3"/>
  <c r="G618" i="3"/>
  <c r="F618" i="3"/>
  <c r="E618" i="3"/>
  <c r="D618" i="3"/>
  <c r="C618" i="3"/>
  <c r="M617" i="3"/>
  <c r="L617" i="3"/>
  <c r="K617" i="3"/>
  <c r="J617" i="3"/>
  <c r="I617" i="3"/>
  <c r="H617" i="3"/>
  <c r="G617" i="3"/>
  <c r="F617" i="3"/>
  <c r="E617" i="3"/>
  <c r="D617" i="3"/>
  <c r="C617" i="3"/>
  <c r="N616" i="3"/>
  <c r="L616" i="3"/>
  <c r="K616" i="3"/>
  <c r="J616" i="3"/>
  <c r="I616" i="3"/>
  <c r="H616" i="3"/>
  <c r="G616" i="3"/>
  <c r="F616" i="3"/>
  <c r="E616" i="3"/>
  <c r="D616" i="3"/>
  <c r="C616" i="3"/>
  <c r="N615" i="3"/>
  <c r="L615" i="3"/>
  <c r="K615" i="3"/>
  <c r="J615" i="3"/>
  <c r="I615" i="3"/>
  <c r="H615" i="3"/>
  <c r="G615" i="3"/>
  <c r="F615" i="3"/>
  <c r="E615" i="3"/>
  <c r="D615" i="3"/>
  <c r="C615" i="3"/>
  <c r="M614" i="3"/>
  <c r="L614" i="3"/>
  <c r="K614" i="3"/>
  <c r="J614" i="3"/>
  <c r="I614" i="3"/>
  <c r="H614" i="3"/>
  <c r="G614" i="3"/>
  <c r="F614" i="3"/>
  <c r="E614" i="3"/>
  <c r="D614" i="3"/>
  <c r="C614" i="3"/>
  <c r="M613" i="3"/>
  <c r="L613" i="3"/>
  <c r="K613" i="3"/>
  <c r="J613" i="3"/>
  <c r="I613" i="3"/>
  <c r="H613" i="3"/>
  <c r="G613" i="3"/>
  <c r="F613" i="3"/>
  <c r="E613" i="3"/>
  <c r="D613" i="3"/>
  <c r="C613" i="3"/>
  <c r="M612" i="3"/>
  <c r="L612" i="3"/>
  <c r="K612" i="3"/>
  <c r="J612" i="3"/>
  <c r="I612" i="3"/>
  <c r="H612" i="3"/>
  <c r="G612" i="3"/>
  <c r="F612" i="3"/>
  <c r="E612" i="3"/>
  <c r="D612" i="3"/>
  <c r="C612" i="3"/>
  <c r="M611" i="3"/>
  <c r="L611" i="3"/>
  <c r="K611" i="3"/>
  <c r="J611" i="3"/>
  <c r="I611" i="3"/>
  <c r="H611" i="3"/>
  <c r="G611" i="3"/>
  <c r="F611" i="3"/>
  <c r="E611" i="3"/>
  <c r="D611" i="3"/>
  <c r="C611" i="3"/>
  <c r="M610" i="3"/>
  <c r="L610" i="3"/>
  <c r="K610" i="3"/>
  <c r="J610" i="3"/>
  <c r="I610" i="3"/>
  <c r="H610" i="3"/>
  <c r="G610" i="3"/>
  <c r="F610" i="3"/>
  <c r="E610" i="3"/>
  <c r="D610" i="3"/>
  <c r="C610" i="3"/>
  <c r="M609" i="3"/>
  <c r="L609" i="3"/>
  <c r="K609" i="3"/>
  <c r="J609" i="3"/>
  <c r="I609" i="3"/>
  <c r="H609" i="3"/>
  <c r="G609" i="3"/>
  <c r="F609" i="3"/>
  <c r="E609" i="3"/>
  <c r="D609" i="3"/>
  <c r="C609" i="3"/>
  <c r="M608" i="3"/>
  <c r="L608" i="3"/>
  <c r="K608" i="3"/>
  <c r="J608" i="3"/>
  <c r="I608" i="3"/>
  <c r="H608" i="3"/>
  <c r="G608" i="3"/>
  <c r="F608" i="3"/>
  <c r="E608" i="3"/>
  <c r="D608" i="3"/>
  <c r="C608" i="3"/>
  <c r="M607" i="3"/>
  <c r="L607" i="3"/>
  <c r="K607" i="3"/>
  <c r="J607" i="3"/>
  <c r="I607" i="3"/>
  <c r="H607" i="3"/>
  <c r="G607" i="3"/>
  <c r="F607" i="3"/>
  <c r="E607" i="3"/>
  <c r="D607" i="3"/>
  <c r="C607" i="3"/>
  <c r="L606" i="3"/>
  <c r="K606" i="3"/>
  <c r="J606" i="3"/>
  <c r="I606" i="3"/>
  <c r="H606" i="3"/>
  <c r="G606" i="3"/>
  <c r="F606" i="3"/>
  <c r="E606" i="3"/>
  <c r="D606" i="3"/>
  <c r="C606" i="3"/>
  <c r="M605" i="3"/>
  <c r="L605" i="3"/>
  <c r="K605" i="3"/>
  <c r="J605" i="3"/>
  <c r="I605" i="3"/>
  <c r="H605" i="3"/>
  <c r="G605" i="3"/>
  <c r="F605" i="3"/>
  <c r="E605" i="3"/>
  <c r="D605" i="3"/>
  <c r="C605" i="3"/>
  <c r="M604" i="3"/>
  <c r="L604" i="3"/>
  <c r="K604" i="3"/>
  <c r="J604" i="3"/>
  <c r="I604" i="3"/>
  <c r="H604" i="3"/>
  <c r="G604" i="3"/>
  <c r="F604" i="3"/>
  <c r="E604" i="3"/>
  <c r="D604" i="3"/>
  <c r="C604" i="3"/>
  <c r="M603" i="3"/>
  <c r="L603" i="3"/>
  <c r="K603" i="3"/>
  <c r="J603" i="3"/>
  <c r="I603" i="3"/>
  <c r="H603" i="3"/>
  <c r="G603" i="3"/>
  <c r="F603" i="3"/>
  <c r="E603" i="3"/>
  <c r="D603" i="3"/>
  <c r="C603" i="3"/>
  <c r="M602" i="3"/>
  <c r="L602" i="3"/>
  <c r="K602" i="3"/>
  <c r="J602" i="3"/>
  <c r="I602" i="3"/>
  <c r="H602" i="3"/>
  <c r="G602" i="3"/>
  <c r="F602" i="3"/>
  <c r="E602" i="3"/>
  <c r="D602" i="3"/>
  <c r="C602" i="3"/>
  <c r="N601" i="3"/>
  <c r="K601" i="3"/>
  <c r="I601" i="3"/>
  <c r="H601" i="3"/>
  <c r="F601" i="3"/>
  <c r="E601" i="3"/>
  <c r="D601" i="3"/>
  <c r="C601" i="3"/>
  <c r="N600" i="3"/>
  <c r="K600" i="3"/>
  <c r="J600" i="3"/>
  <c r="I600" i="3"/>
  <c r="H600" i="3"/>
  <c r="F600" i="3"/>
  <c r="E600" i="3"/>
  <c r="D600" i="3"/>
  <c r="C600" i="3"/>
  <c r="N599" i="3"/>
  <c r="L599" i="3"/>
  <c r="K599" i="3"/>
  <c r="J599" i="3"/>
  <c r="I599" i="3"/>
  <c r="H599" i="3"/>
  <c r="G599" i="3"/>
  <c r="F599" i="3"/>
  <c r="E599" i="3"/>
  <c r="D599" i="3"/>
  <c r="C599" i="3"/>
  <c r="M598" i="3"/>
  <c r="L598" i="3"/>
  <c r="K598" i="3"/>
  <c r="J598" i="3"/>
  <c r="I598" i="3"/>
  <c r="H598" i="3"/>
  <c r="G598" i="3"/>
  <c r="F598" i="3"/>
  <c r="E598" i="3"/>
  <c r="D598" i="3"/>
  <c r="C598" i="3"/>
  <c r="N597" i="3"/>
  <c r="M597" i="3"/>
  <c r="L597" i="3"/>
  <c r="K597" i="3"/>
  <c r="J597" i="3"/>
  <c r="I597" i="3"/>
  <c r="H597" i="3"/>
  <c r="G597" i="3"/>
  <c r="F597" i="3"/>
  <c r="E597" i="3"/>
  <c r="D597" i="3"/>
  <c r="C597" i="3"/>
  <c r="M596" i="3"/>
  <c r="L596" i="3"/>
  <c r="K596" i="3"/>
  <c r="J596" i="3"/>
  <c r="I596" i="3"/>
  <c r="H596" i="3"/>
  <c r="G596" i="3"/>
  <c r="F596" i="3"/>
  <c r="E596" i="3"/>
  <c r="D596" i="3"/>
  <c r="C596" i="3"/>
  <c r="M595" i="3"/>
  <c r="L595" i="3"/>
  <c r="K595" i="3"/>
  <c r="J595" i="3"/>
  <c r="I595" i="3"/>
  <c r="H595" i="3"/>
  <c r="G595" i="3"/>
  <c r="F595" i="3"/>
  <c r="E595" i="3"/>
  <c r="D595" i="3"/>
  <c r="C595" i="3"/>
  <c r="N594" i="3"/>
  <c r="M594" i="3"/>
  <c r="L594" i="3"/>
  <c r="K594" i="3"/>
  <c r="J594" i="3"/>
  <c r="I594" i="3"/>
  <c r="H594" i="3"/>
  <c r="G594" i="3"/>
  <c r="F594" i="3"/>
  <c r="E594" i="3"/>
  <c r="D594" i="3"/>
  <c r="C594" i="3"/>
  <c r="M593" i="3"/>
  <c r="L593" i="3"/>
  <c r="K593" i="3"/>
  <c r="J593" i="3"/>
  <c r="I593" i="3"/>
  <c r="H593" i="3"/>
  <c r="G593" i="3"/>
  <c r="F593" i="3"/>
  <c r="E593" i="3"/>
  <c r="D593" i="3"/>
  <c r="C593" i="3"/>
  <c r="M592" i="3"/>
  <c r="L592" i="3"/>
  <c r="K592" i="3"/>
  <c r="J592" i="3"/>
  <c r="I592" i="3"/>
  <c r="H592" i="3"/>
  <c r="G592" i="3"/>
  <c r="F592" i="3"/>
  <c r="E592" i="3"/>
  <c r="D592" i="3"/>
  <c r="C592" i="3"/>
  <c r="N591" i="3"/>
  <c r="L591" i="3"/>
  <c r="K591" i="3"/>
  <c r="J591" i="3"/>
  <c r="I591" i="3"/>
  <c r="H591" i="3"/>
  <c r="G591" i="3"/>
  <c r="F591" i="3"/>
  <c r="E591" i="3"/>
  <c r="D591" i="3"/>
  <c r="C591" i="3"/>
  <c r="N590" i="3"/>
  <c r="L590" i="3"/>
  <c r="K590" i="3"/>
  <c r="J590" i="3"/>
  <c r="I590" i="3"/>
  <c r="H590" i="3"/>
  <c r="G590" i="3"/>
  <c r="F590" i="3"/>
  <c r="E590" i="3"/>
  <c r="D590" i="3"/>
  <c r="C590" i="3"/>
  <c r="M589" i="3"/>
  <c r="L589" i="3"/>
  <c r="K589" i="3"/>
  <c r="J589" i="3"/>
  <c r="I589" i="3"/>
  <c r="H589" i="3"/>
  <c r="G589" i="3"/>
  <c r="F589" i="3"/>
  <c r="E589" i="3"/>
  <c r="D589" i="3"/>
  <c r="C589" i="3"/>
  <c r="M588" i="3"/>
  <c r="L588" i="3"/>
  <c r="K588" i="3"/>
  <c r="J588" i="3"/>
  <c r="I588" i="3"/>
  <c r="H588" i="3"/>
  <c r="G588" i="3"/>
  <c r="F588" i="3"/>
  <c r="E588" i="3"/>
  <c r="D588" i="3"/>
  <c r="C588" i="3"/>
  <c r="M587" i="3"/>
  <c r="L587" i="3"/>
  <c r="K587" i="3"/>
  <c r="J587" i="3"/>
  <c r="I587" i="3"/>
  <c r="H587" i="3"/>
  <c r="G587" i="3"/>
  <c r="F587" i="3"/>
  <c r="E587" i="3"/>
  <c r="D587" i="3"/>
  <c r="C587" i="3"/>
  <c r="M586" i="3"/>
  <c r="L586" i="3"/>
  <c r="K586" i="3"/>
  <c r="J586" i="3"/>
  <c r="I586" i="3"/>
  <c r="H586" i="3"/>
  <c r="G586" i="3"/>
  <c r="F586" i="3"/>
  <c r="E586" i="3"/>
  <c r="D586" i="3"/>
  <c r="C586" i="3"/>
  <c r="M585" i="3"/>
  <c r="L585" i="3"/>
  <c r="K585" i="3"/>
  <c r="J585" i="3"/>
  <c r="I585" i="3"/>
  <c r="H585" i="3"/>
  <c r="G585" i="3"/>
  <c r="F585" i="3"/>
  <c r="E585" i="3"/>
  <c r="D585" i="3"/>
  <c r="C585" i="3"/>
  <c r="M584" i="3"/>
  <c r="L584" i="3"/>
  <c r="K584" i="3"/>
  <c r="J584" i="3"/>
  <c r="I584" i="3"/>
  <c r="H584" i="3"/>
  <c r="G584" i="3"/>
  <c r="F584" i="3"/>
  <c r="E584" i="3"/>
  <c r="D584" i="3"/>
  <c r="C584" i="3"/>
  <c r="M583" i="3"/>
  <c r="L583" i="3"/>
  <c r="K583" i="3"/>
  <c r="J583" i="3"/>
  <c r="I583" i="3"/>
  <c r="H583" i="3"/>
  <c r="G583" i="3"/>
  <c r="F583" i="3"/>
  <c r="E583" i="3"/>
  <c r="D583" i="3"/>
  <c r="C583" i="3"/>
  <c r="M582" i="3"/>
  <c r="L582" i="3"/>
  <c r="K582" i="3"/>
  <c r="J582" i="3"/>
  <c r="I582" i="3"/>
  <c r="H582" i="3"/>
  <c r="G582" i="3"/>
  <c r="F582" i="3"/>
  <c r="E582" i="3"/>
  <c r="D582" i="3"/>
  <c r="C582" i="3"/>
  <c r="M581" i="3"/>
  <c r="L581" i="3"/>
  <c r="K581" i="3"/>
  <c r="J581" i="3"/>
  <c r="I581" i="3"/>
  <c r="H581" i="3"/>
  <c r="G581" i="3"/>
  <c r="F581" i="3"/>
  <c r="E581" i="3"/>
  <c r="D581" i="3"/>
  <c r="C581" i="3"/>
  <c r="M580" i="3"/>
  <c r="L580" i="3"/>
  <c r="K580" i="3"/>
  <c r="J580" i="3"/>
  <c r="I580" i="3"/>
  <c r="H580" i="3"/>
  <c r="G580" i="3"/>
  <c r="F580" i="3"/>
  <c r="E580" i="3"/>
  <c r="D580" i="3"/>
  <c r="C580" i="3"/>
  <c r="M579" i="3"/>
  <c r="L579" i="3"/>
  <c r="K579" i="3"/>
  <c r="J579" i="3"/>
  <c r="I579" i="3"/>
  <c r="H579" i="3"/>
  <c r="G579" i="3"/>
  <c r="F579" i="3"/>
  <c r="E579" i="3"/>
  <c r="D579" i="3"/>
  <c r="C579" i="3"/>
  <c r="M578" i="3"/>
  <c r="L578" i="3"/>
  <c r="K578" i="3"/>
  <c r="J578" i="3"/>
  <c r="I578" i="3"/>
  <c r="H578" i="3"/>
  <c r="G578" i="3"/>
  <c r="F578" i="3"/>
  <c r="E578" i="3"/>
  <c r="D578" i="3"/>
  <c r="C578" i="3"/>
  <c r="M577" i="3"/>
  <c r="L577" i="3"/>
  <c r="K577" i="3"/>
  <c r="J577" i="3"/>
  <c r="I577" i="3"/>
  <c r="H577" i="3"/>
  <c r="G577" i="3"/>
  <c r="F577" i="3"/>
  <c r="E577" i="3"/>
  <c r="D577" i="3"/>
  <c r="C577" i="3"/>
  <c r="N576" i="3"/>
  <c r="M576" i="3"/>
  <c r="L576" i="3"/>
  <c r="K576" i="3"/>
  <c r="J576" i="3"/>
  <c r="I576" i="3"/>
  <c r="H576" i="3"/>
  <c r="G576" i="3"/>
  <c r="F576" i="3"/>
  <c r="E576" i="3"/>
  <c r="D576" i="3"/>
  <c r="C576" i="3"/>
  <c r="N575" i="3"/>
  <c r="M575" i="3"/>
  <c r="L575" i="3"/>
  <c r="K575" i="3"/>
  <c r="J575" i="3"/>
  <c r="I575" i="3"/>
  <c r="H575" i="3"/>
  <c r="G575" i="3"/>
  <c r="F575" i="3"/>
  <c r="E575" i="3"/>
  <c r="D575" i="3"/>
  <c r="C575" i="3"/>
  <c r="M574" i="3"/>
  <c r="L574" i="3"/>
  <c r="K574" i="3"/>
  <c r="J574" i="3"/>
  <c r="I574" i="3"/>
  <c r="H574" i="3"/>
  <c r="G574" i="3"/>
  <c r="F574" i="3"/>
  <c r="E574" i="3"/>
  <c r="D574" i="3"/>
  <c r="C574" i="3"/>
  <c r="M573" i="3"/>
  <c r="L573" i="3"/>
  <c r="K573" i="3"/>
  <c r="J573" i="3"/>
  <c r="I573" i="3"/>
  <c r="H573" i="3"/>
  <c r="G573" i="3"/>
  <c r="F573" i="3"/>
  <c r="E573" i="3"/>
  <c r="D573" i="3"/>
  <c r="C573" i="3"/>
  <c r="M572" i="3"/>
  <c r="L572" i="3"/>
  <c r="K572" i="3"/>
  <c r="J572" i="3"/>
  <c r="I572" i="3"/>
  <c r="H572" i="3"/>
  <c r="G572" i="3"/>
  <c r="F572" i="3"/>
  <c r="E572" i="3"/>
  <c r="D572" i="3"/>
  <c r="C572" i="3"/>
  <c r="M571" i="3"/>
  <c r="L571" i="3"/>
  <c r="K571" i="3"/>
  <c r="J571" i="3"/>
  <c r="I571" i="3"/>
  <c r="H571" i="3"/>
  <c r="G571" i="3"/>
  <c r="F571" i="3"/>
  <c r="E571" i="3"/>
  <c r="D571" i="3"/>
  <c r="C571" i="3"/>
  <c r="M570" i="3"/>
  <c r="L570" i="3"/>
  <c r="K570" i="3"/>
  <c r="J570" i="3"/>
  <c r="I570" i="3"/>
  <c r="H570" i="3"/>
  <c r="G570" i="3"/>
  <c r="F570" i="3"/>
  <c r="E570" i="3"/>
  <c r="D570" i="3"/>
  <c r="C570" i="3"/>
  <c r="M569" i="3"/>
  <c r="L569" i="3"/>
  <c r="K569" i="3"/>
  <c r="J569" i="3"/>
  <c r="I569" i="3"/>
  <c r="H569" i="3"/>
  <c r="G569" i="3"/>
  <c r="F569" i="3"/>
  <c r="E569" i="3"/>
  <c r="D569" i="3"/>
  <c r="C569" i="3"/>
  <c r="M568" i="3"/>
  <c r="L568" i="3"/>
  <c r="K568" i="3"/>
  <c r="J568" i="3"/>
  <c r="I568" i="3"/>
  <c r="H568" i="3"/>
  <c r="G568" i="3"/>
  <c r="F568" i="3"/>
  <c r="E568" i="3"/>
  <c r="D568" i="3"/>
  <c r="C568" i="3"/>
  <c r="M567" i="3"/>
  <c r="L567" i="3"/>
  <c r="K567" i="3"/>
  <c r="J567" i="3"/>
  <c r="I567" i="3"/>
  <c r="H567" i="3"/>
  <c r="G567" i="3"/>
  <c r="F567" i="3"/>
  <c r="E567" i="3"/>
  <c r="D567" i="3"/>
  <c r="C567" i="3"/>
  <c r="M566" i="3"/>
  <c r="L566" i="3"/>
  <c r="K566" i="3"/>
  <c r="J566" i="3"/>
  <c r="I566" i="3"/>
  <c r="H566" i="3"/>
  <c r="G566" i="3"/>
  <c r="F566" i="3"/>
  <c r="E566" i="3"/>
  <c r="D566" i="3"/>
  <c r="C566" i="3"/>
  <c r="M565" i="3"/>
  <c r="L565" i="3"/>
  <c r="K565" i="3"/>
  <c r="J565" i="3"/>
  <c r="I565" i="3"/>
  <c r="H565" i="3"/>
  <c r="G565" i="3"/>
  <c r="F565" i="3"/>
  <c r="E565" i="3"/>
  <c r="D565" i="3"/>
  <c r="C565" i="3"/>
  <c r="N564" i="3"/>
  <c r="L564" i="3"/>
  <c r="K564" i="3"/>
  <c r="J564" i="3"/>
  <c r="I564" i="3"/>
  <c r="H564" i="3"/>
  <c r="G564" i="3"/>
  <c r="F564" i="3"/>
  <c r="E564" i="3"/>
  <c r="D564" i="3"/>
  <c r="C564" i="3"/>
  <c r="M563" i="3"/>
  <c r="L563" i="3"/>
  <c r="K563" i="3"/>
  <c r="J563" i="3"/>
  <c r="I563" i="3"/>
  <c r="H563" i="3"/>
  <c r="G563" i="3"/>
  <c r="F563" i="3"/>
  <c r="E563" i="3"/>
  <c r="D563" i="3"/>
  <c r="C563" i="3"/>
  <c r="N562" i="3"/>
  <c r="M562" i="3"/>
  <c r="L562" i="3"/>
  <c r="K562" i="3"/>
  <c r="J562" i="3"/>
  <c r="I562" i="3"/>
  <c r="H562" i="3"/>
  <c r="G562" i="3"/>
  <c r="F562" i="3"/>
  <c r="E562" i="3"/>
  <c r="D562" i="3"/>
  <c r="C562" i="3"/>
  <c r="N561" i="3"/>
  <c r="L561" i="3"/>
  <c r="K561" i="3"/>
  <c r="J561" i="3"/>
  <c r="I561" i="3"/>
  <c r="H561" i="3"/>
  <c r="G561" i="3"/>
  <c r="F561" i="3"/>
  <c r="E561" i="3"/>
  <c r="D561" i="3"/>
  <c r="C561" i="3"/>
  <c r="M560" i="3"/>
  <c r="L560" i="3"/>
  <c r="K560" i="3"/>
  <c r="J560" i="3"/>
  <c r="I560" i="3"/>
  <c r="H560" i="3"/>
  <c r="G560" i="3"/>
  <c r="F560" i="3"/>
  <c r="E560" i="3"/>
  <c r="D560" i="3"/>
  <c r="C560" i="3"/>
  <c r="K559" i="3"/>
  <c r="J559" i="3"/>
  <c r="I559" i="3"/>
  <c r="H559" i="3"/>
  <c r="F559" i="3"/>
  <c r="E559" i="3"/>
  <c r="D559" i="3"/>
  <c r="C559" i="3"/>
  <c r="N558" i="3"/>
  <c r="M558" i="3"/>
  <c r="L558" i="3"/>
  <c r="K558" i="3"/>
  <c r="J558" i="3"/>
  <c r="I558" i="3"/>
  <c r="H558" i="3"/>
  <c r="G558" i="3"/>
  <c r="F558" i="3"/>
  <c r="E558" i="3"/>
  <c r="D558" i="3"/>
  <c r="C558" i="3"/>
  <c r="M557" i="3"/>
  <c r="L557" i="3"/>
  <c r="K557" i="3"/>
  <c r="J557" i="3"/>
  <c r="I557" i="3"/>
  <c r="H557" i="3"/>
  <c r="G557" i="3"/>
  <c r="F557" i="3"/>
  <c r="E557" i="3"/>
  <c r="D557" i="3"/>
  <c r="C557" i="3"/>
  <c r="M556" i="3"/>
  <c r="L556" i="3"/>
  <c r="K556" i="3"/>
  <c r="J556" i="3"/>
  <c r="I556" i="3"/>
  <c r="H556" i="3"/>
  <c r="G556" i="3"/>
  <c r="F556" i="3"/>
  <c r="E556" i="3"/>
  <c r="D556" i="3"/>
  <c r="C556" i="3"/>
  <c r="N555" i="3"/>
  <c r="M555" i="3"/>
  <c r="L555" i="3"/>
  <c r="K555" i="3"/>
  <c r="J555" i="3"/>
  <c r="I555" i="3"/>
  <c r="H555" i="3"/>
  <c r="G555" i="3"/>
  <c r="F555" i="3"/>
  <c r="E555" i="3"/>
  <c r="D555" i="3"/>
  <c r="C555" i="3"/>
  <c r="M554" i="3"/>
  <c r="L554" i="3"/>
  <c r="K554" i="3"/>
  <c r="J554" i="3"/>
  <c r="I554" i="3"/>
  <c r="H554" i="3"/>
  <c r="G554" i="3"/>
  <c r="F554" i="3"/>
  <c r="E554" i="3"/>
  <c r="D554" i="3"/>
  <c r="C554" i="3"/>
  <c r="N553" i="3"/>
  <c r="L553" i="3"/>
  <c r="K553" i="3"/>
  <c r="J553" i="3"/>
  <c r="I553" i="3"/>
  <c r="H553" i="3"/>
  <c r="G553" i="3"/>
  <c r="F553" i="3"/>
  <c r="E553" i="3"/>
  <c r="D553" i="3"/>
  <c r="C553" i="3"/>
  <c r="N552" i="3"/>
  <c r="L552" i="3"/>
  <c r="K552" i="3"/>
  <c r="J552" i="3"/>
  <c r="I552" i="3"/>
  <c r="H552" i="3"/>
  <c r="G552" i="3"/>
  <c r="F552" i="3"/>
  <c r="E552" i="3"/>
  <c r="D552" i="3"/>
  <c r="C552" i="3"/>
  <c r="N551" i="3"/>
  <c r="M551" i="3"/>
  <c r="K551" i="3"/>
  <c r="J551" i="3"/>
  <c r="I551" i="3"/>
  <c r="H551" i="3"/>
  <c r="F551" i="3"/>
  <c r="E551" i="3"/>
  <c r="D551" i="3"/>
  <c r="C551" i="3"/>
  <c r="N550" i="3"/>
  <c r="K550" i="3"/>
  <c r="J550" i="3"/>
  <c r="I550" i="3"/>
  <c r="H550" i="3"/>
  <c r="F550" i="3"/>
  <c r="E550" i="3"/>
  <c r="D550" i="3"/>
  <c r="C550" i="3"/>
  <c r="N549" i="3"/>
  <c r="K549" i="3"/>
  <c r="J549" i="3"/>
  <c r="I549" i="3"/>
  <c r="H549" i="3"/>
  <c r="F549" i="3"/>
  <c r="E549" i="3"/>
  <c r="D549" i="3"/>
  <c r="C549" i="3"/>
  <c r="N548" i="3"/>
  <c r="K548" i="3"/>
  <c r="J548" i="3"/>
  <c r="I548" i="3"/>
  <c r="H548" i="3"/>
  <c r="F548" i="3"/>
  <c r="E548" i="3"/>
  <c r="D548" i="3"/>
  <c r="C548" i="3"/>
  <c r="N547" i="3"/>
  <c r="K547" i="3"/>
  <c r="J547" i="3"/>
  <c r="I547" i="3"/>
  <c r="H547" i="3"/>
  <c r="F547" i="3"/>
  <c r="E547" i="3"/>
  <c r="D547" i="3"/>
  <c r="C547" i="3"/>
  <c r="N546" i="3"/>
  <c r="M546" i="3"/>
  <c r="K546" i="3"/>
  <c r="J546" i="3"/>
  <c r="I546" i="3"/>
  <c r="H546" i="3"/>
  <c r="F546" i="3"/>
  <c r="E546" i="3"/>
  <c r="D546" i="3"/>
  <c r="C546" i="3"/>
  <c r="N545" i="3"/>
  <c r="M545" i="3"/>
  <c r="K545" i="3"/>
  <c r="J545" i="3"/>
  <c r="I545" i="3"/>
  <c r="H545" i="3"/>
  <c r="F545" i="3"/>
  <c r="E545" i="3"/>
  <c r="D545" i="3"/>
  <c r="C545" i="3"/>
  <c r="K544" i="3"/>
  <c r="J544" i="3"/>
  <c r="I544" i="3"/>
  <c r="H544" i="3"/>
  <c r="F544" i="3"/>
  <c r="E544" i="3"/>
  <c r="D544" i="3"/>
  <c r="C544" i="3"/>
  <c r="K543" i="3"/>
  <c r="J543" i="3"/>
  <c r="I543" i="3"/>
  <c r="H543" i="3"/>
  <c r="F543" i="3"/>
  <c r="E543" i="3"/>
  <c r="D543" i="3"/>
  <c r="C543" i="3"/>
  <c r="N542" i="3"/>
  <c r="M542" i="3"/>
  <c r="K542" i="3"/>
  <c r="J542" i="3"/>
  <c r="I542" i="3"/>
  <c r="H542" i="3"/>
  <c r="F542" i="3"/>
  <c r="E542" i="3"/>
  <c r="D542" i="3"/>
  <c r="C542" i="3"/>
  <c r="N541" i="3"/>
  <c r="K541" i="3"/>
  <c r="J541" i="3"/>
  <c r="I541" i="3"/>
  <c r="H541" i="3"/>
  <c r="F541" i="3"/>
  <c r="E541" i="3"/>
  <c r="D541" i="3"/>
  <c r="C541" i="3"/>
  <c r="N540" i="3"/>
  <c r="K540" i="3"/>
  <c r="J540" i="3"/>
  <c r="I540" i="3"/>
  <c r="H540" i="3"/>
  <c r="F540" i="3"/>
  <c r="E540" i="3"/>
  <c r="D540" i="3"/>
  <c r="C540" i="3"/>
  <c r="N539" i="3"/>
  <c r="K539" i="3"/>
  <c r="J539" i="3"/>
  <c r="I539" i="3"/>
  <c r="H539" i="3"/>
  <c r="F539" i="3"/>
  <c r="E539" i="3"/>
  <c r="D539" i="3"/>
  <c r="C539" i="3"/>
  <c r="N538" i="3"/>
  <c r="K538" i="3"/>
  <c r="J538" i="3"/>
  <c r="I538" i="3"/>
  <c r="H538" i="3"/>
  <c r="F538" i="3"/>
  <c r="E538" i="3"/>
  <c r="D538" i="3"/>
  <c r="C538" i="3"/>
  <c r="N537" i="3"/>
  <c r="K537" i="3"/>
  <c r="J537" i="3"/>
  <c r="I537" i="3"/>
  <c r="H537" i="3"/>
  <c r="F537" i="3"/>
  <c r="E537" i="3"/>
  <c r="D537" i="3"/>
  <c r="C537" i="3"/>
  <c r="N536" i="3"/>
  <c r="K536" i="3"/>
  <c r="J536" i="3"/>
  <c r="I536" i="3"/>
  <c r="H536" i="3"/>
  <c r="F536" i="3"/>
  <c r="E536" i="3"/>
  <c r="D536" i="3"/>
  <c r="C536" i="3"/>
  <c r="N535" i="3"/>
  <c r="K535" i="3"/>
  <c r="J535" i="3"/>
  <c r="I535" i="3"/>
  <c r="H535" i="3"/>
  <c r="F535" i="3"/>
  <c r="E535" i="3"/>
  <c r="D535" i="3"/>
  <c r="C535" i="3"/>
  <c r="N534" i="3"/>
  <c r="K534" i="3"/>
  <c r="J534" i="3"/>
  <c r="I534" i="3"/>
  <c r="H534" i="3"/>
  <c r="F534" i="3"/>
  <c r="E534" i="3"/>
  <c r="D534" i="3"/>
  <c r="C534" i="3"/>
  <c r="K533" i="3"/>
  <c r="J533" i="3"/>
  <c r="I533" i="3"/>
  <c r="H533" i="3"/>
  <c r="F533" i="3"/>
  <c r="E533" i="3"/>
  <c r="D533" i="3"/>
  <c r="C533" i="3"/>
  <c r="N532" i="3"/>
  <c r="K532" i="3"/>
  <c r="J532" i="3"/>
  <c r="I532" i="3"/>
  <c r="H532" i="3"/>
  <c r="F532" i="3"/>
  <c r="E532" i="3"/>
  <c r="D532" i="3"/>
  <c r="C532" i="3"/>
  <c r="N531" i="3"/>
  <c r="M531" i="3"/>
  <c r="K531" i="3"/>
  <c r="J531" i="3"/>
  <c r="I531" i="3"/>
  <c r="H531" i="3"/>
  <c r="F531" i="3"/>
  <c r="E531" i="3"/>
  <c r="D531" i="3"/>
  <c r="C531" i="3"/>
  <c r="M530" i="3"/>
  <c r="K530" i="3"/>
  <c r="J530" i="3"/>
  <c r="I530" i="3"/>
  <c r="H530" i="3"/>
  <c r="F530" i="3"/>
  <c r="E530" i="3"/>
  <c r="D530" i="3"/>
  <c r="C530" i="3"/>
  <c r="N529" i="3"/>
  <c r="K529" i="3"/>
  <c r="J529" i="3"/>
  <c r="I529" i="3"/>
  <c r="H529" i="3"/>
  <c r="F529" i="3"/>
  <c r="E529" i="3"/>
  <c r="D529" i="3"/>
  <c r="C529" i="3"/>
  <c r="N528" i="3"/>
  <c r="K528" i="3"/>
  <c r="J528" i="3"/>
  <c r="I528" i="3"/>
  <c r="H528" i="3"/>
  <c r="F528" i="3"/>
  <c r="E528" i="3"/>
  <c r="D528" i="3"/>
  <c r="C528" i="3"/>
  <c r="N527" i="3"/>
  <c r="M527" i="3"/>
  <c r="L527" i="3"/>
  <c r="K527" i="3"/>
  <c r="J527" i="3"/>
  <c r="I527" i="3"/>
  <c r="H527" i="3"/>
  <c r="G527" i="3"/>
  <c r="F527" i="3"/>
  <c r="E527" i="3"/>
  <c r="D527" i="3"/>
  <c r="C527" i="3"/>
  <c r="N526" i="3"/>
  <c r="M526" i="3"/>
  <c r="K526" i="3"/>
  <c r="J526" i="3"/>
  <c r="I526" i="3"/>
  <c r="H526" i="3"/>
  <c r="F526" i="3"/>
  <c r="E526" i="3"/>
  <c r="D526" i="3"/>
  <c r="C526" i="3"/>
  <c r="N525" i="3"/>
  <c r="K525" i="3"/>
  <c r="J525" i="3"/>
  <c r="I525" i="3"/>
  <c r="H525" i="3"/>
  <c r="F525" i="3"/>
  <c r="E525" i="3"/>
  <c r="D525" i="3"/>
  <c r="C525" i="3"/>
  <c r="N524" i="3"/>
  <c r="K524" i="3"/>
  <c r="J524" i="3"/>
  <c r="I524" i="3"/>
  <c r="H524" i="3"/>
  <c r="F524" i="3"/>
  <c r="E524" i="3"/>
  <c r="D524" i="3"/>
  <c r="C524" i="3"/>
  <c r="N523" i="3"/>
  <c r="K523" i="3"/>
  <c r="J523" i="3"/>
  <c r="I523" i="3"/>
  <c r="H523" i="3"/>
  <c r="F523" i="3"/>
  <c r="E523" i="3"/>
  <c r="D523" i="3"/>
  <c r="C523" i="3"/>
  <c r="N522" i="3"/>
  <c r="K522" i="3"/>
  <c r="J522" i="3"/>
  <c r="I522" i="3"/>
  <c r="H522" i="3"/>
  <c r="F522" i="3"/>
  <c r="E522" i="3"/>
  <c r="D522" i="3"/>
  <c r="C522" i="3"/>
  <c r="N521" i="3"/>
  <c r="K521" i="3"/>
  <c r="J521" i="3"/>
  <c r="I521" i="3"/>
  <c r="H521" i="3"/>
  <c r="F521" i="3"/>
  <c r="E521" i="3"/>
  <c r="D521" i="3"/>
  <c r="C521" i="3"/>
  <c r="N520" i="3"/>
  <c r="M520" i="3"/>
  <c r="K520" i="3"/>
  <c r="J520" i="3"/>
  <c r="I520" i="3"/>
  <c r="H520" i="3"/>
  <c r="F520" i="3"/>
  <c r="E520" i="3"/>
  <c r="D520" i="3"/>
  <c r="C520" i="3"/>
  <c r="N519" i="3"/>
  <c r="K519" i="3"/>
  <c r="J519" i="3"/>
  <c r="I519" i="3"/>
  <c r="H519" i="3"/>
  <c r="F519" i="3"/>
  <c r="E519" i="3"/>
  <c r="D519" i="3"/>
  <c r="C519" i="3"/>
  <c r="N518" i="3"/>
  <c r="M518" i="3"/>
  <c r="K518" i="3"/>
  <c r="J518" i="3"/>
  <c r="I518" i="3"/>
  <c r="H518" i="3"/>
  <c r="F518" i="3"/>
  <c r="E518" i="3"/>
  <c r="D518" i="3"/>
  <c r="C518" i="3"/>
  <c r="N517" i="3"/>
  <c r="K517" i="3"/>
  <c r="J517" i="3"/>
  <c r="I517" i="3"/>
  <c r="H517" i="3"/>
  <c r="F517" i="3"/>
  <c r="E517" i="3"/>
  <c r="D517" i="3"/>
  <c r="C517" i="3"/>
  <c r="N516" i="3"/>
  <c r="K516" i="3"/>
  <c r="J516" i="3"/>
  <c r="I516" i="3"/>
  <c r="H516" i="3"/>
  <c r="F516" i="3"/>
  <c r="E516" i="3"/>
  <c r="D516" i="3"/>
  <c r="C516" i="3"/>
  <c r="N515" i="3"/>
  <c r="M515" i="3"/>
  <c r="K515" i="3"/>
  <c r="J515" i="3"/>
  <c r="I515" i="3"/>
  <c r="H515" i="3"/>
  <c r="F515" i="3"/>
  <c r="E515" i="3"/>
  <c r="D515" i="3"/>
  <c r="C515" i="3"/>
  <c r="N514" i="3"/>
  <c r="K514" i="3"/>
  <c r="J514" i="3"/>
  <c r="I514" i="3"/>
  <c r="H514" i="3"/>
  <c r="F514" i="3"/>
  <c r="E514" i="3"/>
  <c r="D514" i="3"/>
  <c r="C514" i="3"/>
  <c r="N513" i="3"/>
  <c r="K513" i="3"/>
  <c r="J513" i="3"/>
  <c r="I513" i="3"/>
  <c r="H513" i="3"/>
  <c r="F513" i="3"/>
  <c r="E513" i="3"/>
  <c r="D513" i="3"/>
  <c r="C513" i="3"/>
  <c r="N512" i="3"/>
  <c r="K512" i="3"/>
  <c r="J512" i="3"/>
  <c r="I512" i="3"/>
  <c r="H512" i="3"/>
  <c r="F512" i="3"/>
  <c r="E512" i="3"/>
  <c r="D512" i="3"/>
  <c r="C512" i="3"/>
  <c r="N511" i="3"/>
  <c r="M511" i="3"/>
  <c r="K511" i="3"/>
  <c r="J511" i="3"/>
  <c r="I511" i="3"/>
  <c r="H511" i="3"/>
  <c r="F511" i="3"/>
  <c r="E511" i="3"/>
  <c r="D511" i="3"/>
  <c r="C511" i="3"/>
  <c r="N510" i="3"/>
  <c r="K510" i="3"/>
  <c r="J510" i="3"/>
  <c r="I510" i="3"/>
  <c r="H510" i="3"/>
  <c r="F510" i="3"/>
  <c r="E510" i="3"/>
  <c r="D510" i="3"/>
  <c r="C510" i="3"/>
  <c r="M509" i="3"/>
  <c r="L509" i="3"/>
  <c r="K509" i="3"/>
  <c r="J509" i="3"/>
  <c r="I509" i="3"/>
  <c r="H509" i="3"/>
  <c r="G509" i="3"/>
  <c r="F509" i="3"/>
  <c r="E509" i="3"/>
  <c r="D509" i="3"/>
  <c r="C509" i="3"/>
  <c r="N508" i="3"/>
  <c r="M508" i="3"/>
  <c r="L508" i="3"/>
  <c r="K508" i="3"/>
  <c r="J508" i="3"/>
  <c r="I508" i="3"/>
  <c r="H508" i="3"/>
  <c r="G508" i="3"/>
  <c r="F508" i="3"/>
  <c r="E508" i="3"/>
  <c r="D508" i="3"/>
  <c r="C508" i="3"/>
  <c r="N507" i="3"/>
  <c r="K507" i="3"/>
  <c r="J507" i="3"/>
  <c r="I507" i="3"/>
  <c r="H507" i="3"/>
  <c r="F507" i="3"/>
  <c r="E507" i="3"/>
  <c r="D507" i="3"/>
  <c r="C507" i="3"/>
  <c r="N506" i="3"/>
  <c r="M506" i="3"/>
  <c r="K506" i="3"/>
  <c r="J506" i="3"/>
  <c r="I506" i="3"/>
  <c r="H506" i="3"/>
  <c r="F506" i="3"/>
  <c r="E506" i="3"/>
  <c r="D506" i="3"/>
  <c r="C506" i="3"/>
  <c r="N505" i="3"/>
  <c r="M505" i="3"/>
  <c r="K505" i="3"/>
  <c r="J505" i="3"/>
  <c r="I505" i="3"/>
  <c r="H505" i="3"/>
  <c r="F505" i="3"/>
  <c r="E505" i="3"/>
  <c r="D505" i="3"/>
  <c r="C505" i="3"/>
  <c r="N504" i="3"/>
  <c r="M504" i="3"/>
  <c r="K504" i="3"/>
  <c r="J504" i="3"/>
  <c r="I504" i="3"/>
  <c r="H504" i="3"/>
  <c r="F504" i="3"/>
  <c r="E504" i="3"/>
  <c r="D504" i="3"/>
  <c r="C504" i="3"/>
  <c r="N503" i="3"/>
  <c r="M503" i="3"/>
  <c r="K503" i="3"/>
  <c r="J503" i="3"/>
  <c r="I503" i="3"/>
  <c r="H503" i="3"/>
  <c r="F503" i="3"/>
  <c r="E503" i="3"/>
  <c r="D503" i="3"/>
  <c r="C503" i="3"/>
  <c r="N502" i="3"/>
  <c r="M502" i="3"/>
  <c r="K502" i="3"/>
  <c r="J502" i="3"/>
  <c r="I502" i="3"/>
  <c r="H502" i="3"/>
  <c r="F502" i="3"/>
  <c r="E502" i="3"/>
  <c r="D502" i="3"/>
  <c r="C502" i="3"/>
  <c r="N501" i="3"/>
  <c r="M501" i="3"/>
  <c r="K501" i="3"/>
  <c r="J501" i="3"/>
  <c r="I501" i="3"/>
  <c r="H501" i="3"/>
  <c r="F501" i="3"/>
  <c r="E501" i="3"/>
  <c r="D501" i="3"/>
  <c r="C501" i="3"/>
  <c r="N500" i="3"/>
  <c r="K500" i="3"/>
  <c r="J500" i="3"/>
  <c r="I500" i="3"/>
  <c r="H500" i="3"/>
  <c r="F500" i="3"/>
  <c r="E500" i="3"/>
  <c r="D500" i="3"/>
  <c r="C500" i="3"/>
  <c r="M499" i="3"/>
  <c r="L499" i="3"/>
  <c r="K499" i="3"/>
  <c r="J499" i="3"/>
  <c r="I499" i="3"/>
  <c r="H499" i="3"/>
  <c r="G499" i="3"/>
  <c r="F499" i="3"/>
  <c r="E499" i="3"/>
  <c r="D499" i="3"/>
  <c r="C499" i="3"/>
  <c r="N498" i="3"/>
  <c r="K498" i="3"/>
  <c r="J498" i="3"/>
  <c r="I498" i="3"/>
  <c r="H498" i="3"/>
  <c r="F498" i="3"/>
  <c r="E498" i="3"/>
  <c r="D498" i="3"/>
  <c r="C498" i="3"/>
  <c r="N497" i="3"/>
  <c r="M497" i="3"/>
  <c r="K497" i="3"/>
  <c r="J497" i="3"/>
  <c r="I497" i="3"/>
  <c r="H497" i="3"/>
  <c r="F497" i="3"/>
  <c r="E497" i="3"/>
  <c r="D497" i="3"/>
  <c r="C497" i="3"/>
  <c r="N496" i="3"/>
  <c r="M496" i="3"/>
  <c r="K496" i="3"/>
  <c r="J496" i="3"/>
  <c r="I496" i="3"/>
  <c r="H496" i="3"/>
  <c r="F496" i="3"/>
  <c r="E496" i="3"/>
  <c r="D496" i="3"/>
  <c r="C496" i="3"/>
  <c r="N495" i="3"/>
  <c r="K495" i="3"/>
  <c r="J495" i="3"/>
  <c r="I495" i="3"/>
  <c r="H495" i="3"/>
  <c r="F495" i="3"/>
  <c r="E495" i="3"/>
  <c r="D495" i="3"/>
  <c r="C495" i="3"/>
  <c r="N494" i="3"/>
  <c r="K494" i="3"/>
  <c r="J494" i="3"/>
  <c r="I494" i="3"/>
  <c r="H494" i="3"/>
  <c r="F494" i="3"/>
  <c r="E494" i="3"/>
  <c r="D494" i="3"/>
  <c r="C494" i="3"/>
  <c r="N493" i="3"/>
  <c r="K493" i="3"/>
  <c r="J493" i="3"/>
  <c r="I493" i="3"/>
  <c r="H493" i="3"/>
  <c r="F493" i="3"/>
  <c r="E493" i="3"/>
  <c r="D493" i="3"/>
  <c r="C493" i="3"/>
  <c r="N492" i="3"/>
  <c r="K492" i="3"/>
  <c r="J492" i="3"/>
  <c r="I492" i="3"/>
  <c r="H492" i="3"/>
  <c r="F492" i="3"/>
  <c r="E492" i="3"/>
  <c r="D492" i="3"/>
  <c r="C492" i="3"/>
  <c r="N491" i="3"/>
  <c r="M491" i="3"/>
  <c r="K491" i="3"/>
  <c r="J491" i="3"/>
  <c r="I491" i="3"/>
  <c r="H491" i="3"/>
  <c r="F491" i="3"/>
  <c r="E491" i="3"/>
  <c r="D491" i="3"/>
  <c r="C491" i="3"/>
  <c r="N490" i="3"/>
  <c r="K490" i="3"/>
  <c r="J490" i="3"/>
  <c r="I490" i="3"/>
  <c r="H490" i="3"/>
  <c r="F490" i="3"/>
  <c r="E490" i="3"/>
  <c r="D490" i="3"/>
  <c r="C490" i="3"/>
  <c r="N489" i="3"/>
  <c r="K489" i="3"/>
  <c r="J489" i="3"/>
  <c r="I489" i="3"/>
  <c r="H489" i="3"/>
  <c r="F489" i="3"/>
  <c r="E489" i="3"/>
  <c r="D489" i="3"/>
  <c r="C489" i="3"/>
  <c r="N488" i="3"/>
  <c r="M488" i="3"/>
  <c r="K488" i="3"/>
  <c r="J488" i="3"/>
  <c r="I488" i="3"/>
  <c r="H488" i="3"/>
  <c r="F488" i="3"/>
  <c r="E488" i="3"/>
  <c r="D488" i="3"/>
  <c r="C488" i="3"/>
  <c r="N487" i="3"/>
  <c r="K487" i="3"/>
  <c r="J487" i="3"/>
  <c r="I487" i="3"/>
  <c r="H487" i="3"/>
  <c r="F487" i="3"/>
  <c r="E487" i="3"/>
  <c r="D487" i="3"/>
  <c r="C487" i="3"/>
  <c r="N486" i="3"/>
  <c r="K486" i="3"/>
  <c r="J486" i="3"/>
  <c r="I486" i="3"/>
  <c r="H486" i="3"/>
  <c r="F486" i="3"/>
  <c r="E486" i="3"/>
  <c r="D486" i="3"/>
  <c r="C486" i="3"/>
  <c r="N485" i="3"/>
  <c r="M485" i="3"/>
  <c r="K485" i="3"/>
  <c r="J485" i="3"/>
  <c r="I485" i="3"/>
  <c r="H485" i="3"/>
  <c r="F485" i="3"/>
  <c r="E485" i="3"/>
  <c r="D485" i="3"/>
  <c r="C485" i="3"/>
  <c r="N484" i="3"/>
  <c r="M484" i="3"/>
  <c r="K484" i="3"/>
  <c r="J484" i="3"/>
  <c r="I484" i="3"/>
  <c r="H484" i="3"/>
  <c r="F484" i="3"/>
  <c r="E484" i="3"/>
  <c r="D484" i="3"/>
  <c r="C484" i="3"/>
  <c r="N483" i="3"/>
  <c r="M483" i="3"/>
  <c r="K483" i="3"/>
  <c r="J483" i="3"/>
  <c r="I483" i="3"/>
  <c r="H483" i="3"/>
  <c r="F483" i="3"/>
  <c r="E483" i="3"/>
  <c r="D483" i="3"/>
  <c r="C483" i="3"/>
  <c r="N482" i="3"/>
  <c r="M482" i="3"/>
  <c r="K482" i="3"/>
  <c r="J482" i="3"/>
  <c r="I482" i="3"/>
  <c r="H482" i="3"/>
  <c r="F482" i="3"/>
  <c r="E482" i="3"/>
  <c r="D482" i="3"/>
  <c r="C482" i="3"/>
  <c r="N481" i="3"/>
  <c r="M481" i="3"/>
  <c r="K481" i="3"/>
  <c r="J481" i="3"/>
  <c r="I481" i="3"/>
  <c r="H481" i="3"/>
  <c r="F481" i="3"/>
  <c r="E481" i="3"/>
  <c r="D481" i="3"/>
  <c r="C481" i="3"/>
  <c r="N480" i="3"/>
  <c r="K480" i="3"/>
  <c r="J480" i="3"/>
  <c r="I480" i="3"/>
  <c r="H480" i="3"/>
  <c r="F480" i="3"/>
  <c r="E480" i="3"/>
  <c r="D480" i="3"/>
  <c r="C480" i="3"/>
  <c r="N479" i="3"/>
  <c r="M479" i="3"/>
  <c r="K479" i="3"/>
  <c r="J479" i="3"/>
  <c r="I479" i="3"/>
  <c r="H479" i="3"/>
  <c r="F479" i="3"/>
  <c r="E479" i="3"/>
  <c r="D479" i="3"/>
  <c r="C479" i="3"/>
  <c r="N478" i="3"/>
  <c r="K478" i="3"/>
  <c r="J478" i="3"/>
  <c r="I478" i="3"/>
  <c r="H478" i="3"/>
  <c r="F478" i="3"/>
  <c r="E478" i="3"/>
  <c r="D478" i="3"/>
  <c r="C478" i="3"/>
  <c r="N477" i="3"/>
  <c r="M477" i="3"/>
  <c r="K477" i="3"/>
  <c r="J477" i="3"/>
  <c r="I477" i="3"/>
  <c r="H477" i="3"/>
  <c r="F477" i="3"/>
  <c r="E477" i="3"/>
  <c r="D477" i="3"/>
  <c r="C477" i="3"/>
  <c r="N476" i="3"/>
  <c r="K476" i="3"/>
  <c r="J476" i="3"/>
  <c r="I476" i="3"/>
  <c r="H476" i="3"/>
  <c r="F476" i="3"/>
  <c r="E476" i="3"/>
  <c r="D476" i="3"/>
  <c r="C476" i="3"/>
  <c r="M475" i="3"/>
  <c r="L475" i="3"/>
  <c r="K475" i="3"/>
  <c r="J475" i="3"/>
  <c r="I475" i="3"/>
  <c r="H475" i="3"/>
  <c r="G475" i="3"/>
  <c r="F475" i="3"/>
  <c r="E475" i="3"/>
  <c r="D475" i="3"/>
  <c r="C475" i="3"/>
  <c r="M474" i="3"/>
  <c r="K474" i="3"/>
  <c r="J474" i="3"/>
  <c r="I474" i="3"/>
  <c r="H474" i="3"/>
  <c r="F474" i="3"/>
  <c r="E474" i="3"/>
  <c r="D474" i="3"/>
  <c r="C474" i="3"/>
  <c r="N473" i="3"/>
  <c r="K473" i="3"/>
  <c r="J473" i="3"/>
  <c r="I473" i="3"/>
  <c r="H473" i="3"/>
  <c r="F473" i="3"/>
  <c r="E473" i="3"/>
  <c r="D473" i="3"/>
  <c r="C473" i="3"/>
  <c r="N472" i="3"/>
  <c r="L472" i="3"/>
  <c r="K472" i="3"/>
  <c r="J472" i="3"/>
  <c r="I472" i="3"/>
  <c r="H472" i="3"/>
  <c r="G472" i="3"/>
  <c r="F472" i="3"/>
  <c r="E472" i="3"/>
  <c r="D472" i="3"/>
  <c r="C472" i="3"/>
  <c r="M471" i="3"/>
  <c r="L471" i="3"/>
  <c r="K471" i="3"/>
  <c r="J471" i="3"/>
  <c r="I471" i="3"/>
  <c r="H471" i="3"/>
  <c r="G471" i="3"/>
  <c r="F471" i="3"/>
  <c r="E471" i="3"/>
  <c r="D471" i="3"/>
  <c r="C471" i="3"/>
  <c r="N470" i="3"/>
  <c r="M470" i="3"/>
  <c r="K470" i="3"/>
  <c r="J470" i="3"/>
  <c r="I470" i="3"/>
  <c r="H470" i="3"/>
  <c r="F470" i="3"/>
  <c r="E470" i="3"/>
  <c r="D470" i="3"/>
  <c r="C470" i="3"/>
  <c r="M469" i="3"/>
  <c r="L469" i="3"/>
  <c r="K469" i="3"/>
  <c r="J469" i="3"/>
  <c r="I469" i="3"/>
  <c r="H469" i="3"/>
  <c r="G469" i="3"/>
  <c r="F469" i="3"/>
  <c r="E469" i="3"/>
  <c r="D469" i="3"/>
  <c r="C469" i="3"/>
  <c r="M468" i="3"/>
  <c r="L468" i="3"/>
  <c r="K468" i="3"/>
  <c r="J468" i="3"/>
  <c r="I468" i="3"/>
  <c r="H468" i="3"/>
  <c r="G468" i="3"/>
  <c r="F468" i="3"/>
  <c r="E468" i="3"/>
  <c r="D468" i="3"/>
  <c r="C468" i="3"/>
  <c r="N467" i="3"/>
  <c r="M467" i="3"/>
  <c r="L467" i="3"/>
  <c r="K467" i="3"/>
  <c r="J467" i="3"/>
  <c r="I467" i="3"/>
  <c r="H467" i="3"/>
  <c r="G467" i="3"/>
  <c r="F467" i="3"/>
  <c r="E467" i="3"/>
  <c r="D467" i="3"/>
  <c r="C467" i="3"/>
  <c r="M466" i="3"/>
  <c r="L466" i="3"/>
  <c r="K466" i="3"/>
  <c r="J466" i="3"/>
  <c r="I466" i="3"/>
  <c r="H466" i="3"/>
  <c r="G466" i="3"/>
  <c r="F466" i="3"/>
  <c r="E466" i="3"/>
  <c r="D466" i="3"/>
  <c r="C466" i="3"/>
  <c r="M465" i="3"/>
  <c r="L465" i="3"/>
  <c r="K465" i="3"/>
  <c r="J465" i="3"/>
  <c r="I465" i="3"/>
  <c r="H465" i="3"/>
  <c r="G465" i="3"/>
  <c r="F465" i="3"/>
  <c r="E465" i="3"/>
  <c r="D465" i="3"/>
  <c r="C465" i="3"/>
  <c r="N464" i="3"/>
  <c r="L464" i="3"/>
  <c r="K464" i="3"/>
  <c r="J464" i="3"/>
  <c r="I464" i="3"/>
  <c r="H464" i="3"/>
  <c r="G464" i="3"/>
  <c r="F464" i="3"/>
  <c r="E464" i="3"/>
  <c r="D464" i="3"/>
  <c r="C464" i="3"/>
  <c r="M463" i="3"/>
  <c r="L463" i="3"/>
  <c r="K463" i="3"/>
  <c r="J463" i="3"/>
  <c r="I463" i="3"/>
  <c r="H463" i="3"/>
  <c r="G463" i="3"/>
  <c r="F463" i="3"/>
  <c r="E463" i="3"/>
  <c r="D463" i="3"/>
  <c r="C463" i="3"/>
  <c r="N462" i="3"/>
  <c r="M462" i="3"/>
  <c r="L462" i="3"/>
  <c r="K462" i="3"/>
  <c r="J462" i="3"/>
  <c r="I462" i="3"/>
  <c r="H462" i="3"/>
  <c r="G462" i="3"/>
  <c r="F462" i="3"/>
  <c r="E462" i="3"/>
  <c r="D462" i="3"/>
  <c r="C462" i="3"/>
  <c r="N461" i="3"/>
  <c r="M461" i="3"/>
  <c r="L461" i="3"/>
  <c r="K461" i="3"/>
  <c r="J461" i="3"/>
  <c r="I461" i="3"/>
  <c r="H461" i="3"/>
  <c r="G461" i="3"/>
  <c r="F461" i="3"/>
  <c r="E461" i="3"/>
  <c r="D461" i="3"/>
  <c r="C461" i="3"/>
  <c r="M460" i="3"/>
  <c r="L460" i="3"/>
  <c r="K460" i="3"/>
  <c r="J460" i="3"/>
  <c r="I460" i="3"/>
  <c r="H460" i="3"/>
  <c r="G460" i="3"/>
  <c r="F460" i="3"/>
  <c r="E460" i="3"/>
  <c r="D460" i="3"/>
  <c r="C460" i="3"/>
  <c r="M459" i="3"/>
  <c r="L459" i="3"/>
  <c r="K459" i="3"/>
  <c r="J459" i="3"/>
  <c r="I459" i="3"/>
  <c r="H459" i="3"/>
  <c r="G459" i="3"/>
  <c r="F459" i="3"/>
  <c r="E459" i="3"/>
  <c r="D459" i="3"/>
  <c r="C459" i="3"/>
  <c r="M458" i="3"/>
  <c r="L458" i="3"/>
  <c r="K458" i="3"/>
  <c r="J458" i="3"/>
  <c r="I458" i="3"/>
  <c r="H458" i="3"/>
  <c r="G458" i="3"/>
  <c r="F458" i="3"/>
  <c r="E458" i="3"/>
  <c r="D458" i="3"/>
  <c r="C458" i="3"/>
  <c r="N457" i="3"/>
  <c r="L457" i="3"/>
  <c r="K457" i="3"/>
  <c r="J457" i="3"/>
  <c r="I457" i="3"/>
  <c r="H457" i="3"/>
  <c r="G457" i="3"/>
  <c r="F457" i="3"/>
  <c r="E457" i="3"/>
  <c r="D457" i="3"/>
  <c r="C457" i="3"/>
  <c r="N456" i="3"/>
  <c r="M456" i="3"/>
  <c r="L456" i="3"/>
  <c r="K456" i="3"/>
  <c r="J456" i="3"/>
  <c r="I456" i="3"/>
  <c r="H456" i="3"/>
  <c r="G456" i="3"/>
  <c r="F456" i="3"/>
  <c r="E456" i="3"/>
  <c r="D456" i="3"/>
  <c r="C456" i="3"/>
  <c r="N455" i="3"/>
  <c r="L455" i="3"/>
  <c r="K455" i="3"/>
  <c r="J455" i="3"/>
  <c r="I455" i="3"/>
  <c r="H455" i="3"/>
  <c r="G455" i="3"/>
  <c r="F455" i="3"/>
  <c r="E455" i="3"/>
  <c r="D455" i="3"/>
  <c r="C455" i="3"/>
  <c r="N454" i="3"/>
  <c r="M454" i="3"/>
  <c r="L454" i="3"/>
  <c r="K454" i="3"/>
  <c r="J454" i="3"/>
  <c r="I454" i="3"/>
  <c r="H454" i="3"/>
  <c r="G454" i="3"/>
  <c r="F454" i="3"/>
  <c r="E454" i="3"/>
  <c r="D454" i="3"/>
  <c r="C454" i="3"/>
  <c r="M453" i="3"/>
  <c r="L453" i="3"/>
  <c r="K453" i="3"/>
  <c r="J453" i="3"/>
  <c r="I453" i="3"/>
  <c r="H453" i="3"/>
  <c r="G453" i="3"/>
  <c r="F453" i="3"/>
  <c r="E453" i="3"/>
  <c r="D453" i="3"/>
  <c r="C453" i="3"/>
  <c r="M452" i="3"/>
  <c r="L452" i="3"/>
  <c r="K452" i="3"/>
  <c r="J452" i="3"/>
  <c r="I452" i="3"/>
  <c r="H452" i="3"/>
  <c r="G452" i="3"/>
  <c r="F452" i="3"/>
  <c r="E452" i="3"/>
  <c r="D452" i="3"/>
  <c r="C452" i="3"/>
  <c r="N451" i="3"/>
  <c r="L451" i="3"/>
  <c r="K451" i="3"/>
  <c r="J451" i="3"/>
  <c r="I451" i="3"/>
  <c r="H451" i="3"/>
  <c r="G451" i="3"/>
  <c r="F451" i="3"/>
  <c r="E451" i="3"/>
  <c r="D451" i="3"/>
  <c r="C451" i="3"/>
  <c r="M450" i="3"/>
  <c r="L450" i="3"/>
  <c r="K450" i="3"/>
  <c r="J450" i="3"/>
  <c r="I450" i="3"/>
  <c r="H450" i="3"/>
  <c r="G450" i="3"/>
  <c r="F450" i="3"/>
  <c r="E450" i="3"/>
  <c r="D450" i="3"/>
  <c r="C450" i="3"/>
  <c r="M449" i="3"/>
  <c r="L449" i="3"/>
  <c r="K449" i="3"/>
  <c r="J449" i="3"/>
  <c r="I449" i="3"/>
  <c r="H449" i="3"/>
  <c r="G449" i="3"/>
  <c r="F449" i="3"/>
  <c r="E449" i="3"/>
  <c r="D449" i="3"/>
  <c r="C449" i="3"/>
  <c r="N448" i="3"/>
  <c r="M448" i="3"/>
  <c r="K448" i="3"/>
  <c r="J448" i="3"/>
  <c r="I448" i="3"/>
  <c r="H448" i="3"/>
  <c r="F448" i="3"/>
  <c r="E448" i="3"/>
  <c r="D448" i="3"/>
  <c r="C448" i="3"/>
  <c r="M447" i="3"/>
  <c r="L447" i="3"/>
  <c r="K447" i="3"/>
  <c r="J447" i="3"/>
  <c r="I447" i="3"/>
  <c r="H447" i="3"/>
  <c r="G447" i="3"/>
  <c r="F447" i="3"/>
  <c r="E447" i="3"/>
  <c r="D447" i="3"/>
  <c r="C447" i="3"/>
  <c r="M446" i="3"/>
  <c r="L446" i="3"/>
  <c r="K446" i="3"/>
  <c r="J446" i="3"/>
  <c r="I446" i="3"/>
  <c r="H446" i="3"/>
  <c r="G446" i="3"/>
  <c r="F446" i="3"/>
  <c r="E446" i="3"/>
  <c r="D446" i="3"/>
  <c r="C446" i="3"/>
  <c r="M445" i="3"/>
  <c r="L445" i="3"/>
  <c r="K445" i="3"/>
  <c r="J445" i="3"/>
  <c r="I445" i="3"/>
  <c r="H445" i="3"/>
  <c r="G445" i="3"/>
  <c r="F445" i="3"/>
  <c r="E445" i="3"/>
  <c r="D445" i="3"/>
  <c r="C445" i="3"/>
  <c r="M444" i="3"/>
  <c r="L444" i="3"/>
  <c r="K444" i="3"/>
  <c r="J444" i="3"/>
  <c r="I444" i="3"/>
  <c r="H444" i="3"/>
  <c r="G444" i="3"/>
  <c r="F444" i="3"/>
  <c r="E444" i="3"/>
  <c r="D444" i="3"/>
  <c r="C444" i="3"/>
  <c r="N443" i="3"/>
  <c r="L443" i="3"/>
  <c r="K443" i="3"/>
  <c r="J443" i="3"/>
  <c r="I443" i="3"/>
  <c r="H443" i="3"/>
  <c r="G443" i="3"/>
  <c r="F443" i="3"/>
  <c r="E443" i="3"/>
  <c r="D443" i="3"/>
  <c r="C443" i="3"/>
  <c r="M442" i="3"/>
  <c r="L442" i="3"/>
  <c r="K442" i="3"/>
  <c r="J442" i="3"/>
  <c r="I442" i="3"/>
  <c r="H442" i="3"/>
  <c r="G442" i="3"/>
  <c r="F442" i="3"/>
  <c r="E442" i="3"/>
  <c r="D442" i="3"/>
  <c r="C442" i="3"/>
  <c r="N441" i="3"/>
  <c r="L441" i="3"/>
  <c r="K441" i="3"/>
  <c r="J441" i="3"/>
  <c r="I441" i="3"/>
  <c r="H441" i="3"/>
  <c r="G441" i="3"/>
  <c r="F441" i="3"/>
  <c r="E441" i="3"/>
  <c r="D441" i="3"/>
  <c r="C441" i="3"/>
  <c r="M440" i="3"/>
  <c r="L440" i="3"/>
  <c r="K440" i="3"/>
  <c r="J440" i="3"/>
  <c r="I440" i="3"/>
  <c r="H440" i="3"/>
  <c r="G440" i="3"/>
  <c r="F440" i="3"/>
  <c r="E440" i="3"/>
  <c r="D440" i="3"/>
  <c r="C440" i="3"/>
  <c r="M439" i="3"/>
  <c r="L439" i="3"/>
  <c r="K439" i="3"/>
  <c r="J439" i="3"/>
  <c r="I439" i="3"/>
  <c r="H439" i="3"/>
  <c r="G439" i="3"/>
  <c r="F439" i="3"/>
  <c r="E439" i="3"/>
  <c r="D439" i="3"/>
  <c r="C439" i="3"/>
  <c r="M438" i="3"/>
  <c r="L438" i="3"/>
  <c r="K438" i="3"/>
  <c r="J438" i="3"/>
  <c r="I438" i="3"/>
  <c r="H438" i="3"/>
  <c r="G438" i="3"/>
  <c r="F438" i="3"/>
  <c r="E438" i="3"/>
  <c r="D438" i="3"/>
  <c r="C438" i="3"/>
  <c r="M437" i="3"/>
  <c r="L437" i="3"/>
  <c r="K437" i="3"/>
  <c r="J437" i="3"/>
  <c r="I437" i="3"/>
  <c r="H437" i="3"/>
  <c r="G437" i="3"/>
  <c r="F437" i="3"/>
  <c r="E437" i="3"/>
  <c r="D437" i="3"/>
  <c r="C437" i="3"/>
  <c r="M436" i="3"/>
  <c r="L436" i="3"/>
  <c r="K436" i="3"/>
  <c r="J436" i="3"/>
  <c r="I436" i="3"/>
  <c r="H436" i="3"/>
  <c r="G436" i="3"/>
  <c r="F436" i="3"/>
  <c r="E436" i="3"/>
  <c r="D436" i="3"/>
  <c r="C436" i="3"/>
  <c r="M435" i="3"/>
  <c r="L435" i="3"/>
  <c r="K435" i="3"/>
  <c r="J435" i="3"/>
  <c r="I435" i="3"/>
  <c r="H435" i="3"/>
  <c r="G435" i="3"/>
  <c r="F435" i="3"/>
  <c r="E435" i="3"/>
  <c r="D435" i="3"/>
  <c r="C435" i="3"/>
  <c r="M434" i="3"/>
  <c r="L434" i="3"/>
  <c r="K434" i="3"/>
  <c r="J434" i="3"/>
  <c r="I434" i="3"/>
  <c r="H434" i="3"/>
  <c r="G434" i="3"/>
  <c r="F434" i="3"/>
  <c r="E434" i="3"/>
  <c r="D434" i="3"/>
  <c r="C434" i="3"/>
  <c r="N433" i="3"/>
  <c r="L433" i="3"/>
  <c r="K433" i="3"/>
  <c r="J433" i="3"/>
  <c r="I433" i="3"/>
  <c r="H433" i="3"/>
  <c r="G433" i="3"/>
  <c r="F433" i="3"/>
  <c r="E433" i="3"/>
  <c r="D433" i="3"/>
  <c r="C433" i="3"/>
  <c r="M432" i="3"/>
  <c r="L432" i="3"/>
  <c r="K432" i="3"/>
  <c r="J432" i="3"/>
  <c r="I432" i="3"/>
  <c r="H432" i="3"/>
  <c r="G432" i="3"/>
  <c r="F432" i="3"/>
  <c r="E432" i="3"/>
  <c r="D432" i="3"/>
  <c r="C432" i="3"/>
  <c r="N431" i="3"/>
  <c r="L431" i="3"/>
  <c r="K431" i="3"/>
  <c r="J431" i="3"/>
  <c r="I431" i="3"/>
  <c r="H431" i="3"/>
  <c r="G431" i="3"/>
  <c r="F431" i="3"/>
  <c r="E431" i="3"/>
  <c r="D431" i="3"/>
  <c r="C431" i="3"/>
  <c r="N430" i="3"/>
  <c r="M430" i="3"/>
  <c r="L430" i="3"/>
  <c r="K430" i="3"/>
  <c r="J430" i="3"/>
  <c r="I430" i="3"/>
  <c r="H430" i="3"/>
  <c r="G430" i="3"/>
  <c r="F430" i="3"/>
  <c r="E430" i="3"/>
  <c r="D430" i="3"/>
  <c r="C430" i="3"/>
  <c r="L429" i="3"/>
  <c r="K429" i="3"/>
  <c r="J429" i="3"/>
  <c r="I429" i="3"/>
  <c r="H429" i="3"/>
  <c r="G429" i="3"/>
  <c r="F429" i="3"/>
  <c r="E429" i="3"/>
  <c r="D429" i="3"/>
  <c r="C429" i="3"/>
  <c r="M428" i="3"/>
  <c r="K428" i="3"/>
  <c r="J428" i="3"/>
  <c r="I428" i="3"/>
  <c r="H428" i="3"/>
  <c r="F428" i="3"/>
  <c r="E428" i="3"/>
  <c r="D428" i="3"/>
  <c r="C428" i="3"/>
  <c r="M427" i="3"/>
  <c r="L427" i="3"/>
  <c r="K427" i="3"/>
  <c r="J427" i="3"/>
  <c r="I427" i="3"/>
  <c r="H427" i="3"/>
  <c r="G427" i="3"/>
  <c r="F427" i="3"/>
  <c r="E427" i="3"/>
  <c r="D427" i="3"/>
  <c r="C427" i="3"/>
  <c r="N426" i="3"/>
  <c r="L426" i="3"/>
  <c r="K426" i="3"/>
  <c r="J426" i="3"/>
  <c r="I426" i="3"/>
  <c r="H426" i="3"/>
  <c r="G426" i="3"/>
  <c r="F426" i="3"/>
  <c r="E426" i="3"/>
  <c r="D426" i="3"/>
  <c r="C426" i="3"/>
  <c r="N425" i="3"/>
  <c r="L425" i="3"/>
  <c r="K425" i="3"/>
  <c r="J425" i="3"/>
  <c r="I425" i="3"/>
  <c r="H425" i="3"/>
  <c r="G425" i="3"/>
  <c r="F425" i="3"/>
  <c r="E425" i="3"/>
  <c r="D425" i="3"/>
  <c r="C425" i="3"/>
  <c r="N424" i="3"/>
  <c r="L424" i="3"/>
  <c r="K424" i="3"/>
  <c r="J424" i="3"/>
  <c r="I424" i="3"/>
  <c r="H424" i="3"/>
  <c r="G424" i="3"/>
  <c r="F424" i="3"/>
  <c r="E424" i="3"/>
  <c r="D424" i="3"/>
  <c r="C424" i="3"/>
  <c r="M423" i="3"/>
  <c r="L423" i="3"/>
  <c r="K423" i="3"/>
  <c r="J423" i="3"/>
  <c r="I423" i="3"/>
  <c r="H423" i="3"/>
  <c r="G423" i="3"/>
  <c r="F423" i="3"/>
  <c r="E423" i="3"/>
  <c r="D423" i="3"/>
  <c r="C423" i="3"/>
  <c r="M422" i="3"/>
  <c r="L422" i="3"/>
  <c r="K422" i="3"/>
  <c r="J422" i="3"/>
  <c r="I422" i="3"/>
  <c r="H422" i="3"/>
  <c r="G422" i="3"/>
  <c r="F422" i="3"/>
  <c r="E422" i="3"/>
  <c r="D422" i="3"/>
  <c r="C422" i="3"/>
  <c r="M421" i="3"/>
  <c r="L421" i="3"/>
  <c r="K421" i="3"/>
  <c r="J421" i="3"/>
  <c r="I421" i="3"/>
  <c r="H421" i="3"/>
  <c r="G421" i="3"/>
  <c r="F421" i="3"/>
  <c r="E421" i="3"/>
  <c r="D421" i="3"/>
  <c r="C421" i="3"/>
  <c r="M420" i="3"/>
  <c r="L420" i="3"/>
  <c r="K420" i="3"/>
  <c r="J420" i="3"/>
  <c r="I420" i="3"/>
  <c r="H420" i="3"/>
  <c r="G420" i="3"/>
  <c r="F420" i="3"/>
  <c r="E420" i="3"/>
  <c r="D420" i="3"/>
  <c r="C420" i="3"/>
  <c r="M419" i="3"/>
  <c r="L419" i="3"/>
  <c r="K419" i="3"/>
  <c r="J419" i="3"/>
  <c r="I419" i="3"/>
  <c r="H419" i="3"/>
  <c r="G419" i="3"/>
  <c r="F419" i="3"/>
  <c r="E419" i="3"/>
  <c r="D419" i="3"/>
  <c r="C419" i="3"/>
  <c r="M418" i="3"/>
  <c r="L418" i="3"/>
  <c r="K418" i="3"/>
  <c r="J418" i="3"/>
  <c r="I418" i="3"/>
  <c r="H418" i="3"/>
  <c r="G418" i="3"/>
  <c r="F418" i="3"/>
  <c r="E418" i="3"/>
  <c r="D418" i="3"/>
  <c r="C418" i="3"/>
  <c r="N417" i="3"/>
  <c r="L417" i="3"/>
  <c r="K417" i="3"/>
  <c r="J417" i="3"/>
  <c r="I417" i="3"/>
  <c r="H417" i="3"/>
  <c r="G417" i="3"/>
  <c r="F417" i="3"/>
  <c r="E417" i="3"/>
  <c r="D417" i="3"/>
  <c r="C417" i="3"/>
  <c r="N416" i="3"/>
  <c r="M416" i="3"/>
  <c r="L416" i="3"/>
  <c r="K416" i="3"/>
  <c r="J416" i="3"/>
  <c r="I416" i="3"/>
  <c r="H416" i="3"/>
  <c r="G416" i="3"/>
  <c r="F416" i="3"/>
  <c r="E416" i="3"/>
  <c r="D416" i="3"/>
  <c r="C416" i="3"/>
  <c r="N415" i="3"/>
  <c r="L415" i="3"/>
  <c r="K415" i="3"/>
  <c r="J415" i="3"/>
  <c r="I415" i="3"/>
  <c r="H415" i="3"/>
  <c r="G415" i="3"/>
  <c r="F415" i="3"/>
  <c r="E415" i="3"/>
  <c r="D415" i="3"/>
  <c r="C415" i="3"/>
  <c r="M414" i="3"/>
  <c r="L414" i="3"/>
  <c r="K414" i="3"/>
  <c r="J414" i="3"/>
  <c r="I414" i="3"/>
  <c r="H414" i="3"/>
  <c r="G414" i="3"/>
  <c r="F414" i="3"/>
  <c r="E414" i="3"/>
  <c r="D414" i="3"/>
  <c r="C414" i="3"/>
  <c r="M413" i="3"/>
  <c r="L413" i="3"/>
  <c r="K413" i="3"/>
  <c r="J413" i="3"/>
  <c r="I413" i="3"/>
  <c r="H413" i="3"/>
  <c r="G413" i="3"/>
  <c r="F413" i="3"/>
  <c r="E413" i="3"/>
  <c r="D413" i="3"/>
  <c r="C413" i="3"/>
  <c r="N412" i="3"/>
  <c r="M412" i="3"/>
  <c r="K412" i="3"/>
  <c r="J412" i="3"/>
  <c r="I412" i="3"/>
  <c r="H412" i="3"/>
  <c r="F412" i="3"/>
  <c r="E412" i="3"/>
  <c r="D412" i="3"/>
  <c r="C412" i="3"/>
  <c r="N411" i="3"/>
  <c r="M411" i="3"/>
  <c r="K411" i="3"/>
  <c r="J411" i="3"/>
  <c r="I411" i="3"/>
  <c r="H411" i="3"/>
  <c r="F411" i="3"/>
  <c r="E411" i="3"/>
  <c r="D411" i="3"/>
  <c r="C411" i="3"/>
  <c r="M410" i="3"/>
  <c r="L410" i="3"/>
  <c r="K410" i="3"/>
  <c r="J410" i="3"/>
  <c r="I410" i="3"/>
  <c r="H410" i="3"/>
  <c r="G410" i="3"/>
  <c r="F410" i="3"/>
  <c r="E410" i="3"/>
  <c r="D410" i="3"/>
  <c r="C410" i="3"/>
  <c r="L409" i="3"/>
  <c r="K409" i="3"/>
  <c r="J409" i="3"/>
  <c r="I409" i="3"/>
  <c r="H409" i="3"/>
  <c r="G409" i="3"/>
  <c r="F409" i="3"/>
  <c r="E409" i="3"/>
  <c r="D409" i="3"/>
  <c r="C409" i="3"/>
  <c r="M408" i="3"/>
  <c r="L408" i="3"/>
  <c r="K408" i="3"/>
  <c r="J408" i="3"/>
  <c r="I408" i="3"/>
  <c r="H408" i="3"/>
  <c r="G408" i="3"/>
  <c r="F408" i="3"/>
  <c r="E408" i="3"/>
  <c r="D408" i="3"/>
  <c r="C408" i="3"/>
  <c r="N407" i="3"/>
  <c r="M407" i="3"/>
  <c r="L407" i="3"/>
  <c r="K407" i="3"/>
  <c r="J407" i="3"/>
  <c r="I407" i="3"/>
  <c r="H407" i="3"/>
  <c r="G407" i="3"/>
  <c r="F407" i="3"/>
  <c r="E407" i="3"/>
  <c r="D407" i="3"/>
  <c r="C407" i="3"/>
  <c r="M406" i="3"/>
  <c r="L406" i="3"/>
  <c r="K406" i="3"/>
  <c r="J406" i="3"/>
  <c r="I406" i="3"/>
  <c r="H406" i="3"/>
  <c r="G406" i="3"/>
  <c r="F406" i="3"/>
  <c r="E406" i="3"/>
  <c r="D406" i="3"/>
  <c r="C406" i="3"/>
  <c r="M405" i="3"/>
  <c r="L405" i="3"/>
  <c r="K405" i="3"/>
  <c r="J405" i="3"/>
  <c r="I405" i="3"/>
  <c r="H405" i="3"/>
  <c r="G405" i="3"/>
  <c r="F405" i="3"/>
  <c r="E405" i="3"/>
  <c r="D405" i="3"/>
  <c r="C405" i="3"/>
  <c r="N404" i="3"/>
  <c r="M404" i="3"/>
  <c r="K404" i="3"/>
  <c r="J404" i="3"/>
  <c r="I404" i="3"/>
  <c r="H404" i="3"/>
  <c r="F404" i="3"/>
  <c r="E404" i="3"/>
  <c r="D404" i="3"/>
  <c r="C404" i="3"/>
  <c r="N403" i="3"/>
  <c r="M403" i="3"/>
  <c r="K403" i="3"/>
  <c r="J403" i="3"/>
  <c r="I403" i="3"/>
  <c r="H403" i="3"/>
  <c r="F403" i="3"/>
  <c r="E403" i="3"/>
  <c r="D403" i="3"/>
  <c r="C403" i="3"/>
  <c r="M402" i="3"/>
  <c r="L402" i="3"/>
  <c r="K402" i="3"/>
  <c r="J402" i="3"/>
  <c r="I402" i="3"/>
  <c r="H402" i="3"/>
  <c r="G402" i="3"/>
  <c r="F402" i="3"/>
  <c r="E402" i="3"/>
  <c r="D402" i="3"/>
  <c r="C402" i="3"/>
  <c r="M401" i="3"/>
  <c r="K401" i="3"/>
  <c r="J401" i="3"/>
  <c r="I401" i="3"/>
  <c r="H401" i="3"/>
  <c r="F401" i="3"/>
  <c r="E401" i="3"/>
  <c r="D401" i="3"/>
  <c r="C401" i="3"/>
  <c r="M400" i="3"/>
  <c r="L400" i="3"/>
  <c r="K400" i="3"/>
  <c r="J400" i="3"/>
  <c r="I400" i="3"/>
  <c r="H400" i="3"/>
  <c r="G400" i="3"/>
  <c r="F400" i="3"/>
  <c r="E400" i="3"/>
  <c r="D400" i="3"/>
  <c r="C400" i="3"/>
  <c r="N399" i="3"/>
  <c r="M399" i="3"/>
  <c r="L399" i="3"/>
  <c r="K399" i="3"/>
  <c r="J399" i="3"/>
  <c r="I399" i="3"/>
  <c r="H399" i="3"/>
  <c r="G399" i="3"/>
  <c r="F399" i="3"/>
  <c r="E399" i="3"/>
  <c r="D399" i="3"/>
  <c r="C399" i="3"/>
  <c r="N398" i="3"/>
  <c r="K398" i="3"/>
  <c r="J398" i="3"/>
  <c r="I398" i="3"/>
  <c r="H398" i="3"/>
  <c r="F398" i="3"/>
  <c r="E398" i="3"/>
  <c r="D398" i="3"/>
  <c r="C398" i="3"/>
  <c r="M397" i="3"/>
  <c r="L397" i="3"/>
  <c r="K397" i="3"/>
  <c r="J397" i="3"/>
  <c r="I397" i="3"/>
  <c r="H397" i="3"/>
  <c r="G397" i="3"/>
  <c r="F397" i="3"/>
  <c r="E397" i="3"/>
  <c r="D397" i="3"/>
  <c r="C397" i="3"/>
  <c r="M396" i="3"/>
  <c r="L396" i="3"/>
  <c r="K396" i="3"/>
  <c r="J396" i="3"/>
  <c r="I396" i="3"/>
  <c r="H396" i="3"/>
  <c r="G396" i="3"/>
  <c r="F396" i="3"/>
  <c r="E396" i="3"/>
  <c r="D396" i="3"/>
  <c r="C396" i="3"/>
  <c r="N395" i="3"/>
  <c r="M395" i="3"/>
  <c r="K395" i="3"/>
  <c r="J395" i="3"/>
  <c r="I395" i="3"/>
  <c r="H395" i="3"/>
  <c r="F395" i="3"/>
  <c r="E395" i="3"/>
  <c r="D395" i="3"/>
  <c r="C395" i="3"/>
  <c r="N394" i="3"/>
  <c r="K394" i="3"/>
  <c r="J394" i="3"/>
  <c r="I394" i="3"/>
  <c r="H394" i="3"/>
  <c r="F394" i="3"/>
  <c r="E394" i="3"/>
  <c r="D394" i="3"/>
  <c r="C394" i="3"/>
  <c r="M393" i="3"/>
  <c r="L393" i="3"/>
  <c r="K393" i="3"/>
  <c r="J393" i="3"/>
  <c r="I393" i="3"/>
  <c r="H393" i="3"/>
  <c r="G393" i="3"/>
  <c r="F393" i="3"/>
  <c r="E393" i="3"/>
  <c r="D393" i="3"/>
  <c r="C393" i="3"/>
  <c r="M392" i="3"/>
  <c r="K392" i="3"/>
  <c r="J392" i="3"/>
  <c r="I392" i="3"/>
  <c r="H392" i="3"/>
  <c r="F392" i="3"/>
  <c r="E392" i="3"/>
  <c r="D392" i="3"/>
  <c r="C392" i="3"/>
  <c r="M391" i="3"/>
  <c r="L391" i="3"/>
  <c r="K391" i="3"/>
  <c r="J391" i="3"/>
  <c r="I391" i="3"/>
  <c r="H391" i="3"/>
  <c r="G391" i="3"/>
  <c r="F391" i="3"/>
  <c r="E391" i="3"/>
  <c r="D391" i="3"/>
  <c r="C391" i="3"/>
  <c r="M390" i="3"/>
  <c r="L390" i="3"/>
  <c r="K390" i="3"/>
  <c r="J390" i="3"/>
  <c r="I390" i="3"/>
  <c r="H390" i="3"/>
  <c r="G390" i="3"/>
  <c r="F390" i="3"/>
  <c r="E390" i="3"/>
  <c r="D390" i="3"/>
  <c r="C390" i="3"/>
  <c r="M389" i="3"/>
  <c r="L389" i="3"/>
  <c r="K389" i="3"/>
  <c r="J389" i="3"/>
  <c r="I389" i="3"/>
  <c r="H389" i="3"/>
  <c r="G389" i="3"/>
  <c r="F389" i="3"/>
  <c r="E389" i="3"/>
  <c r="D389" i="3"/>
  <c r="C389" i="3"/>
  <c r="M388" i="3"/>
  <c r="L388" i="3"/>
  <c r="K388" i="3"/>
  <c r="J388" i="3"/>
  <c r="I388" i="3"/>
  <c r="H388" i="3"/>
  <c r="G388" i="3"/>
  <c r="F388" i="3"/>
  <c r="E388" i="3"/>
  <c r="D388" i="3"/>
  <c r="C388" i="3"/>
  <c r="N387" i="3"/>
  <c r="L387" i="3"/>
  <c r="K387" i="3"/>
  <c r="J387" i="3"/>
  <c r="I387" i="3"/>
  <c r="H387" i="3"/>
  <c r="G387" i="3"/>
  <c r="F387" i="3"/>
  <c r="E387" i="3"/>
  <c r="D387" i="3"/>
  <c r="C387" i="3"/>
  <c r="N386" i="3"/>
  <c r="L386" i="3"/>
  <c r="K386" i="3"/>
  <c r="J386" i="3"/>
  <c r="I386" i="3"/>
  <c r="H386" i="3"/>
  <c r="G386" i="3"/>
  <c r="F386" i="3"/>
  <c r="E386" i="3"/>
  <c r="D386" i="3"/>
  <c r="C386" i="3"/>
  <c r="M385" i="3"/>
  <c r="L385" i="3"/>
  <c r="K385" i="3"/>
  <c r="J385" i="3"/>
  <c r="I385" i="3"/>
  <c r="H385" i="3"/>
  <c r="G385" i="3"/>
  <c r="F385" i="3"/>
  <c r="E385" i="3"/>
  <c r="D385" i="3"/>
  <c r="C385" i="3"/>
  <c r="M384" i="3"/>
  <c r="K384" i="3"/>
  <c r="J384" i="3"/>
  <c r="I384" i="3"/>
  <c r="H384" i="3"/>
  <c r="F384" i="3"/>
  <c r="E384" i="3"/>
  <c r="D384" i="3"/>
  <c r="C384" i="3"/>
  <c r="M383" i="3"/>
  <c r="L383" i="3"/>
  <c r="K383" i="3"/>
  <c r="J383" i="3"/>
  <c r="I383" i="3"/>
  <c r="H383" i="3"/>
  <c r="G383" i="3"/>
  <c r="F383" i="3"/>
  <c r="E383" i="3"/>
  <c r="D383" i="3"/>
  <c r="C383" i="3"/>
  <c r="M382" i="3"/>
  <c r="L382" i="3"/>
  <c r="K382" i="3"/>
  <c r="J382" i="3"/>
  <c r="I382" i="3"/>
  <c r="H382" i="3"/>
  <c r="G382" i="3"/>
  <c r="F382" i="3"/>
  <c r="E382" i="3"/>
  <c r="D382" i="3"/>
  <c r="C382" i="3"/>
  <c r="K381" i="3"/>
  <c r="J381" i="3"/>
  <c r="I381" i="3"/>
  <c r="H381" i="3"/>
  <c r="F381" i="3"/>
  <c r="E381" i="3"/>
  <c r="D381" i="3"/>
  <c r="C381" i="3"/>
  <c r="N380" i="3"/>
  <c r="L380" i="3"/>
  <c r="K380" i="3"/>
  <c r="J380" i="3"/>
  <c r="I380" i="3"/>
  <c r="H380" i="3"/>
  <c r="G380" i="3"/>
  <c r="F380" i="3"/>
  <c r="E380" i="3"/>
  <c r="D380" i="3"/>
  <c r="C380" i="3"/>
  <c r="N379" i="3"/>
  <c r="L379" i="3"/>
  <c r="K379" i="3"/>
  <c r="J379" i="3"/>
  <c r="I379" i="3"/>
  <c r="H379" i="3"/>
  <c r="G379" i="3"/>
  <c r="F379" i="3"/>
  <c r="E379" i="3"/>
  <c r="D379" i="3"/>
  <c r="C379" i="3"/>
  <c r="N378" i="3"/>
  <c r="M378" i="3"/>
  <c r="L378" i="3"/>
  <c r="K378" i="3"/>
  <c r="J378" i="3"/>
  <c r="I378" i="3"/>
  <c r="H378" i="3"/>
  <c r="G378" i="3"/>
  <c r="F378" i="3"/>
  <c r="E378" i="3"/>
  <c r="D378" i="3"/>
  <c r="C378" i="3"/>
  <c r="N377" i="3"/>
  <c r="L377" i="3"/>
  <c r="K377" i="3"/>
  <c r="J377" i="3"/>
  <c r="I377" i="3"/>
  <c r="H377" i="3"/>
  <c r="G377" i="3"/>
  <c r="F377" i="3"/>
  <c r="E377" i="3"/>
  <c r="D377" i="3"/>
  <c r="C377" i="3"/>
  <c r="N376" i="3"/>
  <c r="M376" i="3"/>
  <c r="L376" i="3"/>
  <c r="K376" i="3"/>
  <c r="J376" i="3"/>
  <c r="I376" i="3"/>
  <c r="H376" i="3"/>
  <c r="G376" i="3"/>
  <c r="F376" i="3"/>
  <c r="E376" i="3"/>
  <c r="D376" i="3"/>
  <c r="C376" i="3"/>
  <c r="M375" i="3"/>
  <c r="L375" i="3"/>
  <c r="K375" i="3"/>
  <c r="J375" i="3"/>
  <c r="I375" i="3"/>
  <c r="H375" i="3"/>
  <c r="G375" i="3"/>
  <c r="F375" i="3"/>
  <c r="E375" i="3"/>
  <c r="D375" i="3"/>
  <c r="C375" i="3"/>
  <c r="N374" i="3"/>
  <c r="L374" i="3"/>
  <c r="K374" i="3"/>
  <c r="J374" i="3"/>
  <c r="I374" i="3"/>
  <c r="H374" i="3"/>
  <c r="G374" i="3"/>
  <c r="F374" i="3"/>
  <c r="E374" i="3"/>
  <c r="D374" i="3"/>
  <c r="C374" i="3"/>
  <c r="N373" i="3"/>
  <c r="L373" i="3"/>
  <c r="K373" i="3"/>
  <c r="J373" i="3"/>
  <c r="I373" i="3"/>
  <c r="H373" i="3"/>
  <c r="G373" i="3"/>
  <c r="F373" i="3"/>
  <c r="E373" i="3"/>
  <c r="D373" i="3"/>
  <c r="C373" i="3"/>
  <c r="N372" i="3"/>
  <c r="L372" i="3"/>
  <c r="K372" i="3"/>
  <c r="J372" i="3"/>
  <c r="I372" i="3"/>
  <c r="H372" i="3"/>
  <c r="G372" i="3"/>
  <c r="F372" i="3"/>
  <c r="E372" i="3"/>
  <c r="D372" i="3"/>
  <c r="C372" i="3"/>
  <c r="N371" i="3"/>
  <c r="L371" i="3"/>
  <c r="K371" i="3"/>
  <c r="J371" i="3"/>
  <c r="I371" i="3"/>
  <c r="H371" i="3"/>
  <c r="G371" i="3"/>
  <c r="F371" i="3"/>
  <c r="E371" i="3"/>
  <c r="D371" i="3"/>
  <c r="C371" i="3"/>
  <c r="N370" i="3"/>
  <c r="L370" i="3"/>
  <c r="K370" i="3"/>
  <c r="J370" i="3"/>
  <c r="I370" i="3"/>
  <c r="H370" i="3"/>
  <c r="G370" i="3"/>
  <c r="F370" i="3"/>
  <c r="E370" i="3"/>
  <c r="D370" i="3"/>
  <c r="C370" i="3"/>
  <c r="M369" i="3"/>
  <c r="L369" i="3"/>
  <c r="K369" i="3"/>
  <c r="J369" i="3"/>
  <c r="I369" i="3"/>
  <c r="H369" i="3"/>
  <c r="G369" i="3"/>
  <c r="F369" i="3"/>
  <c r="E369" i="3"/>
  <c r="D369" i="3"/>
  <c r="C369" i="3"/>
  <c r="M368" i="3"/>
  <c r="L368" i="3"/>
  <c r="K368" i="3"/>
  <c r="J368" i="3"/>
  <c r="I368" i="3"/>
  <c r="H368" i="3"/>
  <c r="G368" i="3"/>
  <c r="F368" i="3"/>
  <c r="E368" i="3"/>
  <c r="D368" i="3"/>
  <c r="C368" i="3"/>
  <c r="M367" i="3"/>
  <c r="L367" i="3"/>
  <c r="K367" i="3"/>
  <c r="J367" i="3"/>
  <c r="I367" i="3"/>
  <c r="H367" i="3"/>
  <c r="G367" i="3"/>
  <c r="F367" i="3"/>
  <c r="E367" i="3"/>
  <c r="D367" i="3"/>
  <c r="C367" i="3"/>
  <c r="N366" i="3"/>
  <c r="M366" i="3"/>
  <c r="L366" i="3"/>
  <c r="K366" i="3"/>
  <c r="J366" i="3"/>
  <c r="I366" i="3"/>
  <c r="H366" i="3"/>
  <c r="G366" i="3"/>
  <c r="F366" i="3"/>
  <c r="E366" i="3"/>
  <c r="D366" i="3"/>
  <c r="C366" i="3"/>
  <c r="M365" i="3"/>
  <c r="L365" i="3"/>
  <c r="K365" i="3"/>
  <c r="J365" i="3"/>
  <c r="I365" i="3"/>
  <c r="H365" i="3"/>
  <c r="G365" i="3"/>
  <c r="F365" i="3"/>
  <c r="E365" i="3"/>
  <c r="D365" i="3"/>
  <c r="C365" i="3"/>
  <c r="M364" i="3"/>
  <c r="L364" i="3"/>
  <c r="K364" i="3"/>
  <c r="J364" i="3"/>
  <c r="I364" i="3"/>
  <c r="H364" i="3"/>
  <c r="G364" i="3"/>
  <c r="F364" i="3"/>
  <c r="E364" i="3"/>
  <c r="D364" i="3"/>
  <c r="C364" i="3"/>
  <c r="N363" i="3"/>
  <c r="K363" i="3"/>
  <c r="J363" i="3"/>
  <c r="I363" i="3"/>
  <c r="H363" i="3"/>
  <c r="F363" i="3"/>
  <c r="E363" i="3"/>
  <c r="D363" i="3"/>
  <c r="C363" i="3"/>
  <c r="N362" i="3"/>
  <c r="M362" i="3"/>
  <c r="L362" i="3"/>
  <c r="K362" i="3"/>
  <c r="J362" i="3"/>
  <c r="I362" i="3"/>
  <c r="H362" i="3"/>
  <c r="G362" i="3"/>
  <c r="F362" i="3"/>
  <c r="E362" i="3"/>
  <c r="D362" i="3"/>
  <c r="C362" i="3"/>
  <c r="M361" i="3"/>
  <c r="K361" i="3"/>
  <c r="J361" i="3"/>
  <c r="I361" i="3"/>
  <c r="H361" i="3"/>
  <c r="F361" i="3"/>
  <c r="E361" i="3"/>
  <c r="D361" i="3"/>
  <c r="C361" i="3"/>
  <c r="M360" i="3"/>
  <c r="L360" i="3"/>
  <c r="K360" i="3"/>
  <c r="J360" i="3"/>
  <c r="I360" i="3"/>
  <c r="H360" i="3"/>
  <c r="G360" i="3"/>
  <c r="F360" i="3"/>
  <c r="E360" i="3"/>
  <c r="D360" i="3"/>
  <c r="C360" i="3"/>
  <c r="M359" i="3"/>
  <c r="L359" i="3"/>
  <c r="K359" i="3"/>
  <c r="J359" i="3"/>
  <c r="I359" i="3"/>
  <c r="H359" i="3"/>
  <c r="G359" i="3"/>
  <c r="F359" i="3"/>
  <c r="E359" i="3"/>
  <c r="D359" i="3"/>
  <c r="C359" i="3"/>
  <c r="M358" i="3"/>
  <c r="L358" i="3"/>
  <c r="K358" i="3"/>
  <c r="J358" i="3"/>
  <c r="I358" i="3"/>
  <c r="H358" i="3"/>
  <c r="G358" i="3"/>
  <c r="F358" i="3"/>
  <c r="E358" i="3"/>
  <c r="D358" i="3"/>
  <c r="C358" i="3"/>
  <c r="N357" i="3"/>
  <c r="L357" i="3"/>
  <c r="K357" i="3"/>
  <c r="J357" i="3"/>
  <c r="I357" i="3"/>
  <c r="H357" i="3"/>
  <c r="G357" i="3"/>
  <c r="F357" i="3"/>
  <c r="E357" i="3"/>
  <c r="D357" i="3"/>
  <c r="C357" i="3"/>
  <c r="N356" i="3"/>
  <c r="L356" i="3"/>
  <c r="K356" i="3"/>
  <c r="J356" i="3"/>
  <c r="I356" i="3"/>
  <c r="H356" i="3"/>
  <c r="G356" i="3"/>
  <c r="F356" i="3"/>
  <c r="E356" i="3"/>
  <c r="D356" i="3"/>
  <c r="C356" i="3"/>
  <c r="N355" i="3"/>
  <c r="L355" i="3"/>
  <c r="K355" i="3"/>
  <c r="J355" i="3"/>
  <c r="I355" i="3"/>
  <c r="H355" i="3"/>
  <c r="G355" i="3"/>
  <c r="F355" i="3"/>
  <c r="E355" i="3"/>
  <c r="D355" i="3"/>
  <c r="C355" i="3"/>
  <c r="M354" i="3"/>
  <c r="L354" i="3"/>
  <c r="K354" i="3"/>
  <c r="J354" i="3"/>
  <c r="I354" i="3"/>
  <c r="H354" i="3"/>
  <c r="G354" i="3"/>
  <c r="F354" i="3"/>
  <c r="E354" i="3"/>
  <c r="D354" i="3"/>
  <c r="C354" i="3"/>
  <c r="N353" i="3"/>
  <c r="L353" i="3"/>
  <c r="K353" i="3"/>
  <c r="J353" i="3"/>
  <c r="I353" i="3"/>
  <c r="H353" i="3"/>
  <c r="G353" i="3"/>
  <c r="F353" i="3"/>
  <c r="E353" i="3"/>
  <c r="D353" i="3"/>
  <c r="C353" i="3"/>
  <c r="M352" i="3"/>
  <c r="L352" i="3"/>
  <c r="K352" i="3"/>
  <c r="J352" i="3"/>
  <c r="I352" i="3"/>
  <c r="H352" i="3"/>
  <c r="G352" i="3"/>
  <c r="F352" i="3"/>
  <c r="E352" i="3"/>
  <c r="D352" i="3"/>
  <c r="C352" i="3"/>
  <c r="N351" i="3"/>
  <c r="K351" i="3"/>
  <c r="J351" i="3"/>
  <c r="I351" i="3"/>
  <c r="H351" i="3"/>
  <c r="F351" i="3"/>
  <c r="E351" i="3"/>
  <c r="D351" i="3"/>
  <c r="C351" i="3"/>
  <c r="M350" i="3"/>
  <c r="L350" i="3"/>
  <c r="K350" i="3"/>
  <c r="J350" i="3"/>
  <c r="I350" i="3"/>
  <c r="H350" i="3"/>
  <c r="G350" i="3"/>
  <c r="F350" i="3"/>
  <c r="E350" i="3"/>
  <c r="D350" i="3"/>
  <c r="C350" i="3"/>
  <c r="N349" i="3"/>
  <c r="L349" i="3"/>
  <c r="K349" i="3"/>
  <c r="J349" i="3"/>
  <c r="I349" i="3"/>
  <c r="H349" i="3"/>
  <c r="G349" i="3"/>
  <c r="F349" i="3"/>
  <c r="E349" i="3"/>
  <c r="D349" i="3"/>
  <c r="C349" i="3"/>
  <c r="M348" i="3"/>
  <c r="L348" i="3"/>
  <c r="K348" i="3"/>
  <c r="J348" i="3"/>
  <c r="I348" i="3"/>
  <c r="H348" i="3"/>
  <c r="G348" i="3"/>
  <c r="F348" i="3"/>
  <c r="E348" i="3"/>
  <c r="D348" i="3"/>
  <c r="C348" i="3"/>
  <c r="M347" i="3"/>
  <c r="L347" i="3"/>
  <c r="K347" i="3"/>
  <c r="J347" i="3"/>
  <c r="I347" i="3"/>
  <c r="H347" i="3"/>
  <c r="G347" i="3"/>
  <c r="F347" i="3"/>
  <c r="E347" i="3"/>
  <c r="D347" i="3"/>
  <c r="C347" i="3"/>
  <c r="N346" i="3"/>
  <c r="M346" i="3"/>
  <c r="K346" i="3"/>
  <c r="J346" i="3"/>
  <c r="I346" i="3"/>
  <c r="H346" i="3"/>
  <c r="F346" i="3"/>
  <c r="E346" i="3"/>
  <c r="D346" i="3"/>
  <c r="C346" i="3"/>
  <c r="N345" i="3"/>
  <c r="M345" i="3"/>
  <c r="L345" i="3"/>
  <c r="K345" i="3"/>
  <c r="J345" i="3"/>
  <c r="I345" i="3"/>
  <c r="H345" i="3"/>
  <c r="G345" i="3"/>
  <c r="F345" i="3"/>
  <c r="E345" i="3"/>
  <c r="D345" i="3"/>
  <c r="C345" i="3"/>
  <c r="M344" i="3"/>
  <c r="L344" i="3"/>
  <c r="K344" i="3"/>
  <c r="J344" i="3"/>
  <c r="I344" i="3"/>
  <c r="H344" i="3"/>
  <c r="G344" i="3"/>
  <c r="F344" i="3"/>
  <c r="E344" i="3"/>
  <c r="D344" i="3"/>
  <c r="C344" i="3"/>
  <c r="N343" i="3"/>
  <c r="M343" i="3"/>
  <c r="L343" i="3"/>
  <c r="K343" i="3"/>
  <c r="J343" i="3"/>
  <c r="I343" i="3"/>
  <c r="H343" i="3"/>
  <c r="G343" i="3"/>
  <c r="F343" i="3"/>
  <c r="E343" i="3"/>
  <c r="D343" i="3"/>
  <c r="C343" i="3"/>
  <c r="M342" i="3"/>
  <c r="L342" i="3"/>
  <c r="K342" i="3"/>
  <c r="J342" i="3"/>
  <c r="I342" i="3"/>
  <c r="H342" i="3"/>
  <c r="G342" i="3"/>
  <c r="F342" i="3"/>
  <c r="E342" i="3"/>
  <c r="D342" i="3"/>
  <c r="C342" i="3"/>
  <c r="N341" i="3"/>
  <c r="M341" i="3"/>
  <c r="L341" i="3"/>
  <c r="K341" i="3"/>
  <c r="J341" i="3"/>
  <c r="I341" i="3"/>
  <c r="H341" i="3"/>
  <c r="G341" i="3"/>
  <c r="F341" i="3"/>
  <c r="E341" i="3"/>
  <c r="D341" i="3"/>
  <c r="C341" i="3"/>
  <c r="M340" i="3"/>
  <c r="L340" i="3"/>
  <c r="K340" i="3"/>
  <c r="J340" i="3"/>
  <c r="I340" i="3"/>
  <c r="H340" i="3"/>
  <c r="G340" i="3"/>
  <c r="F340" i="3"/>
  <c r="E340" i="3"/>
  <c r="D340" i="3"/>
  <c r="C340" i="3"/>
  <c r="M339" i="3"/>
  <c r="K339" i="3"/>
  <c r="J339" i="3"/>
  <c r="I339" i="3"/>
  <c r="H339" i="3"/>
  <c r="F339" i="3"/>
  <c r="E339" i="3"/>
  <c r="D339" i="3"/>
  <c r="C339" i="3"/>
  <c r="N338" i="3"/>
  <c r="M338" i="3"/>
  <c r="L338" i="3"/>
  <c r="K338" i="3"/>
  <c r="J338" i="3"/>
  <c r="I338" i="3"/>
  <c r="H338" i="3"/>
  <c r="G338" i="3"/>
  <c r="F338" i="3"/>
  <c r="E338" i="3"/>
  <c r="D338" i="3"/>
  <c r="C338" i="3"/>
  <c r="N337" i="3"/>
  <c r="M337" i="3"/>
  <c r="L337" i="3"/>
  <c r="K337" i="3"/>
  <c r="J337" i="3"/>
  <c r="I337" i="3"/>
  <c r="H337" i="3"/>
  <c r="G337" i="3"/>
  <c r="F337" i="3"/>
  <c r="E337" i="3"/>
  <c r="D337" i="3"/>
  <c r="C337" i="3"/>
  <c r="N336" i="3"/>
  <c r="L336" i="3"/>
  <c r="K336" i="3"/>
  <c r="J336" i="3"/>
  <c r="I336" i="3"/>
  <c r="H336" i="3"/>
  <c r="G336" i="3"/>
  <c r="F336" i="3"/>
  <c r="E336" i="3"/>
  <c r="D336" i="3"/>
  <c r="C336" i="3"/>
  <c r="N335" i="3"/>
  <c r="L335" i="3"/>
  <c r="K335" i="3"/>
  <c r="J335" i="3"/>
  <c r="I335" i="3"/>
  <c r="H335" i="3"/>
  <c r="G335" i="3"/>
  <c r="F335" i="3"/>
  <c r="E335" i="3"/>
  <c r="D335" i="3"/>
  <c r="C335" i="3"/>
  <c r="M334" i="3"/>
  <c r="L334" i="3"/>
  <c r="K334" i="3"/>
  <c r="J334" i="3"/>
  <c r="I334" i="3"/>
  <c r="H334" i="3"/>
  <c r="G334" i="3"/>
  <c r="F334" i="3"/>
  <c r="E334" i="3"/>
  <c r="D334" i="3"/>
  <c r="C334" i="3"/>
  <c r="M333" i="3"/>
  <c r="L333" i="3"/>
  <c r="K333" i="3"/>
  <c r="J333" i="3"/>
  <c r="I333" i="3"/>
  <c r="H333" i="3"/>
  <c r="G333" i="3"/>
  <c r="F333" i="3"/>
  <c r="E333" i="3"/>
  <c r="D333" i="3"/>
  <c r="C333" i="3"/>
  <c r="N332" i="3"/>
  <c r="M332" i="3"/>
  <c r="L332" i="3"/>
  <c r="K332" i="3"/>
  <c r="J332" i="3"/>
  <c r="I332" i="3"/>
  <c r="H332" i="3"/>
  <c r="G332" i="3"/>
  <c r="F332" i="3"/>
  <c r="E332" i="3"/>
  <c r="D332" i="3"/>
  <c r="C332" i="3"/>
  <c r="N331" i="3"/>
  <c r="M331" i="3"/>
  <c r="K331" i="3"/>
  <c r="J331" i="3"/>
  <c r="I331" i="3"/>
  <c r="H331" i="3"/>
  <c r="F331" i="3"/>
  <c r="E331" i="3"/>
  <c r="D331" i="3"/>
  <c r="C331" i="3"/>
  <c r="N330" i="3"/>
  <c r="L330" i="3"/>
  <c r="K330" i="3"/>
  <c r="J330" i="3"/>
  <c r="I330" i="3"/>
  <c r="H330" i="3"/>
  <c r="G330" i="3"/>
  <c r="F330" i="3"/>
  <c r="E330" i="3"/>
  <c r="D330" i="3"/>
  <c r="C330" i="3"/>
  <c r="N329" i="3"/>
  <c r="M329" i="3"/>
  <c r="K329" i="3"/>
  <c r="J329" i="3"/>
  <c r="I329" i="3"/>
  <c r="H329" i="3"/>
  <c r="F329" i="3"/>
  <c r="E329" i="3"/>
  <c r="D329" i="3"/>
  <c r="C329" i="3"/>
  <c r="M328" i="3"/>
  <c r="L328" i="3"/>
  <c r="K328" i="3"/>
  <c r="J328" i="3"/>
  <c r="I328" i="3"/>
  <c r="H328" i="3"/>
  <c r="G328" i="3"/>
  <c r="F328" i="3"/>
  <c r="E328" i="3"/>
  <c r="D328" i="3"/>
  <c r="C328" i="3"/>
  <c r="M327" i="3"/>
  <c r="L327" i="3"/>
  <c r="K327" i="3"/>
  <c r="J327" i="3"/>
  <c r="I327" i="3"/>
  <c r="H327" i="3"/>
  <c r="G327" i="3"/>
  <c r="F327" i="3"/>
  <c r="E327" i="3"/>
  <c r="D327" i="3"/>
  <c r="C327" i="3"/>
  <c r="L326" i="3"/>
  <c r="K326" i="3"/>
  <c r="J326" i="3"/>
  <c r="I326" i="3"/>
  <c r="H326" i="3"/>
  <c r="G326" i="3"/>
  <c r="F326" i="3"/>
  <c r="E326" i="3"/>
  <c r="D326" i="3"/>
  <c r="C326" i="3"/>
  <c r="N325" i="3"/>
  <c r="L325" i="3"/>
  <c r="K325" i="3"/>
  <c r="J325" i="3"/>
  <c r="I325" i="3"/>
  <c r="H325" i="3"/>
  <c r="G325" i="3"/>
  <c r="F325" i="3"/>
  <c r="E325" i="3"/>
  <c r="D325" i="3"/>
  <c r="C325" i="3"/>
  <c r="N324" i="3"/>
  <c r="L324" i="3"/>
  <c r="K324" i="3"/>
  <c r="J324" i="3"/>
  <c r="I324" i="3"/>
  <c r="H324" i="3"/>
  <c r="G324" i="3"/>
  <c r="F324" i="3"/>
  <c r="E324" i="3"/>
  <c r="D324" i="3"/>
  <c r="C324" i="3"/>
  <c r="M323" i="3"/>
  <c r="K323" i="3"/>
  <c r="J323" i="3"/>
  <c r="I323" i="3"/>
  <c r="H323" i="3"/>
  <c r="F323" i="3"/>
  <c r="E323" i="3"/>
  <c r="D323" i="3"/>
  <c r="C323" i="3"/>
  <c r="M322" i="3"/>
  <c r="K322" i="3"/>
  <c r="J322" i="3"/>
  <c r="I322" i="3"/>
  <c r="H322" i="3"/>
  <c r="F322" i="3"/>
  <c r="E322" i="3"/>
  <c r="D322" i="3"/>
  <c r="C322" i="3"/>
  <c r="M321" i="3"/>
  <c r="L321" i="3"/>
  <c r="K321" i="3"/>
  <c r="J321" i="3"/>
  <c r="I321" i="3"/>
  <c r="H321" i="3"/>
  <c r="G321" i="3"/>
  <c r="F321" i="3"/>
  <c r="E321" i="3"/>
  <c r="D321" i="3"/>
  <c r="C321" i="3"/>
  <c r="M320" i="3"/>
  <c r="L320" i="3"/>
  <c r="K320" i="3"/>
  <c r="J320" i="3"/>
  <c r="I320" i="3"/>
  <c r="H320" i="3"/>
  <c r="G320" i="3"/>
  <c r="F320" i="3"/>
  <c r="E320" i="3"/>
  <c r="D320" i="3"/>
  <c r="C320" i="3"/>
  <c r="N319" i="3"/>
  <c r="L319" i="3"/>
  <c r="K319" i="3"/>
  <c r="J319" i="3"/>
  <c r="I319" i="3"/>
  <c r="H319" i="3"/>
  <c r="G319" i="3"/>
  <c r="F319" i="3"/>
  <c r="E319" i="3"/>
  <c r="D319" i="3"/>
  <c r="C319" i="3"/>
  <c r="N318" i="3"/>
  <c r="L318" i="3"/>
  <c r="K318" i="3"/>
  <c r="J318" i="3"/>
  <c r="I318" i="3"/>
  <c r="H318" i="3"/>
  <c r="G318" i="3"/>
  <c r="F318" i="3"/>
  <c r="E318" i="3"/>
  <c r="D318" i="3"/>
  <c r="C318" i="3"/>
  <c r="N317" i="3"/>
  <c r="K317" i="3"/>
  <c r="J317" i="3"/>
  <c r="I317" i="3"/>
  <c r="H317" i="3"/>
  <c r="F317" i="3"/>
  <c r="E317" i="3"/>
  <c r="D317" i="3"/>
  <c r="C317" i="3"/>
  <c r="N316" i="3"/>
  <c r="L316" i="3"/>
  <c r="K316" i="3"/>
  <c r="J316" i="3"/>
  <c r="I316" i="3"/>
  <c r="H316" i="3"/>
  <c r="G316" i="3"/>
  <c r="F316" i="3"/>
  <c r="E316" i="3"/>
  <c r="D316" i="3"/>
  <c r="C316" i="3"/>
  <c r="M315" i="3"/>
  <c r="L315" i="3"/>
  <c r="K315" i="3"/>
  <c r="J315" i="3"/>
  <c r="I315" i="3"/>
  <c r="H315" i="3"/>
  <c r="G315" i="3"/>
  <c r="F315" i="3"/>
  <c r="E315" i="3"/>
  <c r="D315" i="3"/>
  <c r="C315" i="3"/>
  <c r="M314" i="3"/>
  <c r="L314" i="3"/>
  <c r="K314" i="3"/>
  <c r="J314" i="3"/>
  <c r="I314" i="3"/>
  <c r="H314" i="3"/>
  <c r="G314" i="3"/>
  <c r="F314" i="3"/>
  <c r="E314" i="3"/>
  <c r="D314" i="3"/>
  <c r="C314" i="3"/>
  <c r="M313" i="3"/>
  <c r="K313" i="3"/>
  <c r="J313" i="3"/>
  <c r="I313" i="3"/>
  <c r="H313" i="3"/>
  <c r="F313" i="3"/>
  <c r="E313" i="3"/>
  <c r="D313" i="3"/>
  <c r="C313" i="3"/>
  <c r="N312" i="3"/>
  <c r="M312" i="3"/>
  <c r="L312" i="3"/>
  <c r="K312" i="3"/>
  <c r="J312" i="3"/>
  <c r="I312" i="3"/>
  <c r="H312" i="3"/>
  <c r="G312" i="3"/>
  <c r="F312" i="3"/>
  <c r="E312" i="3"/>
  <c r="D312" i="3"/>
  <c r="C312" i="3"/>
  <c r="M311" i="3"/>
  <c r="L311" i="3"/>
  <c r="K311" i="3"/>
  <c r="J311" i="3"/>
  <c r="I311" i="3"/>
  <c r="H311" i="3"/>
  <c r="G311" i="3"/>
  <c r="F311" i="3"/>
  <c r="E311" i="3"/>
  <c r="D311" i="3"/>
  <c r="C311" i="3"/>
  <c r="M310" i="3"/>
  <c r="K310" i="3"/>
  <c r="J310" i="3"/>
  <c r="I310" i="3"/>
  <c r="H310" i="3"/>
  <c r="F310" i="3"/>
  <c r="E310" i="3"/>
  <c r="D310" i="3"/>
  <c r="C310" i="3"/>
  <c r="N309" i="3"/>
  <c r="M309" i="3"/>
  <c r="L309" i="3"/>
  <c r="K309" i="3"/>
  <c r="J309" i="3"/>
  <c r="I309" i="3"/>
  <c r="H309" i="3"/>
  <c r="G309" i="3"/>
  <c r="F309" i="3"/>
  <c r="E309" i="3"/>
  <c r="D309" i="3"/>
  <c r="C309" i="3"/>
  <c r="N308" i="3"/>
  <c r="L308" i="3"/>
  <c r="K308" i="3"/>
  <c r="J308" i="3"/>
  <c r="I308" i="3"/>
  <c r="H308" i="3"/>
  <c r="G308" i="3"/>
  <c r="F308" i="3"/>
  <c r="E308" i="3"/>
  <c r="D308" i="3"/>
  <c r="C308" i="3"/>
  <c r="N307" i="3"/>
  <c r="M307" i="3"/>
  <c r="L307" i="3"/>
  <c r="K307" i="3"/>
  <c r="J307" i="3"/>
  <c r="I307" i="3"/>
  <c r="H307" i="3"/>
  <c r="G307" i="3"/>
  <c r="F307" i="3"/>
  <c r="E307" i="3"/>
  <c r="D307" i="3"/>
  <c r="C307" i="3"/>
  <c r="N306" i="3"/>
  <c r="K306" i="3"/>
  <c r="J306" i="3"/>
  <c r="I306" i="3"/>
  <c r="H306" i="3"/>
  <c r="F306" i="3"/>
  <c r="E306" i="3"/>
  <c r="D306" i="3"/>
  <c r="C306" i="3"/>
  <c r="M305" i="3"/>
  <c r="L305" i="3"/>
  <c r="K305" i="3"/>
  <c r="J305" i="3"/>
  <c r="I305" i="3"/>
  <c r="H305" i="3"/>
  <c r="G305" i="3"/>
  <c r="F305" i="3"/>
  <c r="E305" i="3"/>
  <c r="D305" i="3"/>
  <c r="C305" i="3"/>
  <c r="M304" i="3"/>
  <c r="L304" i="3"/>
  <c r="K304" i="3"/>
  <c r="J304" i="3"/>
  <c r="I304" i="3"/>
  <c r="H304" i="3"/>
  <c r="G304" i="3"/>
  <c r="F304" i="3"/>
  <c r="E304" i="3"/>
  <c r="D304" i="3"/>
  <c r="C304" i="3"/>
  <c r="N303" i="3"/>
  <c r="M303" i="3"/>
  <c r="K303" i="3"/>
  <c r="J303" i="3"/>
  <c r="I303" i="3"/>
  <c r="H303" i="3"/>
  <c r="F303" i="3"/>
  <c r="E303" i="3"/>
  <c r="D303" i="3"/>
  <c r="C303" i="3"/>
  <c r="M302" i="3"/>
  <c r="L302" i="3"/>
  <c r="K302" i="3"/>
  <c r="J302" i="3"/>
  <c r="I302" i="3"/>
  <c r="H302" i="3"/>
  <c r="G302" i="3"/>
  <c r="F302" i="3"/>
  <c r="E302" i="3"/>
  <c r="D302" i="3"/>
  <c r="C302" i="3"/>
  <c r="M301" i="3"/>
  <c r="L301" i="3"/>
  <c r="K301" i="3"/>
  <c r="J301" i="3"/>
  <c r="I301" i="3"/>
  <c r="H301" i="3"/>
  <c r="G301" i="3"/>
  <c r="F301" i="3"/>
  <c r="E301" i="3"/>
  <c r="D301" i="3"/>
  <c r="C301" i="3"/>
  <c r="M300" i="3"/>
  <c r="L300" i="3"/>
  <c r="K300" i="3"/>
  <c r="J300" i="3"/>
  <c r="I300" i="3"/>
  <c r="H300" i="3"/>
  <c r="G300" i="3"/>
  <c r="F300" i="3"/>
  <c r="E300" i="3"/>
  <c r="D300" i="3"/>
  <c r="C300" i="3"/>
  <c r="M299" i="3"/>
  <c r="L299" i="3"/>
  <c r="K299" i="3"/>
  <c r="J299" i="3"/>
  <c r="I299" i="3"/>
  <c r="H299" i="3"/>
  <c r="G299" i="3"/>
  <c r="F299" i="3"/>
  <c r="E299" i="3"/>
  <c r="D299" i="3"/>
  <c r="C299" i="3"/>
  <c r="N298" i="3"/>
  <c r="L298" i="3"/>
  <c r="K298" i="3"/>
  <c r="J298" i="3"/>
  <c r="I298" i="3"/>
  <c r="H298" i="3"/>
  <c r="G298" i="3"/>
  <c r="F298" i="3"/>
  <c r="E298" i="3"/>
  <c r="D298" i="3"/>
  <c r="C298" i="3"/>
  <c r="N297" i="3"/>
  <c r="M297" i="3"/>
  <c r="L297" i="3"/>
  <c r="K297" i="3"/>
  <c r="J297" i="3"/>
  <c r="I297" i="3"/>
  <c r="H297" i="3"/>
  <c r="G297" i="3"/>
  <c r="F297" i="3"/>
  <c r="E297" i="3"/>
  <c r="D297" i="3"/>
  <c r="C297" i="3"/>
  <c r="N296" i="3"/>
  <c r="M296" i="3"/>
  <c r="L296" i="3"/>
  <c r="K296" i="3"/>
  <c r="J296" i="3"/>
  <c r="I296" i="3"/>
  <c r="H296" i="3"/>
  <c r="G296" i="3"/>
  <c r="F296" i="3"/>
  <c r="E296" i="3"/>
  <c r="D296" i="3"/>
  <c r="C296" i="3"/>
  <c r="M295" i="3"/>
  <c r="K295" i="3"/>
  <c r="J295" i="3"/>
  <c r="I295" i="3"/>
  <c r="H295" i="3"/>
  <c r="F295" i="3"/>
  <c r="E295" i="3"/>
  <c r="D295" i="3"/>
  <c r="C295" i="3"/>
  <c r="N294" i="3"/>
  <c r="M294" i="3"/>
  <c r="L294" i="3"/>
  <c r="K294" i="3"/>
  <c r="J294" i="3"/>
  <c r="I294" i="3"/>
  <c r="H294" i="3"/>
  <c r="G294" i="3"/>
  <c r="F294" i="3"/>
  <c r="E294" i="3"/>
  <c r="D294" i="3"/>
  <c r="C294" i="3"/>
  <c r="N293" i="3"/>
  <c r="L293" i="3"/>
  <c r="K293" i="3"/>
  <c r="J293" i="3"/>
  <c r="I293" i="3"/>
  <c r="H293" i="3"/>
  <c r="G293" i="3"/>
  <c r="F293" i="3"/>
  <c r="E293" i="3"/>
  <c r="D293" i="3"/>
  <c r="C293" i="3"/>
  <c r="N292" i="3"/>
  <c r="K292" i="3"/>
  <c r="J292" i="3"/>
  <c r="I292" i="3"/>
  <c r="H292" i="3"/>
  <c r="F292" i="3"/>
  <c r="E292" i="3"/>
  <c r="D292" i="3"/>
  <c r="C292" i="3"/>
  <c r="N291" i="3"/>
  <c r="L291" i="3"/>
  <c r="K291" i="3"/>
  <c r="J291" i="3"/>
  <c r="I291" i="3"/>
  <c r="H291" i="3"/>
  <c r="G291" i="3"/>
  <c r="F291" i="3"/>
  <c r="E291" i="3"/>
  <c r="D291" i="3"/>
  <c r="C291" i="3"/>
  <c r="N290" i="3"/>
  <c r="K290" i="3"/>
  <c r="J290" i="3"/>
  <c r="I290" i="3"/>
  <c r="H290" i="3"/>
  <c r="F290" i="3"/>
  <c r="E290" i="3"/>
  <c r="D290" i="3"/>
  <c r="C290" i="3"/>
  <c r="M289" i="3"/>
  <c r="L289" i="3"/>
  <c r="K289" i="3"/>
  <c r="J289" i="3"/>
  <c r="I289" i="3"/>
  <c r="H289" i="3"/>
  <c r="G289" i="3"/>
  <c r="F289" i="3"/>
  <c r="E289" i="3"/>
  <c r="D289" i="3"/>
  <c r="C289" i="3"/>
  <c r="M288" i="3"/>
  <c r="L288" i="3"/>
  <c r="K288" i="3"/>
  <c r="J288" i="3"/>
  <c r="I288" i="3"/>
  <c r="H288" i="3"/>
  <c r="G288" i="3"/>
  <c r="F288" i="3"/>
  <c r="E288" i="3"/>
  <c r="D288" i="3"/>
  <c r="C288" i="3"/>
  <c r="M287" i="3"/>
  <c r="K287" i="3"/>
  <c r="J287" i="3"/>
  <c r="I287" i="3"/>
  <c r="H287" i="3"/>
  <c r="F287" i="3"/>
  <c r="E287" i="3"/>
  <c r="D287" i="3"/>
  <c r="C287" i="3"/>
  <c r="N286" i="3"/>
  <c r="M286" i="3"/>
  <c r="K286" i="3"/>
  <c r="J286" i="3"/>
  <c r="I286" i="3"/>
  <c r="H286" i="3"/>
  <c r="F286" i="3"/>
  <c r="E286" i="3"/>
  <c r="D286" i="3"/>
  <c r="C286" i="3"/>
  <c r="M285" i="3"/>
  <c r="L285" i="3"/>
  <c r="K285" i="3"/>
  <c r="J285" i="3"/>
  <c r="I285" i="3"/>
  <c r="H285" i="3"/>
  <c r="G285" i="3"/>
  <c r="F285" i="3"/>
  <c r="E285" i="3"/>
  <c r="D285" i="3"/>
  <c r="C285" i="3"/>
  <c r="N284" i="3"/>
  <c r="L284" i="3"/>
  <c r="K284" i="3"/>
  <c r="J284" i="3"/>
  <c r="I284" i="3"/>
  <c r="H284" i="3"/>
  <c r="G284" i="3"/>
  <c r="F284" i="3"/>
  <c r="E284" i="3"/>
  <c r="D284" i="3"/>
  <c r="C284" i="3"/>
  <c r="N283" i="3"/>
  <c r="L283" i="3"/>
  <c r="K283" i="3"/>
  <c r="J283" i="3"/>
  <c r="I283" i="3"/>
  <c r="H283" i="3"/>
  <c r="G283" i="3"/>
  <c r="F283" i="3"/>
  <c r="E283" i="3"/>
  <c r="D283" i="3"/>
  <c r="C283" i="3"/>
  <c r="M282" i="3"/>
  <c r="L282" i="3"/>
  <c r="K282" i="3"/>
  <c r="J282" i="3"/>
  <c r="I282" i="3"/>
  <c r="H282" i="3"/>
  <c r="G282" i="3"/>
  <c r="F282" i="3"/>
  <c r="E282" i="3"/>
  <c r="D282" i="3"/>
  <c r="C282" i="3"/>
  <c r="M281" i="3"/>
  <c r="L281" i="3"/>
  <c r="K281" i="3"/>
  <c r="J281" i="3"/>
  <c r="I281" i="3"/>
  <c r="H281" i="3"/>
  <c r="G281" i="3"/>
  <c r="F281" i="3"/>
  <c r="E281" i="3"/>
  <c r="D281" i="3"/>
  <c r="C281" i="3"/>
  <c r="N280" i="3"/>
  <c r="M280" i="3"/>
  <c r="L280" i="3"/>
  <c r="K280" i="3"/>
  <c r="J280" i="3"/>
  <c r="I280" i="3"/>
  <c r="H280" i="3"/>
  <c r="G280" i="3"/>
  <c r="F280" i="3"/>
  <c r="E280" i="3"/>
  <c r="D280" i="3"/>
  <c r="C280" i="3"/>
  <c r="M279" i="3"/>
  <c r="L279" i="3"/>
  <c r="K279" i="3"/>
  <c r="J279" i="3"/>
  <c r="I279" i="3"/>
  <c r="H279" i="3"/>
  <c r="G279" i="3"/>
  <c r="F279" i="3"/>
  <c r="E279" i="3"/>
  <c r="D279" i="3"/>
  <c r="C279" i="3"/>
  <c r="N278" i="3"/>
  <c r="M278" i="3"/>
  <c r="L278" i="3"/>
  <c r="K278" i="3"/>
  <c r="J278" i="3"/>
  <c r="I278" i="3"/>
  <c r="H278" i="3"/>
  <c r="G278" i="3"/>
  <c r="F278" i="3"/>
  <c r="E278" i="3"/>
  <c r="D278" i="3"/>
  <c r="C278" i="3"/>
  <c r="M277" i="3"/>
  <c r="L277" i="3"/>
  <c r="K277" i="3"/>
  <c r="J277" i="3"/>
  <c r="I277" i="3"/>
  <c r="H277" i="3"/>
  <c r="G277" i="3"/>
  <c r="F277" i="3"/>
  <c r="E277" i="3"/>
  <c r="D277" i="3"/>
  <c r="C277" i="3"/>
  <c r="M276" i="3"/>
  <c r="L276" i="3"/>
  <c r="K276" i="3"/>
  <c r="J276" i="3"/>
  <c r="I276" i="3"/>
  <c r="H276" i="3"/>
  <c r="G276" i="3"/>
  <c r="F276" i="3"/>
  <c r="E276" i="3"/>
  <c r="D276" i="3"/>
  <c r="C276" i="3"/>
  <c r="N275" i="3"/>
  <c r="M275" i="3"/>
  <c r="K275" i="3"/>
  <c r="J275" i="3"/>
  <c r="I275" i="3"/>
  <c r="H275" i="3"/>
  <c r="F275" i="3"/>
  <c r="E275" i="3"/>
  <c r="D275" i="3"/>
  <c r="C275" i="3"/>
  <c r="N274" i="3"/>
  <c r="L274" i="3"/>
  <c r="K274" i="3"/>
  <c r="J274" i="3"/>
  <c r="I274" i="3"/>
  <c r="H274" i="3"/>
  <c r="G274" i="3"/>
  <c r="F274" i="3"/>
  <c r="E274" i="3"/>
  <c r="D274" i="3"/>
  <c r="C274" i="3"/>
  <c r="N273" i="3"/>
  <c r="L273" i="3"/>
  <c r="K273" i="3"/>
  <c r="J273" i="3"/>
  <c r="I273" i="3"/>
  <c r="H273" i="3"/>
  <c r="G273" i="3"/>
  <c r="F273" i="3"/>
  <c r="E273" i="3"/>
  <c r="D273" i="3"/>
  <c r="C273" i="3"/>
  <c r="N272" i="3"/>
  <c r="M272" i="3"/>
  <c r="K272" i="3"/>
  <c r="J272" i="3"/>
  <c r="I272" i="3"/>
  <c r="H272" i="3"/>
  <c r="F272" i="3"/>
  <c r="E272" i="3"/>
  <c r="D272" i="3"/>
  <c r="C272" i="3"/>
  <c r="M271" i="3"/>
  <c r="L271" i="3"/>
  <c r="K271" i="3"/>
  <c r="J271" i="3"/>
  <c r="I271" i="3"/>
  <c r="H271" i="3"/>
  <c r="G271" i="3"/>
  <c r="F271" i="3"/>
  <c r="E271" i="3"/>
  <c r="D271" i="3"/>
  <c r="C271" i="3"/>
  <c r="M270" i="3"/>
  <c r="L270" i="3"/>
  <c r="K270" i="3"/>
  <c r="J270" i="3"/>
  <c r="I270" i="3"/>
  <c r="H270" i="3"/>
  <c r="G270" i="3"/>
  <c r="F270" i="3"/>
  <c r="E270" i="3"/>
  <c r="D270" i="3"/>
  <c r="C270" i="3"/>
  <c r="N269" i="3"/>
  <c r="L269" i="3"/>
  <c r="K269" i="3"/>
  <c r="I269" i="3"/>
  <c r="H269" i="3"/>
  <c r="G269" i="3"/>
  <c r="F269" i="3"/>
  <c r="E269" i="3"/>
  <c r="D269" i="3"/>
  <c r="C269" i="3"/>
  <c r="N268" i="3"/>
  <c r="L268" i="3"/>
  <c r="K268" i="3"/>
  <c r="J268" i="3"/>
  <c r="I268" i="3"/>
  <c r="H268" i="3"/>
  <c r="G268" i="3"/>
  <c r="F268" i="3"/>
  <c r="E268" i="3"/>
  <c r="D268" i="3"/>
  <c r="C268" i="3"/>
  <c r="N267" i="3"/>
  <c r="L267" i="3"/>
  <c r="K267" i="3"/>
  <c r="J267" i="3"/>
  <c r="I267" i="3"/>
  <c r="H267" i="3"/>
  <c r="G267" i="3"/>
  <c r="F267" i="3"/>
  <c r="E267" i="3"/>
  <c r="D267" i="3"/>
  <c r="C267" i="3"/>
  <c r="M266" i="3"/>
  <c r="L266" i="3"/>
  <c r="K266" i="3"/>
  <c r="J266" i="3"/>
  <c r="I266" i="3"/>
  <c r="H266" i="3"/>
  <c r="G266" i="3"/>
  <c r="F266" i="3"/>
  <c r="E266" i="3"/>
  <c r="D266" i="3"/>
  <c r="C266" i="3"/>
  <c r="M265" i="3"/>
  <c r="L265" i="3"/>
  <c r="K265" i="3"/>
  <c r="J265" i="3"/>
  <c r="I265" i="3"/>
  <c r="H265" i="3"/>
  <c r="G265" i="3"/>
  <c r="F265" i="3"/>
  <c r="E265" i="3"/>
  <c r="D265" i="3"/>
  <c r="C265" i="3"/>
  <c r="N264" i="3"/>
  <c r="L264" i="3"/>
  <c r="K264" i="3"/>
  <c r="J264" i="3"/>
  <c r="I264" i="3"/>
  <c r="H264" i="3"/>
  <c r="G264" i="3"/>
  <c r="F264" i="3"/>
  <c r="E264" i="3"/>
  <c r="D264" i="3"/>
  <c r="C264" i="3"/>
  <c r="N263" i="3"/>
  <c r="L263" i="3"/>
  <c r="K263" i="3"/>
  <c r="J263" i="3"/>
  <c r="I263" i="3"/>
  <c r="H263" i="3"/>
  <c r="G263" i="3"/>
  <c r="F263" i="3"/>
  <c r="E263" i="3"/>
  <c r="D263" i="3"/>
  <c r="C263" i="3"/>
  <c r="M262" i="3"/>
  <c r="L262" i="3"/>
  <c r="K262" i="3"/>
  <c r="J262" i="3"/>
  <c r="I262" i="3"/>
  <c r="H262" i="3"/>
  <c r="G262" i="3"/>
  <c r="F262" i="3"/>
  <c r="E262" i="3"/>
  <c r="D262" i="3"/>
  <c r="C262" i="3"/>
  <c r="M261" i="3"/>
  <c r="L261" i="3"/>
  <c r="K261" i="3"/>
  <c r="J261" i="3"/>
  <c r="I261" i="3"/>
  <c r="H261" i="3"/>
  <c r="G261" i="3"/>
  <c r="F261" i="3"/>
  <c r="E261" i="3"/>
  <c r="D261" i="3"/>
  <c r="C261" i="3"/>
  <c r="M260" i="3"/>
  <c r="L260" i="3"/>
  <c r="K260" i="3"/>
  <c r="J260" i="3"/>
  <c r="I260" i="3"/>
  <c r="H260" i="3"/>
  <c r="G260" i="3"/>
  <c r="F260" i="3"/>
  <c r="E260" i="3"/>
  <c r="D260" i="3"/>
  <c r="C260" i="3"/>
  <c r="N259" i="3"/>
  <c r="M259" i="3"/>
  <c r="K259" i="3"/>
  <c r="J259" i="3"/>
  <c r="I259" i="3"/>
  <c r="H259" i="3"/>
  <c r="F259" i="3"/>
  <c r="E259" i="3"/>
  <c r="D259" i="3"/>
  <c r="C259" i="3"/>
  <c r="N258" i="3"/>
  <c r="L258" i="3"/>
  <c r="K258" i="3"/>
  <c r="J258" i="3"/>
  <c r="I258" i="3"/>
  <c r="H258" i="3"/>
  <c r="G258" i="3"/>
  <c r="F258" i="3"/>
  <c r="E258" i="3"/>
  <c r="D258" i="3"/>
  <c r="C258" i="3"/>
  <c r="M257" i="3"/>
  <c r="L257" i="3"/>
  <c r="K257" i="3"/>
  <c r="J257" i="3"/>
  <c r="I257" i="3"/>
  <c r="H257" i="3"/>
  <c r="G257" i="3"/>
  <c r="F257" i="3"/>
  <c r="E257" i="3"/>
  <c r="D257" i="3"/>
  <c r="C257" i="3"/>
  <c r="M256" i="3"/>
  <c r="K256" i="3"/>
  <c r="J256" i="3"/>
  <c r="I256" i="3"/>
  <c r="H256" i="3"/>
  <c r="F256" i="3"/>
  <c r="E256" i="3"/>
  <c r="D256" i="3"/>
  <c r="C256" i="3"/>
  <c r="N255" i="3"/>
  <c r="L255" i="3"/>
  <c r="K255" i="3"/>
  <c r="J255" i="3"/>
  <c r="I255" i="3"/>
  <c r="H255" i="3"/>
  <c r="G255" i="3"/>
  <c r="F255" i="3"/>
  <c r="E255" i="3"/>
  <c r="D255" i="3"/>
  <c r="C255" i="3"/>
  <c r="N254" i="3"/>
  <c r="K254" i="3"/>
  <c r="J254" i="3"/>
  <c r="I254" i="3"/>
  <c r="H254" i="3"/>
  <c r="F254" i="3"/>
  <c r="E254" i="3"/>
  <c r="D254" i="3"/>
  <c r="C254" i="3"/>
  <c r="M253" i="3"/>
  <c r="L253" i="3"/>
  <c r="K253" i="3"/>
  <c r="J253" i="3"/>
  <c r="I253" i="3"/>
  <c r="H253" i="3"/>
  <c r="G253" i="3"/>
  <c r="F253" i="3"/>
  <c r="E253" i="3"/>
  <c r="D253" i="3"/>
  <c r="C253" i="3"/>
  <c r="M252" i="3"/>
  <c r="L252" i="3"/>
  <c r="K252" i="3"/>
  <c r="J252" i="3"/>
  <c r="I252" i="3"/>
  <c r="H252" i="3"/>
  <c r="G252" i="3"/>
  <c r="F252" i="3"/>
  <c r="E252" i="3"/>
  <c r="D252" i="3"/>
  <c r="C252" i="3"/>
  <c r="N251" i="3"/>
  <c r="M251" i="3"/>
  <c r="K251" i="3"/>
  <c r="J251" i="3"/>
  <c r="I251" i="3"/>
  <c r="H251" i="3"/>
  <c r="F251" i="3"/>
  <c r="E251" i="3"/>
  <c r="D251" i="3"/>
  <c r="C251" i="3"/>
  <c r="M250" i="3"/>
  <c r="L250" i="3"/>
  <c r="K250" i="3"/>
  <c r="J250" i="3"/>
  <c r="I250" i="3"/>
  <c r="H250" i="3"/>
  <c r="G250" i="3"/>
  <c r="F250" i="3"/>
  <c r="E250" i="3"/>
  <c r="D250" i="3"/>
  <c r="C250" i="3"/>
  <c r="N249" i="3"/>
  <c r="L249" i="3"/>
  <c r="K249" i="3"/>
  <c r="J249" i="3"/>
  <c r="I249" i="3"/>
  <c r="H249" i="3"/>
  <c r="G249" i="3"/>
  <c r="F249" i="3"/>
  <c r="E249" i="3"/>
  <c r="D249" i="3"/>
  <c r="C249" i="3"/>
  <c r="M248" i="3"/>
  <c r="L248" i="3"/>
  <c r="K248" i="3"/>
  <c r="J248" i="3"/>
  <c r="I248" i="3"/>
  <c r="H248" i="3"/>
  <c r="G248" i="3"/>
  <c r="F248" i="3"/>
  <c r="E248" i="3"/>
  <c r="D248" i="3"/>
  <c r="C248" i="3"/>
  <c r="M247" i="3"/>
  <c r="L247" i="3"/>
  <c r="K247" i="3"/>
  <c r="J247" i="3"/>
  <c r="I247" i="3"/>
  <c r="H247" i="3"/>
  <c r="G247" i="3"/>
  <c r="F247" i="3"/>
  <c r="E247" i="3"/>
  <c r="D247" i="3"/>
  <c r="C247" i="3"/>
  <c r="N246" i="3"/>
  <c r="L246" i="3"/>
  <c r="K246" i="3"/>
  <c r="J246" i="3"/>
  <c r="I246" i="3"/>
  <c r="H246" i="3"/>
  <c r="G246" i="3"/>
  <c r="F246" i="3"/>
  <c r="E246" i="3"/>
  <c r="D246" i="3"/>
  <c r="C246" i="3"/>
  <c r="N245" i="3"/>
  <c r="M245" i="3"/>
  <c r="L245" i="3"/>
  <c r="K245" i="3"/>
  <c r="J245" i="3"/>
  <c r="I245" i="3"/>
  <c r="H245" i="3"/>
  <c r="G245" i="3"/>
  <c r="F245" i="3"/>
  <c r="E245" i="3"/>
  <c r="D245" i="3"/>
  <c r="C245" i="3"/>
  <c r="N244" i="3"/>
  <c r="M244" i="3"/>
  <c r="L244" i="3"/>
  <c r="K244" i="3"/>
  <c r="J244" i="3"/>
  <c r="I244" i="3"/>
  <c r="H244" i="3"/>
  <c r="G244" i="3"/>
  <c r="F244" i="3"/>
  <c r="E244" i="3"/>
  <c r="D244" i="3"/>
  <c r="C244" i="3"/>
  <c r="M243" i="3"/>
  <c r="L243" i="3"/>
  <c r="K243" i="3"/>
  <c r="J243" i="3"/>
  <c r="I243" i="3"/>
  <c r="H243" i="3"/>
  <c r="G243" i="3"/>
  <c r="F243" i="3"/>
  <c r="E243" i="3"/>
  <c r="D243" i="3"/>
  <c r="C243" i="3"/>
  <c r="M242" i="3"/>
  <c r="L242" i="3"/>
  <c r="K242" i="3"/>
  <c r="J242" i="3"/>
  <c r="I242" i="3"/>
  <c r="H242" i="3"/>
  <c r="G242" i="3"/>
  <c r="F242" i="3"/>
  <c r="E242" i="3"/>
  <c r="D242" i="3"/>
  <c r="C242" i="3"/>
  <c r="M241" i="3"/>
  <c r="L241" i="3"/>
  <c r="K241" i="3"/>
  <c r="J241" i="3"/>
  <c r="I241" i="3"/>
  <c r="H241" i="3"/>
  <c r="G241" i="3"/>
  <c r="F241" i="3"/>
  <c r="E241" i="3"/>
  <c r="D241" i="3"/>
  <c r="C241" i="3"/>
  <c r="N240" i="3"/>
  <c r="M240" i="3"/>
  <c r="L240" i="3"/>
  <c r="K240" i="3"/>
  <c r="J240" i="3"/>
  <c r="I240" i="3"/>
  <c r="H240" i="3"/>
  <c r="G240" i="3"/>
  <c r="F240" i="3"/>
  <c r="E240" i="3"/>
  <c r="D240" i="3"/>
  <c r="C240" i="3"/>
  <c r="N239" i="3"/>
  <c r="M239" i="3"/>
  <c r="L239" i="3"/>
  <c r="K239" i="3"/>
  <c r="J239" i="3"/>
  <c r="I239" i="3"/>
  <c r="H239" i="3"/>
  <c r="G239" i="3"/>
  <c r="F239" i="3"/>
  <c r="E239" i="3"/>
  <c r="D239" i="3"/>
  <c r="C239" i="3"/>
  <c r="N238" i="3"/>
  <c r="L238" i="3"/>
  <c r="K238" i="3"/>
  <c r="J238" i="3"/>
  <c r="I238" i="3"/>
  <c r="H238" i="3"/>
  <c r="G238" i="3"/>
  <c r="F238" i="3"/>
  <c r="E238" i="3"/>
  <c r="D238" i="3"/>
  <c r="C238" i="3"/>
  <c r="N237" i="3"/>
  <c r="L237" i="3"/>
  <c r="K237" i="3"/>
  <c r="J237" i="3"/>
  <c r="I237" i="3"/>
  <c r="H237" i="3"/>
  <c r="G237" i="3"/>
  <c r="F237" i="3"/>
  <c r="E237" i="3"/>
  <c r="D237" i="3"/>
  <c r="C237" i="3"/>
  <c r="M236" i="3"/>
  <c r="L236" i="3"/>
  <c r="K236" i="3"/>
  <c r="J236" i="3"/>
  <c r="I236" i="3"/>
  <c r="H236" i="3"/>
  <c r="G236" i="3"/>
  <c r="F236" i="3"/>
  <c r="E236" i="3"/>
  <c r="D236" i="3"/>
  <c r="C236" i="3"/>
  <c r="N235" i="3"/>
  <c r="K235" i="3"/>
  <c r="J235" i="3"/>
  <c r="I235" i="3"/>
  <c r="H235" i="3"/>
  <c r="F235" i="3"/>
  <c r="E235" i="3"/>
  <c r="D235" i="3"/>
  <c r="C235" i="3"/>
  <c r="M234" i="3"/>
  <c r="L234" i="3"/>
  <c r="K234" i="3"/>
  <c r="J234" i="3"/>
  <c r="I234" i="3"/>
  <c r="H234" i="3"/>
  <c r="G234" i="3"/>
  <c r="F234" i="3"/>
  <c r="E234" i="3"/>
  <c r="D234" i="3"/>
  <c r="C234" i="3"/>
  <c r="N233" i="3"/>
  <c r="L233" i="3"/>
  <c r="K233" i="3"/>
  <c r="J233" i="3"/>
  <c r="I233" i="3"/>
  <c r="H233" i="3"/>
  <c r="G233" i="3"/>
  <c r="F233" i="3"/>
  <c r="E233" i="3"/>
  <c r="D233" i="3"/>
  <c r="C233" i="3"/>
  <c r="N232" i="3"/>
  <c r="L232" i="3"/>
  <c r="K232" i="3"/>
  <c r="J232" i="3"/>
  <c r="I232" i="3"/>
  <c r="H232" i="3"/>
  <c r="G232" i="3"/>
  <c r="F232" i="3"/>
  <c r="E232" i="3"/>
  <c r="D232" i="3"/>
  <c r="C232" i="3"/>
  <c r="M231" i="3"/>
  <c r="K231" i="3"/>
  <c r="J231" i="3"/>
  <c r="I231" i="3"/>
  <c r="H231" i="3"/>
  <c r="F231" i="3"/>
  <c r="E231" i="3"/>
  <c r="D231" i="3"/>
  <c r="C231" i="3"/>
  <c r="N230" i="3"/>
  <c r="L230" i="3"/>
  <c r="K230" i="3"/>
  <c r="J230" i="3"/>
  <c r="I230" i="3"/>
  <c r="H230" i="3"/>
  <c r="G230" i="3"/>
  <c r="F230" i="3"/>
  <c r="E230" i="3"/>
  <c r="D230" i="3"/>
  <c r="C230" i="3"/>
  <c r="M229" i="3"/>
  <c r="L229" i="3"/>
  <c r="K229" i="3"/>
  <c r="J229" i="3"/>
  <c r="I229" i="3"/>
  <c r="H229" i="3"/>
  <c r="G229" i="3"/>
  <c r="F229" i="3"/>
  <c r="E229" i="3"/>
  <c r="D229" i="3"/>
  <c r="C229" i="3"/>
  <c r="M228" i="3"/>
  <c r="L228" i="3"/>
  <c r="K228" i="3"/>
  <c r="J228" i="3"/>
  <c r="I228" i="3"/>
  <c r="H228" i="3"/>
  <c r="G228" i="3"/>
  <c r="F228" i="3"/>
  <c r="E228" i="3"/>
  <c r="D228" i="3"/>
  <c r="C228" i="3"/>
  <c r="M227" i="3"/>
  <c r="L227" i="3"/>
  <c r="K227" i="3"/>
  <c r="J227" i="3"/>
  <c r="I227" i="3"/>
  <c r="H227" i="3"/>
  <c r="G227" i="3"/>
  <c r="F227" i="3"/>
  <c r="E227" i="3"/>
  <c r="D227" i="3"/>
  <c r="C227" i="3"/>
  <c r="N226" i="3"/>
  <c r="L226" i="3"/>
  <c r="K226" i="3"/>
  <c r="J226" i="3"/>
  <c r="I226" i="3"/>
  <c r="H226" i="3"/>
  <c r="G226" i="3"/>
  <c r="F226" i="3"/>
  <c r="E226" i="3"/>
  <c r="D226" i="3"/>
  <c r="C226" i="3"/>
  <c r="N225" i="3"/>
  <c r="K225" i="3"/>
  <c r="J225" i="3"/>
  <c r="I225" i="3"/>
  <c r="H225" i="3"/>
  <c r="F225" i="3"/>
  <c r="E225" i="3"/>
  <c r="D225" i="3"/>
  <c r="C225" i="3"/>
  <c r="M224" i="3"/>
  <c r="L224" i="3"/>
  <c r="K224" i="3"/>
  <c r="J224" i="3"/>
  <c r="I224" i="3"/>
  <c r="H224" i="3"/>
  <c r="G224" i="3"/>
  <c r="F224" i="3"/>
  <c r="E224" i="3"/>
  <c r="D224" i="3"/>
  <c r="C224" i="3"/>
  <c r="N223" i="3"/>
  <c r="M223" i="3"/>
  <c r="L223" i="3"/>
  <c r="K223" i="3"/>
  <c r="J223" i="3"/>
  <c r="I223" i="3"/>
  <c r="H223" i="3"/>
  <c r="G223" i="3"/>
  <c r="F223" i="3"/>
  <c r="E223" i="3"/>
  <c r="D223" i="3"/>
  <c r="C223" i="3"/>
  <c r="N222" i="3"/>
  <c r="M222" i="3"/>
  <c r="L222" i="3"/>
  <c r="K222" i="3"/>
  <c r="J222" i="3"/>
  <c r="I222" i="3"/>
  <c r="H222" i="3"/>
  <c r="G222" i="3"/>
  <c r="F222" i="3"/>
  <c r="E222" i="3"/>
  <c r="D222" i="3"/>
  <c r="C222" i="3"/>
  <c r="M221" i="3"/>
  <c r="L221" i="3"/>
  <c r="K221" i="3"/>
  <c r="J221" i="3"/>
  <c r="I221" i="3"/>
  <c r="H221" i="3"/>
  <c r="G221" i="3"/>
  <c r="F221" i="3"/>
  <c r="E221" i="3"/>
  <c r="D221" i="3"/>
  <c r="C221" i="3"/>
  <c r="N220" i="3"/>
  <c r="L220" i="3"/>
  <c r="K220" i="3"/>
  <c r="J220" i="3"/>
  <c r="I220" i="3"/>
  <c r="H220" i="3"/>
  <c r="G220" i="3"/>
  <c r="F220" i="3"/>
  <c r="E220" i="3"/>
  <c r="D220" i="3"/>
  <c r="C220" i="3"/>
  <c r="N219" i="3"/>
  <c r="L219" i="3"/>
  <c r="K219" i="3"/>
  <c r="J219" i="3"/>
  <c r="I219" i="3"/>
  <c r="H219" i="3"/>
  <c r="G219" i="3"/>
  <c r="F219" i="3"/>
  <c r="E219" i="3"/>
  <c r="D219" i="3"/>
  <c r="C219" i="3"/>
  <c r="L218" i="3"/>
  <c r="K218" i="3"/>
  <c r="J218" i="3"/>
  <c r="I218" i="3"/>
  <c r="H218" i="3"/>
  <c r="G218" i="3"/>
  <c r="F218" i="3"/>
  <c r="E218" i="3"/>
  <c r="D218" i="3"/>
  <c r="C218" i="3"/>
  <c r="L217" i="3"/>
  <c r="K217" i="3"/>
  <c r="J217" i="3"/>
  <c r="I217" i="3"/>
  <c r="H217" i="3"/>
  <c r="G217" i="3"/>
  <c r="F217" i="3"/>
  <c r="E217" i="3"/>
  <c r="D217" i="3"/>
  <c r="C217" i="3"/>
  <c r="K216" i="3"/>
  <c r="J216" i="3"/>
  <c r="I216" i="3"/>
  <c r="H216" i="3"/>
  <c r="F216" i="3"/>
  <c r="E216" i="3"/>
  <c r="D216" i="3"/>
  <c r="C216" i="3"/>
  <c r="K215" i="3"/>
  <c r="J215" i="3"/>
  <c r="I215" i="3"/>
  <c r="H215" i="3"/>
  <c r="F215" i="3"/>
  <c r="E215" i="3"/>
  <c r="D215" i="3"/>
  <c r="C215" i="3"/>
  <c r="L214" i="3"/>
  <c r="K214" i="3"/>
  <c r="J214" i="3"/>
  <c r="I214" i="3"/>
  <c r="H214" i="3"/>
  <c r="G214" i="3"/>
  <c r="F214" i="3"/>
  <c r="E214" i="3"/>
  <c r="D214" i="3"/>
  <c r="C214" i="3"/>
  <c r="N213" i="3"/>
  <c r="L213" i="3"/>
  <c r="K213" i="3"/>
  <c r="J213" i="3"/>
  <c r="I213" i="3"/>
  <c r="H213" i="3"/>
  <c r="G213" i="3"/>
  <c r="F213" i="3"/>
  <c r="E213" i="3"/>
  <c r="D213" i="3"/>
  <c r="C213" i="3"/>
  <c r="M212" i="3"/>
  <c r="L212" i="3"/>
  <c r="K212" i="3"/>
  <c r="J212" i="3"/>
  <c r="I212" i="3"/>
  <c r="H212" i="3"/>
  <c r="G212" i="3"/>
  <c r="F212" i="3"/>
  <c r="E212" i="3"/>
  <c r="D212" i="3"/>
  <c r="C212" i="3"/>
  <c r="N211" i="3"/>
  <c r="L211" i="3"/>
  <c r="K211" i="3"/>
  <c r="J211" i="3"/>
  <c r="I211" i="3"/>
  <c r="H211" i="3"/>
  <c r="G211" i="3"/>
  <c r="F211" i="3"/>
  <c r="E211" i="3"/>
  <c r="D211" i="3"/>
  <c r="C211" i="3"/>
  <c r="M210" i="3"/>
  <c r="L210" i="3"/>
  <c r="K210" i="3"/>
  <c r="J210" i="3"/>
  <c r="I210" i="3"/>
  <c r="H210" i="3"/>
  <c r="G210" i="3"/>
  <c r="F210" i="3"/>
  <c r="E210" i="3"/>
  <c r="D210" i="3"/>
  <c r="C210" i="3"/>
  <c r="M209" i="3"/>
  <c r="L209" i="3"/>
  <c r="K209" i="3"/>
  <c r="J209" i="3"/>
  <c r="I209" i="3"/>
  <c r="H209" i="3"/>
  <c r="G209" i="3"/>
  <c r="F209" i="3"/>
  <c r="E209" i="3"/>
  <c r="D209" i="3"/>
  <c r="C209" i="3"/>
  <c r="M208" i="3"/>
  <c r="L208" i="3"/>
  <c r="K208" i="3"/>
  <c r="J208" i="3"/>
  <c r="I208" i="3"/>
  <c r="H208" i="3"/>
  <c r="G208" i="3"/>
  <c r="F208" i="3"/>
  <c r="E208" i="3"/>
  <c r="D208" i="3"/>
  <c r="C208" i="3"/>
  <c r="N207" i="3"/>
  <c r="M207" i="3"/>
  <c r="L207" i="3"/>
  <c r="K207" i="3"/>
  <c r="J207" i="3"/>
  <c r="I207" i="3"/>
  <c r="H207" i="3"/>
  <c r="G207" i="3"/>
  <c r="F207" i="3"/>
  <c r="E207" i="3"/>
  <c r="D207" i="3"/>
  <c r="C207" i="3"/>
  <c r="M206" i="3"/>
  <c r="L206" i="3"/>
  <c r="K206" i="3"/>
  <c r="J206" i="3"/>
  <c r="I206" i="3"/>
  <c r="H206" i="3"/>
  <c r="G206" i="3"/>
  <c r="F206" i="3"/>
  <c r="E206" i="3"/>
  <c r="D206" i="3"/>
  <c r="C206" i="3"/>
  <c r="M205" i="3"/>
  <c r="L205" i="3"/>
  <c r="K205" i="3"/>
  <c r="J205" i="3"/>
  <c r="I205" i="3"/>
  <c r="H205" i="3"/>
  <c r="G205" i="3"/>
  <c r="F205" i="3"/>
  <c r="E205" i="3"/>
  <c r="D205" i="3"/>
  <c r="C205" i="3"/>
  <c r="N204" i="3"/>
  <c r="L204" i="3"/>
  <c r="K204" i="3"/>
  <c r="J204" i="3"/>
  <c r="I204" i="3"/>
  <c r="H204" i="3"/>
  <c r="G204" i="3"/>
  <c r="F204" i="3"/>
  <c r="E204" i="3"/>
  <c r="D204" i="3"/>
  <c r="C204" i="3"/>
  <c r="L203" i="3"/>
  <c r="K203" i="3"/>
  <c r="J203" i="3"/>
  <c r="I203" i="3"/>
  <c r="H203" i="3"/>
  <c r="G203" i="3"/>
  <c r="F203" i="3"/>
  <c r="E203" i="3"/>
  <c r="D203" i="3"/>
  <c r="C203" i="3"/>
  <c r="N202" i="3"/>
  <c r="M202" i="3"/>
  <c r="L202" i="3"/>
  <c r="K202" i="3"/>
  <c r="J202" i="3"/>
  <c r="I202" i="3"/>
  <c r="H202" i="3"/>
  <c r="G202" i="3"/>
  <c r="F202" i="3"/>
  <c r="E202" i="3"/>
  <c r="D202" i="3"/>
  <c r="C202" i="3"/>
  <c r="M201" i="3"/>
  <c r="L201" i="3"/>
  <c r="K201" i="3"/>
  <c r="J201" i="3"/>
  <c r="I201" i="3"/>
  <c r="H201" i="3"/>
  <c r="G201" i="3"/>
  <c r="F201" i="3"/>
  <c r="E201" i="3"/>
  <c r="D201" i="3"/>
  <c r="C201" i="3"/>
  <c r="N200" i="3"/>
  <c r="L200" i="3"/>
  <c r="K200" i="3"/>
  <c r="J200" i="3"/>
  <c r="I200" i="3"/>
  <c r="H200" i="3"/>
  <c r="G200" i="3"/>
  <c r="F200" i="3"/>
  <c r="E200" i="3"/>
  <c r="D200" i="3"/>
  <c r="C200" i="3"/>
  <c r="N199" i="3"/>
  <c r="L199" i="3"/>
  <c r="K199" i="3"/>
  <c r="J199" i="3"/>
  <c r="I199" i="3"/>
  <c r="H199" i="3"/>
  <c r="G199" i="3"/>
  <c r="F199" i="3"/>
  <c r="E199" i="3"/>
  <c r="D199" i="3"/>
  <c r="C199" i="3"/>
  <c r="M198" i="3"/>
  <c r="L198" i="3"/>
  <c r="K198" i="3"/>
  <c r="J198" i="3"/>
  <c r="I198" i="3"/>
  <c r="H198" i="3"/>
  <c r="G198" i="3"/>
  <c r="F198" i="3"/>
  <c r="E198" i="3"/>
  <c r="D198" i="3"/>
  <c r="C198" i="3"/>
  <c r="N197" i="3"/>
  <c r="K197" i="3"/>
  <c r="I197" i="3"/>
  <c r="H197" i="3"/>
  <c r="F197" i="3"/>
  <c r="E197" i="3"/>
  <c r="D197" i="3"/>
  <c r="C197" i="3"/>
  <c r="M196" i="3"/>
  <c r="L196" i="3"/>
  <c r="K196" i="3"/>
  <c r="J196" i="3"/>
  <c r="I196" i="3"/>
  <c r="H196" i="3"/>
  <c r="G196" i="3"/>
  <c r="F196" i="3"/>
  <c r="E196" i="3"/>
  <c r="D196" i="3"/>
  <c r="C196" i="3"/>
  <c r="N195" i="3"/>
  <c r="L195" i="3"/>
  <c r="K195" i="3"/>
  <c r="J195" i="3"/>
  <c r="I195" i="3"/>
  <c r="H195" i="3"/>
  <c r="G195" i="3"/>
  <c r="F195" i="3"/>
  <c r="E195" i="3"/>
  <c r="D195" i="3"/>
  <c r="C195" i="3"/>
  <c r="N194" i="3"/>
  <c r="L194" i="3"/>
  <c r="K194" i="3"/>
  <c r="J194" i="3"/>
  <c r="I194" i="3"/>
  <c r="H194" i="3"/>
  <c r="G194" i="3"/>
  <c r="F194" i="3"/>
  <c r="E194" i="3"/>
  <c r="D194" i="3"/>
  <c r="C194" i="3"/>
  <c r="N193" i="3"/>
  <c r="L193" i="3"/>
  <c r="K193" i="3"/>
  <c r="J193" i="3"/>
  <c r="I193" i="3"/>
  <c r="H193" i="3"/>
  <c r="G193" i="3"/>
  <c r="F193" i="3"/>
  <c r="E193" i="3"/>
  <c r="D193" i="3"/>
  <c r="C193" i="3"/>
  <c r="N192" i="3"/>
  <c r="L192" i="3"/>
  <c r="K192" i="3"/>
  <c r="J192" i="3"/>
  <c r="I192" i="3"/>
  <c r="H192" i="3"/>
  <c r="G192" i="3"/>
  <c r="F192" i="3"/>
  <c r="E192" i="3"/>
  <c r="D192" i="3"/>
  <c r="C192" i="3"/>
  <c r="M191" i="3"/>
  <c r="L191" i="3"/>
  <c r="K191" i="3"/>
  <c r="J191" i="3"/>
  <c r="I191" i="3"/>
  <c r="H191" i="3"/>
  <c r="G191" i="3"/>
  <c r="F191" i="3"/>
  <c r="E191" i="3"/>
  <c r="D191" i="3"/>
  <c r="C191" i="3"/>
  <c r="N190" i="3"/>
  <c r="L190" i="3"/>
  <c r="K190" i="3"/>
  <c r="J190" i="3"/>
  <c r="I190" i="3"/>
  <c r="H190" i="3"/>
  <c r="G190" i="3"/>
  <c r="F190" i="3"/>
  <c r="E190" i="3"/>
  <c r="D190" i="3"/>
  <c r="C190" i="3"/>
  <c r="M189" i="3"/>
  <c r="L189" i="3"/>
  <c r="K189" i="3"/>
  <c r="J189" i="3"/>
  <c r="I189" i="3"/>
  <c r="H189" i="3"/>
  <c r="G189" i="3"/>
  <c r="F189" i="3"/>
  <c r="E189" i="3"/>
  <c r="D189" i="3"/>
  <c r="C189" i="3"/>
  <c r="M188" i="3"/>
  <c r="L188" i="3"/>
  <c r="K188" i="3"/>
  <c r="J188" i="3"/>
  <c r="I188" i="3"/>
  <c r="H188" i="3"/>
  <c r="G188" i="3"/>
  <c r="F188" i="3"/>
  <c r="E188" i="3"/>
  <c r="D188" i="3"/>
  <c r="C188" i="3"/>
  <c r="M187" i="3"/>
  <c r="L187" i="3"/>
  <c r="K187" i="3"/>
  <c r="J187" i="3"/>
  <c r="I187" i="3"/>
  <c r="H187" i="3"/>
  <c r="G187" i="3"/>
  <c r="F187" i="3"/>
  <c r="E187" i="3"/>
  <c r="D187" i="3"/>
  <c r="C187" i="3"/>
  <c r="M186" i="3"/>
  <c r="L186" i="3"/>
  <c r="K186" i="3"/>
  <c r="J186" i="3"/>
  <c r="I186" i="3"/>
  <c r="H186" i="3"/>
  <c r="G186" i="3"/>
  <c r="F186" i="3"/>
  <c r="E186" i="3"/>
  <c r="D186" i="3"/>
  <c r="C186" i="3"/>
  <c r="M185" i="3"/>
  <c r="L185" i="3"/>
  <c r="K185" i="3"/>
  <c r="J185" i="3"/>
  <c r="I185" i="3"/>
  <c r="H185" i="3"/>
  <c r="G185" i="3"/>
  <c r="F185" i="3"/>
  <c r="E185" i="3"/>
  <c r="D185" i="3"/>
  <c r="C185" i="3"/>
  <c r="N184" i="3"/>
  <c r="M184" i="3"/>
  <c r="K184" i="3"/>
  <c r="J184" i="3"/>
  <c r="I184" i="3"/>
  <c r="H184" i="3"/>
  <c r="F184" i="3"/>
  <c r="E184" i="3"/>
  <c r="D184" i="3"/>
  <c r="C184" i="3"/>
  <c r="N183" i="3"/>
  <c r="L183" i="3"/>
  <c r="K183" i="3"/>
  <c r="J183" i="3"/>
  <c r="I183" i="3"/>
  <c r="H183" i="3"/>
  <c r="G183" i="3"/>
  <c r="F183" i="3"/>
  <c r="E183" i="3"/>
  <c r="D183" i="3"/>
  <c r="C183" i="3"/>
  <c r="N182" i="3"/>
  <c r="L182" i="3"/>
  <c r="K182" i="3"/>
  <c r="J182" i="3"/>
  <c r="I182" i="3"/>
  <c r="H182" i="3"/>
  <c r="G182" i="3"/>
  <c r="F182" i="3"/>
  <c r="E182" i="3"/>
  <c r="D182" i="3"/>
  <c r="C182" i="3"/>
  <c r="M181" i="3"/>
  <c r="L181" i="3"/>
  <c r="K181" i="3"/>
  <c r="J181" i="3"/>
  <c r="I181" i="3"/>
  <c r="H181" i="3"/>
  <c r="G181" i="3"/>
  <c r="F181" i="3"/>
  <c r="E181" i="3"/>
  <c r="D181" i="3"/>
  <c r="C181" i="3"/>
  <c r="M180" i="3"/>
  <c r="L180" i="3"/>
  <c r="K180" i="3"/>
  <c r="J180" i="3"/>
  <c r="I180" i="3"/>
  <c r="H180" i="3"/>
  <c r="G180" i="3"/>
  <c r="F180" i="3"/>
  <c r="E180" i="3"/>
  <c r="D180" i="3"/>
  <c r="C180" i="3"/>
  <c r="M179" i="3"/>
  <c r="L179" i="3"/>
  <c r="K179" i="3"/>
  <c r="J179" i="3"/>
  <c r="I179" i="3"/>
  <c r="H179" i="3"/>
  <c r="G179" i="3"/>
  <c r="F179" i="3"/>
  <c r="E179" i="3"/>
  <c r="D179" i="3"/>
  <c r="C179" i="3"/>
  <c r="M178" i="3"/>
  <c r="L178" i="3"/>
  <c r="K178" i="3"/>
  <c r="J178" i="3"/>
  <c r="I178" i="3"/>
  <c r="H178" i="3"/>
  <c r="G178" i="3"/>
  <c r="F178" i="3"/>
  <c r="E178" i="3"/>
  <c r="D178" i="3"/>
  <c r="C178" i="3"/>
  <c r="M177" i="3"/>
  <c r="L177" i="3"/>
  <c r="K177" i="3"/>
  <c r="J177" i="3"/>
  <c r="I177" i="3"/>
  <c r="H177" i="3"/>
  <c r="G177" i="3"/>
  <c r="F177" i="3"/>
  <c r="E177" i="3"/>
  <c r="D177" i="3"/>
  <c r="C177" i="3"/>
  <c r="N176" i="3"/>
  <c r="M176" i="3"/>
  <c r="L176" i="3"/>
  <c r="K176" i="3"/>
  <c r="J176" i="3"/>
  <c r="I176" i="3"/>
  <c r="H176" i="3"/>
  <c r="G176" i="3"/>
  <c r="F176" i="3"/>
  <c r="E176" i="3"/>
  <c r="D176" i="3"/>
  <c r="C176" i="3"/>
  <c r="M175" i="3"/>
  <c r="K175" i="3"/>
  <c r="J175" i="3"/>
  <c r="I175" i="3"/>
  <c r="H175" i="3"/>
  <c r="F175" i="3"/>
  <c r="E175" i="3"/>
  <c r="D175" i="3"/>
  <c r="C175" i="3"/>
  <c r="M174" i="3"/>
  <c r="K174" i="3"/>
  <c r="J174" i="3"/>
  <c r="I174" i="3"/>
  <c r="H174" i="3"/>
  <c r="F174" i="3"/>
  <c r="E174" i="3"/>
  <c r="D174" i="3"/>
  <c r="C174" i="3"/>
  <c r="M173" i="3"/>
  <c r="L173" i="3"/>
  <c r="K173" i="3"/>
  <c r="J173" i="3"/>
  <c r="I173" i="3"/>
  <c r="H173" i="3"/>
  <c r="G173" i="3"/>
  <c r="F173" i="3"/>
  <c r="E173" i="3"/>
  <c r="D173" i="3"/>
  <c r="C173" i="3"/>
  <c r="M172" i="3"/>
  <c r="K172" i="3"/>
  <c r="J172" i="3"/>
  <c r="I172" i="3"/>
  <c r="H172" i="3"/>
  <c r="F172" i="3"/>
  <c r="E172" i="3"/>
  <c r="D172" i="3"/>
  <c r="C172" i="3"/>
  <c r="M171" i="3"/>
  <c r="L171" i="3"/>
  <c r="K171" i="3"/>
  <c r="J171" i="3"/>
  <c r="I171" i="3"/>
  <c r="H171" i="3"/>
  <c r="G171" i="3"/>
  <c r="F171" i="3"/>
  <c r="E171" i="3"/>
  <c r="D171" i="3"/>
  <c r="C171" i="3"/>
  <c r="M170" i="3"/>
  <c r="K170" i="3"/>
  <c r="J170" i="3"/>
  <c r="I170" i="3"/>
  <c r="H170" i="3"/>
  <c r="F170" i="3"/>
  <c r="E170" i="3"/>
  <c r="D170" i="3"/>
  <c r="C170" i="3"/>
  <c r="N169" i="3"/>
  <c r="M169" i="3"/>
  <c r="L169" i="3"/>
  <c r="K169" i="3"/>
  <c r="J169" i="3"/>
  <c r="I169" i="3"/>
  <c r="H169" i="3"/>
  <c r="G169" i="3"/>
  <c r="F169" i="3"/>
  <c r="E169" i="3"/>
  <c r="D169" i="3"/>
  <c r="C169" i="3"/>
  <c r="N168" i="3"/>
  <c r="K168" i="3"/>
  <c r="J168" i="3"/>
  <c r="I168" i="3"/>
  <c r="H168" i="3"/>
  <c r="F168" i="3"/>
  <c r="E168" i="3"/>
  <c r="D168" i="3"/>
  <c r="C168" i="3"/>
  <c r="M167" i="3"/>
  <c r="L167" i="3"/>
  <c r="K167" i="3"/>
  <c r="J167" i="3"/>
  <c r="I167" i="3"/>
  <c r="H167" i="3"/>
  <c r="G167" i="3"/>
  <c r="F167" i="3"/>
  <c r="E167" i="3"/>
  <c r="D167" i="3"/>
  <c r="C167" i="3"/>
  <c r="M166" i="3"/>
  <c r="L166" i="3"/>
  <c r="K166" i="3"/>
  <c r="J166" i="3"/>
  <c r="I166" i="3"/>
  <c r="H166" i="3"/>
  <c r="G166" i="3"/>
  <c r="F166" i="3"/>
  <c r="E166" i="3"/>
  <c r="D166" i="3"/>
  <c r="C166" i="3"/>
  <c r="M165" i="3"/>
  <c r="L165" i="3"/>
  <c r="K165" i="3"/>
  <c r="J165" i="3"/>
  <c r="I165" i="3"/>
  <c r="H165" i="3"/>
  <c r="G165" i="3"/>
  <c r="F165" i="3"/>
  <c r="E165" i="3"/>
  <c r="D165" i="3"/>
  <c r="C165" i="3"/>
  <c r="M164" i="3"/>
  <c r="L164" i="3"/>
  <c r="K164" i="3"/>
  <c r="J164" i="3"/>
  <c r="I164" i="3"/>
  <c r="H164" i="3"/>
  <c r="G164" i="3"/>
  <c r="F164" i="3"/>
  <c r="E164" i="3"/>
  <c r="D164" i="3"/>
  <c r="C164" i="3"/>
  <c r="M163" i="3"/>
  <c r="L163" i="3"/>
  <c r="K163" i="3"/>
  <c r="J163" i="3"/>
  <c r="I163" i="3"/>
  <c r="H163" i="3"/>
  <c r="G163" i="3"/>
  <c r="F163" i="3"/>
  <c r="E163" i="3"/>
  <c r="D163" i="3"/>
  <c r="C163" i="3"/>
  <c r="M162" i="3"/>
  <c r="L162" i="3"/>
  <c r="K162" i="3"/>
  <c r="J162" i="3"/>
  <c r="I162" i="3"/>
  <c r="H162" i="3"/>
  <c r="G162" i="3"/>
  <c r="F162" i="3"/>
  <c r="E162" i="3"/>
  <c r="D162" i="3"/>
  <c r="C162" i="3"/>
  <c r="N161" i="3"/>
  <c r="L161" i="3"/>
  <c r="K161" i="3"/>
  <c r="J161" i="3"/>
  <c r="I161" i="3"/>
  <c r="H161" i="3"/>
  <c r="G161" i="3"/>
  <c r="F161" i="3"/>
  <c r="E161" i="3"/>
  <c r="D161" i="3"/>
  <c r="C161" i="3"/>
  <c r="N160" i="3"/>
  <c r="M160" i="3"/>
  <c r="L160" i="3"/>
  <c r="K160" i="3"/>
  <c r="J160" i="3"/>
  <c r="I160" i="3"/>
  <c r="H160" i="3"/>
  <c r="G160" i="3"/>
  <c r="F160" i="3"/>
  <c r="E160" i="3"/>
  <c r="D160" i="3"/>
  <c r="C160" i="3"/>
  <c r="M159" i="3"/>
  <c r="L159" i="3"/>
  <c r="K159" i="3"/>
  <c r="J159" i="3"/>
  <c r="I159" i="3"/>
  <c r="H159" i="3"/>
  <c r="G159" i="3"/>
  <c r="F159" i="3"/>
  <c r="E159" i="3"/>
  <c r="D159" i="3"/>
  <c r="C159" i="3"/>
  <c r="N158" i="3"/>
  <c r="M158" i="3"/>
  <c r="L158" i="3"/>
  <c r="K158" i="3"/>
  <c r="J158" i="3"/>
  <c r="I158" i="3"/>
  <c r="H158" i="3"/>
  <c r="G158" i="3"/>
  <c r="F158" i="3"/>
  <c r="E158" i="3"/>
  <c r="D158" i="3"/>
  <c r="C158" i="3"/>
  <c r="N157" i="3"/>
  <c r="L157" i="3"/>
  <c r="K157" i="3"/>
  <c r="J157" i="3"/>
  <c r="I157" i="3"/>
  <c r="H157" i="3"/>
  <c r="G157" i="3"/>
  <c r="F157" i="3"/>
  <c r="E157" i="3"/>
  <c r="D157" i="3"/>
  <c r="C157" i="3"/>
  <c r="M156" i="3"/>
  <c r="L156" i="3"/>
  <c r="K156" i="3"/>
  <c r="J156" i="3"/>
  <c r="I156" i="3"/>
  <c r="H156" i="3"/>
  <c r="G156" i="3"/>
  <c r="F156" i="3"/>
  <c r="E156" i="3"/>
  <c r="D156" i="3"/>
  <c r="C156" i="3"/>
  <c r="M155" i="3"/>
  <c r="L155" i="3"/>
  <c r="K155" i="3"/>
  <c r="J155" i="3"/>
  <c r="I155" i="3"/>
  <c r="H155" i="3"/>
  <c r="G155" i="3"/>
  <c r="F155" i="3"/>
  <c r="E155" i="3"/>
  <c r="D155" i="3"/>
  <c r="C155" i="3"/>
  <c r="M154" i="3"/>
  <c r="L154" i="3"/>
  <c r="K154" i="3"/>
  <c r="J154" i="3"/>
  <c r="I154" i="3"/>
  <c r="H154" i="3"/>
  <c r="G154" i="3"/>
  <c r="F154" i="3"/>
  <c r="E154" i="3"/>
  <c r="D154" i="3"/>
  <c r="C154" i="3"/>
  <c r="M153" i="3"/>
  <c r="L153" i="3"/>
  <c r="K153" i="3"/>
  <c r="J153" i="3"/>
  <c r="I153" i="3"/>
  <c r="H153" i="3"/>
  <c r="G153" i="3"/>
  <c r="F153" i="3"/>
  <c r="E153" i="3"/>
  <c r="D153" i="3"/>
  <c r="C153" i="3"/>
  <c r="N152" i="3"/>
  <c r="M152" i="3"/>
  <c r="K152" i="3"/>
  <c r="J152" i="3"/>
  <c r="I152" i="3"/>
  <c r="H152" i="3"/>
  <c r="F152" i="3"/>
  <c r="E152" i="3"/>
  <c r="D152" i="3"/>
  <c r="C152" i="3"/>
  <c r="N151" i="3"/>
  <c r="M151" i="3"/>
  <c r="L151" i="3"/>
  <c r="K151" i="3"/>
  <c r="J151" i="3"/>
  <c r="I151" i="3"/>
  <c r="H151" i="3"/>
  <c r="G151" i="3"/>
  <c r="F151" i="3"/>
  <c r="E151" i="3"/>
  <c r="D151" i="3"/>
  <c r="C151" i="3"/>
  <c r="M150" i="3"/>
  <c r="L150" i="3"/>
  <c r="K150" i="3"/>
  <c r="J150" i="3"/>
  <c r="I150" i="3"/>
  <c r="H150" i="3"/>
  <c r="G150" i="3"/>
  <c r="F150" i="3"/>
  <c r="E150" i="3"/>
  <c r="D150" i="3"/>
  <c r="C150" i="3"/>
  <c r="M149" i="3"/>
  <c r="L149" i="3"/>
  <c r="K149" i="3"/>
  <c r="J149" i="3"/>
  <c r="I149" i="3"/>
  <c r="H149" i="3"/>
  <c r="G149" i="3"/>
  <c r="F149" i="3"/>
  <c r="E149" i="3"/>
  <c r="D149" i="3"/>
  <c r="C149" i="3"/>
  <c r="M148" i="3"/>
  <c r="L148" i="3"/>
  <c r="K148" i="3"/>
  <c r="J148" i="3"/>
  <c r="I148" i="3"/>
  <c r="H148" i="3"/>
  <c r="G148" i="3"/>
  <c r="F148" i="3"/>
  <c r="E148" i="3"/>
  <c r="D148" i="3"/>
  <c r="C148" i="3"/>
  <c r="M147" i="3"/>
  <c r="L147" i="3"/>
  <c r="K147" i="3"/>
  <c r="J147" i="3"/>
  <c r="I147" i="3"/>
  <c r="H147" i="3"/>
  <c r="G147" i="3"/>
  <c r="F147" i="3"/>
  <c r="E147" i="3"/>
  <c r="D147" i="3"/>
  <c r="C147" i="3"/>
  <c r="L146" i="3"/>
  <c r="K146" i="3"/>
  <c r="J146" i="3"/>
  <c r="I146" i="3"/>
  <c r="H146" i="3"/>
  <c r="G146" i="3"/>
  <c r="F146" i="3"/>
  <c r="E146" i="3"/>
  <c r="D146" i="3"/>
  <c r="C146" i="3"/>
  <c r="M145" i="3"/>
  <c r="L145" i="3"/>
  <c r="K145" i="3"/>
  <c r="J145" i="3"/>
  <c r="I145" i="3"/>
  <c r="H145" i="3"/>
  <c r="G145" i="3"/>
  <c r="F145" i="3"/>
  <c r="E145" i="3"/>
  <c r="D145" i="3"/>
  <c r="C145" i="3"/>
  <c r="N144" i="3"/>
  <c r="M144" i="3"/>
  <c r="L144" i="3"/>
  <c r="K144" i="3"/>
  <c r="J144" i="3"/>
  <c r="I144" i="3"/>
  <c r="H144" i="3"/>
  <c r="G144" i="3"/>
  <c r="F144" i="3"/>
  <c r="E144" i="3"/>
  <c r="D144" i="3"/>
  <c r="C144" i="3"/>
  <c r="M143" i="3"/>
  <c r="L143" i="3"/>
  <c r="K143" i="3"/>
  <c r="J143" i="3"/>
  <c r="I143" i="3"/>
  <c r="H143" i="3"/>
  <c r="G143" i="3"/>
  <c r="F143" i="3"/>
  <c r="E143" i="3"/>
  <c r="D143" i="3"/>
  <c r="C143" i="3"/>
  <c r="M142" i="3"/>
  <c r="L142" i="3"/>
  <c r="K142" i="3"/>
  <c r="J142" i="3"/>
  <c r="I142" i="3"/>
  <c r="H142" i="3"/>
  <c r="G142" i="3"/>
  <c r="F142" i="3"/>
  <c r="E142" i="3"/>
  <c r="D142" i="3"/>
  <c r="C142" i="3"/>
  <c r="M141" i="3"/>
  <c r="L141" i="3"/>
  <c r="K141" i="3"/>
  <c r="J141" i="3"/>
  <c r="I141" i="3"/>
  <c r="H141" i="3"/>
  <c r="G141" i="3"/>
  <c r="F141" i="3"/>
  <c r="E141" i="3"/>
  <c r="D141" i="3"/>
  <c r="C141" i="3"/>
  <c r="M140" i="3"/>
  <c r="L140" i="3"/>
  <c r="K140" i="3"/>
  <c r="J140" i="3"/>
  <c r="I140" i="3"/>
  <c r="H140" i="3"/>
  <c r="G140" i="3"/>
  <c r="F140" i="3"/>
  <c r="E140" i="3"/>
  <c r="D140" i="3"/>
  <c r="C140" i="3"/>
  <c r="N139" i="3"/>
  <c r="M139" i="3"/>
  <c r="L139" i="3"/>
  <c r="K139" i="3"/>
  <c r="J139" i="3"/>
  <c r="I139" i="3"/>
  <c r="H139" i="3"/>
  <c r="G139" i="3"/>
  <c r="F139" i="3"/>
  <c r="E139" i="3"/>
  <c r="D139" i="3"/>
  <c r="C139" i="3"/>
  <c r="M138" i="3"/>
  <c r="L138" i="3"/>
  <c r="K138" i="3"/>
  <c r="J138" i="3"/>
  <c r="I138" i="3"/>
  <c r="H138" i="3"/>
  <c r="G138" i="3"/>
  <c r="F138" i="3"/>
  <c r="E138" i="3"/>
  <c r="D138" i="3"/>
  <c r="C138" i="3"/>
  <c r="N137" i="3"/>
  <c r="L137" i="3"/>
  <c r="K137" i="3"/>
  <c r="J137" i="3"/>
  <c r="I137" i="3"/>
  <c r="H137" i="3"/>
  <c r="G137" i="3"/>
  <c r="F137" i="3"/>
  <c r="E137" i="3"/>
  <c r="D137" i="3"/>
  <c r="C137" i="3"/>
  <c r="M136" i="3"/>
  <c r="L136" i="3"/>
  <c r="K136" i="3"/>
  <c r="J136" i="3"/>
  <c r="I136" i="3"/>
  <c r="H136" i="3"/>
  <c r="G136" i="3"/>
  <c r="F136" i="3"/>
  <c r="E136" i="3"/>
  <c r="D136" i="3"/>
  <c r="C136" i="3"/>
  <c r="M135" i="3"/>
  <c r="L135" i="3"/>
  <c r="K135" i="3"/>
  <c r="J135" i="3"/>
  <c r="I135" i="3"/>
  <c r="H135" i="3"/>
  <c r="G135" i="3"/>
  <c r="F135" i="3"/>
  <c r="E135" i="3"/>
  <c r="D135" i="3"/>
  <c r="C135" i="3"/>
  <c r="M134" i="3"/>
  <c r="L134" i="3"/>
  <c r="K134" i="3"/>
  <c r="J134" i="3"/>
  <c r="I134" i="3"/>
  <c r="H134" i="3"/>
  <c r="G134" i="3"/>
  <c r="F134" i="3"/>
  <c r="E134" i="3"/>
  <c r="D134" i="3"/>
  <c r="C134" i="3"/>
  <c r="N133" i="3"/>
  <c r="M133" i="3"/>
  <c r="L133" i="3"/>
  <c r="K133" i="3"/>
  <c r="J133" i="3"/>
  <c r="I133" i="3"/>
  <c r="H133" i="3"/>
  <c r="G133" i="3"/>
  <c r="F133" i="3"/>
  <c r="E133" i="3"/>
  <c r="D133" i="3"/>
  <c r="C133" i="3"/>
  <c r="M132" i="3"/>
  <c r="L132" i="3"/>
  <c r="K132" i="3"/>
  <c r="J132" i="3"/>
  <c r="I132" i="3"/>
  <c r="H132" i="3"/>
  <c r="G132" i="3"/>
  <c r="F132" i="3"/>
  <c r="E132" i="3"/>
  <c r="D132" i="3"/>
  <c r="C132" i="3"/>
  <c r="M131" i="3"/>
  <c r="L131" i="3"/>
  <c r="K131" i="3"/>
  <c r="J131" i="3"/>
  <c r="I131" i="3"/>
  <c r="H131" i="3"/>
  <c r="G131" i="3"/>
  <c r="F131" i="3"/>
  <c r="E131" i="3"/>
  <c r="D131" i="3"/>
  <c r="C131" i="3"/>
  <c r="M130" i="3"/>
  <c r="L130" i="3"/>
  <c r="K130" i="3"/>
  <c r="J130" i="3"/>
  <c r="I130" i="3"/>
  <c r="H130" i="3"/>
  <c r="G130" i="3"/>
  <c r="F130" i="3"/>
  <c r="E130" i="3"/>
  <c r="D130" i="3"/>
  <c r="C130" i="3"/>
  <c r="N129" i="3"/>
  <c r="L129" i="3"/>
  <c r="K129" i="3"/>
  <c r="J129" i="3"/>
  <c r="I129" i="3"/>
  <c r="H129" i="3"/>
  <c r="G129" i="3"/>
  <c r="F129" i="3"/>
  <c r="E129" i="3"/>
  <c r="D129" i="3"/>
  <c r="C129" i="3"/>
  <c r="M128" i="3"/>
  <c r="L128" i="3"/>
  <c r="K128" i="3"/>
  <c r="J128" i="3"/>
  <c r="I128" i="3"/>
  <c r="H128" i="3"/>
  <c r="G128" i="3"/>
  <c r="F128" i="3"/>
  <c r="E128" i="3"/>
  <c r="D128" i="3"/>
  <c r="C128" i="3"/>
  <c r="N127" i="3"/>
  <c r="K127" i="3"/>
  <c r="J127" i="3"/>
  <c r="I127" i="3"/>
  <c r="H127" i="3"/>
  <c r="F127" i="3"/>
  <c r="E127" i="3"/>
  <c r="D127" i="3"/>
  <c r="C127" i="3"/>
  <c r="M126" i="3"/>
  <c r="L126" i="3"/>
  <c r="K126" i="3"/>
  <c r="J126" i="3"/>
  <c r="I126" i="3"/>
  <c r="H126" i="3"/>
  <c r="G126" i="3"/>
  <c r="F126" i="3"/>
  <c r="E126" i="3"/>
  <c r="D126" i="3"/>
  <c r="C126" i="3"/>
  <c r="N125" i="3"/>
  <c r="M125" i="3"/>
  <c r="L125" i="3"/>
  <c r="K125" i="3"/>
  <c r="J125" i="3"/>
  <c r="I125" i="3"/>
  <c r="H125" i="3"/>
  <c r="G125" i="3"/>
  <c r="F125" i="3"/>
  <c r="E125" i="3"/>
  <c r="D125" i="3"/>
  <c r="C125" i="3"/>
  <c r="M124" i="3"/>
  <c r="L124" i="3"/>
  <c r="K124" i="3"/>
  <c r="J124" i="3"/>
  <c r="I124" i="3"/>
  <c r="H124" i="3"/>
  <c r="G124" i="3"/>
  <c r="F124" i="3"/>
  <c r="E124" i="3"/>
  <c r="D124" i="3"/>
  <c r="C124" i="3"/>
  <c r="N123" i="3"/>
  <c r="K123" i="3"/>
  <c r="J123" i="3"/>
  <c r="I123" i="3"/>
  <c r="H123" i="3"/>
  <c r="F123" i="3"/>
  <c r="E123" i="3"/>
  <c r="D123" i="3"/>
  <c r="C123" i="3"/>
  <c r="M122" i="3"/>
  <c r="L122" i="3"/>
  <c r="K122" i="3"/>
  <c r="J122" i="3"/>
  <c r="I122" i="3"/>
  <c r="H122" i="3"/>
  <c r="G122" i="3"/>
  <c r="F122" i="3"/>
  <c r="E122" i="3"/>
  <c r="D122" i="3"/>
  <c r="C122" i="3"/>
  <c r="N121" i="3"/>
  <c r="M121" i="3"/>
  <c r="L121" i="3"/>
  <c r="K121" i="3"/>
  <c r="J121" i="3"/>
  <c r="I121" i="3"/>
  <c r="H121" i="3"/>
  <c r="G121" i="3"/>
  <c r="F121" i="3"/>
  <c r="E121" i="3"/>
  <c r="D121" i="3"/>
  <c r="C121" i="3"/>
  <c r="M120" i="3"/>
  <c r="L120" i="3"/>
  <c r="K120" i="3"/>
  <c r="J120" i="3"/>
  <c r="I120" i="3"/>
  <c r="H120" i="3"/>
  <c r="G120" i="3"/>
  <c r="F120" i="3"/>
  <c r="E120" i="3"/>
  <c r="D120" i="3"/>
  <c r="C120" i="3"/>
  <c r="M119" i="3"/>
  <c r="L119" i="3"/>
  <c r="K119" i="3"/>
  <c r="J119" i="3"/>
  <c r="I119" i="3"/>
  <c r="H119" i="3"/>
  <c r="G119" i="3"/>
  <c r="F119" i="3"/>
  <c r="E119" i="3"/>
  <c r="D119" i="3"/>
  <c r="C119" i="3"/>
  <c r="M118" i="3"/>
  <c r="L118" i="3"/>
  <c r="K118" i="3"/>
  <c r="J118" i="3"/>
  <c r="I118" i="3"/>
  <c r="H118" i="3"/>
  <c r="G118" i="3"/>
  <c r="F118" i="3"/>
  <c r="E118" i="3"/>
  <c r="D118" i="3"/>
  <c r="C118" i="3"/>
  <c r="N117" i="3"/>
  <c r="L117" i="3"/>
  <c r="K117" i="3"/>
  <c r="J117" i="3"/>
  <c r="I117" i="3"/>
  <c r="H117" i="3"/>
  <c r="G117" i="3"/>
  <c r="F117" i="3"/>
  <c r="E117" i="3"/>
  <c r="D117" i="3"/>
  <c r="C117" i="3"/>
  <c r="M116" i="3"/>
  <c r="L116" i="3"/>
  <c r="K116" i="3"/>
  <c r="J116" i="3"/>
  <c r="I116" i="3"/>
  <c r="H116" i="3"/>
  <c r="G116" i="3"/>
  <c r="F116" i="3"/>
  <c r="E116" i="3"/>
  <c r="D116" i="3"/>
  <c r="C116" i="3"/>
  <c r="N115" i="3"/>
  <c r="M115" i="3"/>
  <c r="L115" i="3"/>
  <c r="K115" i="3"/>
  <c r="J115" i="3"/>
  <c r="I115" i="3"/>
  <c r="H115" i="3"/>
  <c r="G115" i="3"/>
  <c r="F115" i="3"/>
  <c r="E115" i="3"/>
  <c r="D115" i="3"/>
  <c r="C115" i="3"/>
  <c r="N114" i="3"/>
  <c r="L114" i="3"/>
  <c r="K114" i="3"/>
  <c r="J114" i="3"/>
  <c r="I114" i="3"/>
  <c r="H114" i="3"/>
  <c r="G114" i="3"/>
  <c r="F114" i="3"/>
  <c r="E114" i="3"/>
  <c r="D114" i="3"/>
  <c r="C114" i="3"/>
  <c r="M113" i="3"/>
  <c r="L113" i="3"/>
  <c r="K113" i="3"/>
  <c r="J113" i="3"/>
  <c r="I113" i="3"/>
  <c r="H113" i="3"/>
  <c r="G113" i="3"/>
  <c r="F113" i="3"/>
  <c r="E113" i="3"/>
  <c r="D113" i="3"/>
  <c r="C113" i="3"/>
  <c r="M112" i="3"/>
  <c r="K112" i="3"/>
  <c r="J112" i="3"/>
  <c r="I112" i="3"/>
  <c r="H112" i="3"/>
  <c r="F112" i="3"/>
  <c r="E112" i="3"/>
  <c r="D112" i="3"/>
  <c r="C112" i="3"/>
  <c r="M111" i="3"/>
  <c r="L111" i="3"/>
  <c r="K111" i="3"/>
  <c r="J111" i="3"/>
  <c r="I111" i="3"/>
  <c r="H111" i="3"/>
  <c r="G111" i="3"/>
  <c r="F111" i="3"/>
  <c r="E111" i="3"/>
  <c r="D111" i="3"/>
  <c r="C111" i="3"/>
  <c r="N110" i="3"/>
  <c r="M110" i="3"/>
  <c r="L110" i="3"/>
  <c r="K110" i="3"/>
  <c r="J110" i="3"/>
  <c r="I110" i="3"/>
  <c r="H110" i="3"/>
  <c r="G110" i="3"/>
  <c r="F110" i="3"/>
  <c r="E110" i="3"/>
  <c r="D110" i="3"/>
  <c r="C110" i="3"/>
  <c r="N109" i="3"/>
  <c r="L109" i="3"/>
  <c r="K109" i="3"/>
  <c r="J109" i="3"/>
  <c r="I109" i="3"/>
  <c r="H109" i="3"/>
  <c r="G109" i="3"/>
  <c r="F109" i="3"/>
  <c r="E109" i="3"/>
  <c r="D109" i="3"/>
  <c r="C109" i="3"/>
  <c r="M108" i="3"/>
  <c r="L108" i="3"/>
  <c r="K108" i="3"/>
  <c r="J108" i="3"/>
  <c r="I108" i="3"/>
  <c r="H108" i="3"/>
  <c r="G108" i="3"/>
  <c r="F108" i="3"/>
  <c r="E108" i="3"/>
  <c r="D108" i="3"/>
  <c r="C108" i="3"/>
  <c r="M107" i="3"/>
  <c r="L107" i="3"/>
  <c r="K107" i="3"/>
  <c r="J107" i="3"/>
  <c r="I107" i="3"/>
  <c r="H107" i="3"/>
  <c r="G107" i="3"/>
  <c r="F107" i="3"/>
  <c r="E107" i="3"/>
  <c r="D107" i="3"/>
  <c r="C107" i="3"/>
  <c r="M106" i="3"/>
  <c r="L106" i="3"/>
  <c r="K106" i="3"/>
  <c r="J106" i="3"/>
  <c r="I106" i="3"/>
  <c r="H106" i="3"/>
  <c r="G106" i="3"/>
  <c r="F106" i="3"/>
  <c r="E106" i="3"/>
  <c r="D106" i="3"/>
  <c r="C106" i="3"/>
  <c r="N105" i="3"/>
  <c r="M105" i="3"/>
  <c r="L105" i="3"/>
  <c r="K105" i="3"/>
  <c r="J105" i="3"/>
  <c r="I105" i="3"/>
  <c r="H105" i="3"/>
  <c r="G105" i="3"/>
  <c r="F105" i="3"/>
  <c r="E105" i="3"/>
  <c r="D105" i="3"/>
  <c r="C105" i="3"/>
  <c r="M104" i="3"/>
  <c r="L104" i="3"/>
  <c r="K104" i="3"/>
  <c r="J104" i="3"/>
  <c r="I104" i="3"/>
  <c r="H104" i="3"/>
  <c r="G104" i="3"/>
  <c r="F104" i="3"/>
  <c r="E104" i="3"/>
  <c r="D104" i="3"/>
  <c r="C104" i="3"/>
  <c r="M103" i="3"/>
  <c r="L103" i="3"/>
  <c r="K103" i="3"/>
  <c r="J103" i="3"/>
  <c r="I103" i="3"/>
  <c r="H103" i="3"/>
  <c r="G103" i="3"/>
  <c r="F103" i="3"/>
  <c r="E103" i="3"/>
  <c r="D103" i="3"/>
  <c r="C103" i="3"/>
  <c r="N102" i="3"/>
  <c r="L102" i="3"/>
  <c r="K102" i="3"/>
  <c r="J102" i="3"/>
  <c r="I102" i="3"/>
  <c r="H102" i="3"/>
  <c r="G102" i="3"/>
  <c r="F102" i="3"/>
  <c r="E102" i="3"/>
  <c r="D102" i="3"/>
  <c r="C102" i="3"/>
  <c r="M101" i="3"/>
  <c r="L101" i="3"/>
  <c r="K101" i="3"/>
  <c r="J101" i="3"/>
  <c r="I101" i="3"/>
  <c r="H101" i="3"/>
  <c r="G101" i="3"/>
  <c r="F101" i="3"/>
  <c r="E101" i="3"/>
  <c r="D101" i="3"/>
  <c r="C101" i="3"/>
  <c r="N100" i="3"/>
  <c r="L100" i="3"/>
  <c r="K100" i="3"/>
  <c r="J100" i="3"/>
  <c r="I100" i="3"/>
  <c r="H100" i="3"/>
  <c r="G100" i="3"/>
  <c r="F100" i="3"/>
  <c r="E100" i="3"/>
  <c r="D100" i="3"/>
  <c r="C100" i="3"/>
  <c r="M99" i="3"/>
  <c r="L99" i="3"/>
  <c r="K99" i="3"/>
  <c r="J99" i="3"/>
  <c r="I99" i="3"/>
  <c r="H99" i="3"/>
  <c r="G99" i="3"/>
  <c r="F99" i="3"/>
  <c r="E99" i="3"/>
  <c r="D99" i="3"/>
  <c r="C99" i="3"/>
  <c r="N98" i="3"/>
  <c r="M98" i="3"/>
  <c r="L98" i="3"/>
  <c r="K98" i="3"/>
  <c r="J98" i="3"/>
  <c r="I98" i="3"/>
  <c r="H98" i="3"/>
  <c r="G98" i="3"/>
  <c r="F98" i="3"/>
  <c r="E98" i="3"/>
  <c r="D98" i="3"/>
  <c r="C98" i="3"/>
  <c r="M97" i="3"/>
  <c r="L97" i="3"/>
  <c r="K97" i="3"/>
  <c r="J97" i="3"/>
  <c r="I97" i="3"/>
  <c r="H97" i="3"/>
  <c r="G97" i="3"/>
  <c r="F97" i="3"/>
  <c r="E97" i="3"/>
  <c r="D97" i="3"/>
  <c r="C97" i="3"/>
  <c r="N96" i="3"/>
  <c r="M96" i="3"/>
  <c r="L96" i="3"/>
  <c r="K96" i="3"/>
  <c r="J96" i="3"/>
  <c r="I96" i="3"/>
  <c r="H96" i="3"/>
  <c r="G96" i="3"/>
  <c r="F96" i="3"/>
  <c r="E96" i="3"/>
  <c r="D96" i="3"/>
  <c r="C96" i="3"/>
  <c r="N95" i="3"/>
  <c r="L95" i="3"/>
  <c r="K95" i="3"/>
  <c r="J95" i="3"/>
  <c r="I95" i="3"/>
  <c r="H95" i="3"/>
  <c r="G95" i="3"/>
  <c r="F95" i="3"/>
  <c r="E95" i="3"/>
  <c r="D95" i="3"/>
  <c r="C95" i="3"/>
  <c r="M94" i="3"/>
  <c r="L94" i="3"/>
  <c r="K94" i="3"/>
  <c r="J94" i="3"/>
  <c r="I94" i="3"/>
  <c r="H94" i="3"/>
  <c r="G94" i="3"/>
  <c r="F94" i="3"/>
  <c r="E94" i="3"/>
  <c r="D94" i="3"/>
  <c r="C94" i="3"/>
  <c r="N93" i="3"/>
  <c r="K93" i="3"/>
  <c r="J93" i="3"/>
  <c r="I93" i="3"/>
  <c r="H93" i="3"/>
  <c r="F93" i="3"/>
  <c r="E93" i="3"/>
  <c r="D93" i="3"/>
  <c r="C93" i="3"/>
  <c r="L92" i="3"/>
  <c r="K92" i="3"/>
  <c r="J92" i="3"/>
  <c r="I92" i="3"/>
  <c r="H92" i="3"/>
  <c r="G92" i="3"/>
  <c r="F92" i="3"/>
  <c r="E92" i="3"/>
  <c r="D92" i="3"/>
  <c r="C92" i="3"/>
  <c r="M91" i="3"/>
  <c r="L91" i="3"/>
  <c r="K91" i="3"/>
  <c r="J91" i="3"/>
  <c r="I91" i="3"/>
  <c r="H91" i="3"/>
  <c r="G91" i="3"/>
  <c r="F91" i="3"/>
  <c r="E91" i="3"/>
  <c r="D91" i="3"/>
  <c r="C91" i="3"/>
  <c r="M90" i="3"/>
  <c r="L90" i="3"/>
  <c r="K90" i="3"/>
  <c r="J90" i="3"/>
  <c r="I90" i="3"/>
  <c r="H90" i="3"/>
  <c r="G90" i="3"/>
  <c r="F90" i="3"/>
  <c r="E90" i="3"/>
  <c r="D90" i="3"/>
  <c r="C90" i="3"/>
  <c r="M89" i="3"/>
  <c r="L89" i="3"/>
  <c r="K89" i="3"/>
  <c r="J89" i="3"/>
  <c r="I89" i="3"/>
  <c r="H89" i="3"/>
  <c r="G89" i="3"/>
  <c r="F89" i="3"/>
  <c r="E89" i="3"/>
  <c r="D89" i="3"/>
  <c r="C89" i="3"/>
  <c r="M88" i="3"/>
  <c r="L88" i="3"/>
  <c r="K88" i="3"/>
  <c r="J88" i="3"/>
  <c r="I88" i="3"/>
  <c r="H88" i="3"/>
  <c r="G88" i="3"/>
  <c r="F88" i="3"/>
  <c r="E88" i="3"/>
  <c r="D88" i="3"/>
  <c r="C88" i="3"/>
  <c r="L87" i="3"/>
  <c r="K87" i="3"/>
  <c r="J87" i="3"/>
  <c r="I87" i="3"/>
  <c r="H87" i="3"/>
  <c r="G87" i="3"/>
  <c r="F87" i="3"/>
  <c r="E87" i="3"/>
  <c r="D87" i="3"/>
  <c r="C87" i="3"/>
  <c r="N86" i="3"/>
  <c r="M86" i="3"/>
  <c r="K86" i="3"/>
  <c r="J86" i="3"/>
  <c r="I86" i="3"/>
  <c r="H86" i="3"/>
  <c r="F86" i="3"/>
  <c r="E86" i="3"/>
  <c r="D86" i="3"/>
  <c r="C86" i="3"/>
  <c r="M85" i="3"/>
  <c r="L85" i="3"/>
  <c r="K85" i="3"/>
  <c r="J85" i="3"/>
  <c r="I85" i="3"/>
  <c r="H85" i="3"/>
  <c r="G85" i="3"/>
  <c r="F85" i="3"/>
  <c r="E85" i="3"/>
  <c r="D85" i="3"/>
  <c r="C85" i="3"/>
  <c r="N84" i="3"/>
  <c r="L84" i="3"/>
  <c r="K84" i="3"/>
  <c r="J84" i="3"/>
  <c r="I84" i="3"/>
  <c r="H84" i="3"/>
  <c r="G84" i="3"/>
  <c r="F84" i="3"/>
  <c r="E84" i="3"/>
  <c r="D84" i="3"/>
  <c r="C84" i="3"/>
  <c r="M83" i="3"/>
  <c r="L83" i="3"/>
  <c r="K83" i="3"/>
  <c r="J83" i="3"/>
  <c r="I83" i="3"/>
  <c r="H83" i="3"/>
  <c r="G83" i="3"/>
  <c r="F83" i="3"/>
  <c r="E83" i="3"/>
  <c r="D83" i="3"/>
  <c r="C83" i="3"/>
  <c r="N82" i="3"/>
  <c r="L82" i="3"/>
  <c r="K82" i="3"/>
  <c r="J82" i="3"/>
  <c r="I82" i="3"/>
  <c r="H82" i="3"/>
  <c r="G82" i="3"/>
  <c r="F82" i="3"/>
  <c r="E82" i="3"/>
  <c r="D82" i="3"/>
  <c r="C82" i="3"/>
  <c r="M81" i="3"/>
  <c r="L81" i="3"/>
  <c r="K81" i="3"/>
  <c r="J81" i="3"/>
  <c r="I81" i="3"/>
  <c r="H81" i="3"/>
  <c r="G81" i="3"/>
  <c r="F81" i="3"/>
  <c r="E81" i="3"/>
  <c r="D81" i="3"/>
  <c r="C81" i="3"/>
  <c r="M80" i="3"/>
  <c r="L80" i="3"/>
  <c r="K80" i="3"/>
  <c r="J80" i="3"/>
  <c r="I80" i="3"/>
  <c r="H80" i="3"/>
  <c r="G80" i="3"/>
  <c r="F80" i="3"/>
  <c r="E80" i="3"/>
  <c r="D80" i="3"/>
  <c r="C80" i="3"/>
  <c r="N79" i="3"/>
  <c r="L79" i="3"/>
  <c r="K79" i="3"/>
  <c r="J79" i="3"/>
  <c r="I79" i="3"/>
  <c r="H79" i="3"/>
  <c r="G79" i="3"/>
  <c r="F79" i="3"/>
  <c r="E79" i="3"/>
  <c r="D79" i="3"/>
  <c r="C79" i="3"/>
  <c r="N78" i="3"/>
  <c r="M78" i="3"/>
  <c r="L78" i="3"/>
  <c r="K78" i="3"/>
  <c r="J78" i="3"/>
  <c r="I78" i="3"/>
  <c r="H78" i="3"/>
  <c r="G78" i="3"/>
  <c r="F78" i="3"/>
  <c r="E78" i="3"/>
  <c r="D78" i="3"/>
  <c r="C78" i="3"/>
  <c r="N77" i="3"/>
  <c r="L77" i="3"/>
  <c r="K77" i="3"/>
  <c r="J77" i="3"/>
  <c r="I77" i="3"/>
  <c r="H77" i="3"/>
  <c r="G77" i="3"/>
  <c r="F77" i="3"/>
  <c r="E77" i="3"/>
  <c r="D77" i="3"/>
  <c r="C77" i="3"/>
  <c r="M76" i="3"/>
  <c r="L76" i="3"/>
  <c r="K76" i="3"/>
  <c r="J76" i="3"/>
  <c r="I76" i="3"/>
  <c r="H76" i="3"/>
  <c r="G76" i="3"/>
  <c r="F76" i="3"/>
  <c r="E76" i="3"/>
  <c r="D76" i="3"/>
  <c r="C76" i="3"/>
  <c r="N75" i="3"/>
  <c r="L75" i="3"/>
  <c r="K75" i="3"/>
  <c r="J75" i="3"/>
  <c r="I75" i="3"/>
  <c r="H75" i="3"/>
  <c r="G75" i="3"/>
  <c r="F75" i="3"/>
  <c r="E75" i="3"/>
  <c r="D75" i="3"/>
  <c r="C75" i="3"/>
  <c r="M74" i="3"/>
  <c r="L74" i="3"/>
  <c r="K74" i="3"/>
  <c r="J74" i="3"/>
  <c r="I74" i="3"/>
  <c r="H74" i="3"/>
  <c r="G74" i="3"/>
  <c r="F74" i="3"/>
  <c r="E74" i="3"/>
  <c r="D74" i="3"/>
  <c r="C74" i="3"/>
  <c r="N73" i="3"/>
  <c r="L73" i="3"/>
  <c r="K73" i="3"/>
  <c r="J73" i="3"/>
  <c r="I73" i="3"/>
  <c r="H73" i="3"/>
  <c r="G73" i="3"/>
  <c r="F73" i="3"/>
  <c r="E73" i="3"/>
  <c r="D73" i="3"/>
  <c r="C73" i="3"/>
  <c r="N72" i="3"/>
  <c r="L72" i="3"/>
  <c r="K72" i="3"/>
  <c r="J72" i="3"/>
  <c r="I72" i="3"/>
  <c r="H72" i="3"/>
  <c r="G72" i="3"/>
  <c r="F72" i="3"/>
  <c r="E72" i="3"/>
  <c r="D72" i="3"/>
  <c r="C72" i="3"/>
  <c r="N71" i="3"/>
  <c r="L71" i="3"/>
  <c r="K71" i="3"/>
  <c r="J71" i="3"/>
  <c r="I71" i="3"/>
  <c r="H71" i="3"/>
  <c r="G71" i="3"/>
  <c r="F71" i="3"/>
  <c r="E71" i="3"/>
  <c r="D71" i="3"/>
  <c r="C71" i="3"/>
  <c r="M70" i="3"/>
  <c r="L70" i="3"/>
  <c r="K70" i="3"/>
  <c r="J70" i="3"/>
  <c r="I70" i="3"/>
  <c r="H70" i="3"/>
  <c r="G70" i="3"/>
  <c r="F70" i="3"/>
  <c r="E70" i="3"/>
  <c r="D70" i="3"/>
  <c r="C70" i="3"/>
  <c r="M69" i="3"/>
  <c r="L69" i="3"/>
  <c r="K69" i="3"/>
  <c r="J69" i="3"/>
  <c r="I69" i="3"/>
  <c r="H69" i="3"/>
  <c r="G69" i="3"/>
  <c r="F69" i="3"/>
  <c r="E69" i="3"/>
  <c r="D69" i="3"/>
  <c r="C69" i="3"/>
  <c r="N68" i="3"/>
  <c r="L68" i="3"/>
  <c r="K68" i="3"/>
  <c r="J68" i="3"/>
  <c r="I68" i="3"/>
  <c r="H68" i="3"/>
  <c r="G68" i="3"/>
  <c r="F68" i="3"/>
  <c r="E68" i="3"/>
  <c r="D68" i="3"/>
  <c r="C68" i="3"/>
  <c r="N67" i="3"/>
  <c r="L67" i="3"/>
  <c r="K67" i="3"/>
  <c r="J67" i="3"/>
  <c r="I67" i="3"/>
  <c r="H67" i="3"/>
  <c r="G67" i="3"/>
  <c r="F67" i="3"/>
  <c r="E67" i="3"/>
  <c r="D67" i="3"/>
  <c r="C67" i="3"/>
  <c r="N66" i="3"/>
  <c r="L66" i="3"/>
  <c r="K66" i="3"/>
  <c r="J66" i="3"/>
  <c r="I66" i="3"/>
  <c r="H66" i="3"/>
  <c r="G66" i="3"/>
  <c r="F66" i="3"/>
  <c r="E66" i="3"/>
  <c r="D66" i="3"/>
  <c r="C66" i="3"/>
  <c r="N65" i="3"/>
  <c r="L65" i="3"/>
  <c r="K65" i="3"/>
  <c r="J65" i="3"/>
  <c r="I65" i="3"/>
  <c r="H65" i="3"/>
  <c r="G65" i="3"/>
  <c r="F65" i="3"/>
  <c r="E65" i="3"/>
  <c r="D65" i="3"/>
  <c r="C65" i="3"/>
  <c r="N64" i="3"/>
  <c r="L64" i="3"/>
  <c r="K64" i="3"/>
  <c r="J64" i="3"/>
  <c r="I64" i="3"/>
  <c r="H64" i="3"/>
  <c r="G64" i="3"/>
  <c r="F64" i="3"/>
  <c r="E64" i="3"/>
  <c r="D64" i="3"/>
  <c r="C64" i="3"/>
  <c r="M63" i="3"/>
  <c r="L63" i="3"/>
  <c r="K63" i="3"/>
  <c r="J63" i="3"/>
  <c r="I63" i="3"/>
  <c r="H63" i="3"/>
  <c r="G63" i="3"/>
  <c r="F63" i="3"/>
  <c r="E63" i="3"/>
  <c r="D63" i="3"/>
  <c r="C63" i="3"/>
  <c r="N62" i="3"/>
  <c r="L62" i="3"/>
  <c r="K62" i="3"/>
  <c r="J62" i="3"/>
  <c r="I62" i="3"/>
  <c r="H62" i="3"/>
  <c r="G62" i="3"/>
  <c r="F62" i="3"/>
  <c r="E62" i="3"/>
  <c r="D62" i="3"/>
  <c r="C62" i="3"/>
  <c r="N61" i="3"/>
  <c r="M61" i="3"/>
  <c r="L61" i="3"/>
  <c r="K61" i="3"/>
  <c r="J61" i="3"/>
  <c r="I61" i="3"/>
  <c r="H61" i="3"/>
  <c r="G61" i="3"/>
  <c r="F61" i="3"/>
  <c r="E61" i="3"/>
  <c r="D61" i="3"/>
  <c r="C61" i="3"/>
  <c r="M60" i="3"/>
  <c r="L60" i="3"/>
  <c r="K60" i="3"/>
  <c r="J60" i="3"/>
  <c r="I60" i="3"/>
  <c r="H60" i="3"/>
  <c r="G60" i="3"/>
  <c r="F60" i="3"/>
  <c r="E60" i="3"/>
  <c r="D60" i="3"/>
  <c r="C60" i="3"/>
  <c r="N59" i="3"/>
  <c r="L59" i="3"/>
  <c r="K59" i="3"/>
  <c r="J59" i="3"/>
  <c r="I59" i="3"/>
  <c r="H59" i="3"/>
  <c r="G59" i="3"/>
  <c r="F59" i="3"/>
  <c r="E59" i="3"/>
  <c r="D59" i="3"/>
  <c r="C59" i="3"/>
  <c r="M58" i="3"/>
  <c r="L58" i="3"/>
  <c r="K58" i="3"/>
  <c r="J58" i="3"/>
  <c r="I58" i="3"/>
  <c r="H58" i="3"/>
  <c r="G58" i="3"/>
  <c r="F58" i="3"/>
  <c r="E58" i="3"/>
  <c r="D58" i="3"/>
  <c r="C58" i="3"/>
  <c r="N57" i="3"/>
  <c r="L57" i="3"/>
  <c r="K57" i="3"/>
  <c r="J57" i="3"/>
  <c r="I57" i="3"/>
  <c r="H57" i="3"/>
  <c r="G57" i="3"/>
  <c r="F57" i="3"/>
  <c r="E57" i="3"/>
  <c r="D57" i="3"/>
  <c r="C57" i="3"/>
  <c r="M56" i="3"/>
  <c r="L56" i="3"/>
  <c r="K56" i="3"/>
  <c r="J56" i="3"/>
  <c r="I56" i="3"/>
  <c r="H56" i="3"/>
  <c r="G56" i="3"/>
  <c r="F56" i="3"/>
  <c r="E56" i="3"/>
  <c r="D56" i="3"/>
  <c r="C56" i="3"/>
  <c r="N55" i="3"/>
  <c r="L55" i="3"/>
  <c r="K55" i="3"/>
  <c r="J55" i="3"/>
  <c r="I55" i="3"/>
  <c r="H55" i="3"/>
  <c r="G55" i="3"/>
  <c r="F55" i="3"/>
  <c r="E55" i="3"/>
  <c r="D55" i="3"/>
  <c r="C55" i="3"/>
  <c r="N54" i="3"/>
  <c r="L54" i="3"/>
  <c r="K54" i="3"/>
  <c r="J54" i="3"/>
  <c r="I54" i="3"/>
  <c r="H54" i="3"/>
  <c r="G54" i="3"/>
  <c r="F54" i="3"/>
  <c r="E54" i="3"/>
  <c r="D54" i="3"/>
  <c r="C54" i="3"/>
  <c r="M53" i="3"/>
  <c r="L53" i="3"/>
  <c r="K53" i="3"/>
  <c r="J53" i="3"/>
  <c r="I53" i="3"/>
  <c r="H53" i="3"/>
  <c r="G53" i="3"/>
  <c r="F53" i="3"/>
  <c r="E53" i="3"/>
  <c r="D53" i="3"/>
  <c r="C53" i="3"/>
  <c r="N52" i="3"/>
  <c r="L52" i="3"/>
  <c r="K52" i="3"/>
  <c r="J52" i="3"/>
  <c r="I52" i="3"/>
  <c r="H52" i="3"/>
  <c r="G52" i="3"/>
  <c r="F52" i="3"/>
  <c r="E52" i="3"/>
  <c r="D52" i="3"/>
  <c r="C52" i="3"/>
  <c r="M51" i="3"/>
  <c r="L51" i="3"/>
  <c r="K51" i="3"/>
  <c r="J51" i="3"/>
  <c r="I51" i="3"/>
  <c r="H51" i="3"/>
  <c r="G51" i="3"/>
  <c r="F51" i="3"/>
  <c r="E51" i="3"/>
  <c r="D51" i="3"/>
  <c r="C51" i="3"/>
  <c r="L50" i="3"/>
  <c r="K50" i="3"/>
  <c r="J50" i="3"/>
  <c r="I50" i="3"/>
  <c r="H50" i="3"/>
  <c r="G50" i="3"/>
  <c r="F50" i="3"/>
  <c r="E50" i="3"/>
  <c r="D50" i="3"/>
  <c r="C50" i="3"/>
  <c r="L49" i="3"/>
  <c r="K49" i="3"/>
  <c r="J49" i="3"/>
  <c r="I49" i="3"/>
  <c r="H49" i="3"/>
  <c r="G49" i="3"/>
  <c r="F49" i="3"/>
  <c r="E49" i="3"/>
  <c r="D49" i="3"/>
  <c r="C49" i="3"/>
  <c r="N48" i="3"/>
  <c r="K48" i="3"/>
  <c r="J48" i="3"/>
  <c r="I48" i="3"/>
  <c r="H48" i="3"/>
  <c r="F48" i="3"/>
  <c r="E48" i="3"/>
  <c r="D48" i="3"/>
  <c r="C48" i="3"/>
  <c r="N47" i="3"/>
  <c r="M47" i="3"/>
  <c r="K47" i="3"/>
  <c r="J47" i="3"/>
  <c r="I47" i="3"/>
  <c r="H47" i="3"/>
  <c r="F47" i="3"/>
  <c r="E47" i="3"/>
  <c r="D47" i="3"/>
  <c r="C47" i="3"/>
  <c r="N46" i="3"/>
  <c r="L46" i="3"/>
  <c r="K46" i="3"/>
  <c r="J46" i="3"/>
  <c r="I46" i="3"/>
  <c r="H46" i="3"/>
  <c r="G46" i="3"/>
  <c r="F46" i="3"/>
  <c r="E46" i="3"/>
  <c r="D46" i="3"/>
  <c r="C46" i="3"/>
  <c r="N45" i="3"/>
  <c r="L45" i="3"/>
  <c r="K45" i="3"/>
  <c r="J45" i="3"/>
  <c r="I45" i="3"/>
  <c r="H45" i="3"/>
  <c r="G45" i="3"/>
  <c r="F45" i="3"/>
  <c r="E45" i="3"/>
  <c r="D45" i="3"/>
  <c r="C45" i="3"/>
  <c r="M44" i="3"/>
  <c r="L44" i="3"/>
  <c r="K44" i="3"/>
  <c r="J44" i="3"/>
  <c r="I44" i="3"/>
  <c r="H44" i="3"/>
  <c r="G44" i="3"/>
  <c r="F44" i="3"/>
  <c r="E44" i="3"/>
  <c r="D44" i="3"/>
  <c r="C44" i="3"/>
  <c r="N43" i="3"/>
  <c r="K43" i="3"/>
  <c r="J43" i="3"/>
  <c r="I43" i="3"/>
  <c r="H43" i="3"/>
  <c r="F43" i="3"/>
  <c r="E43" i="3"/>
  <c r="D43" i="3"/>
  <c r="C43" i="3"/>
  <c r="M42" i="3"/>
  <c r="K42" i="3"/>
  <c r="J42" i="3"/>
  <c r="I42" i="3"/>
  <c r="H42" i="3"/>
  <c r="F42" i="3"/>
  <c r="E42" i="3"/>
  <c r="D42" i="3"/>
  <c r="C42" i="3"/>
  <c r="N41" i="3"/>
  <c r="L41" i="3"/>
  <c r="K41" i="3"/>
  <c r="J41" i="3"/>
  <c r="I41" i="3"/>
  <c r="H41" i="3"/>
  <c r="G41" i="3"/>
  <c r="F41" i="3"/>
  <c r="E41" i="3"/>
  <c r="D41" i="3"/>
  <c r="C41" i="3"/>
  <c r="N40" i="3"/>
  <c r="L40" i="3"/>
  <c r="K40" i="3"/>
  <c r="J40" i="3"/>
  <c r="I40" i="3"/>
  <c r="H40" i="3"/>
  <c r="G40" i="3"/>
  <c r="F40" i="3"/>
  <c r="E40" i="3"/>
  <c r="D40" i="3"/>
  <c r="C40" i="3"/>
  <c r="M39" i="3"/>
  <c r="L39" i="3"/>
  <c r="K39" i="3"/>
  <c r="J39" i="3"/>
  <c r="I39" i="3"/>
  <c r="H39" i="3"/>
  <c r="G39" i="3"/>
  <c r="F39" i="3"/>
  <c r="E39" i="3"/>
  <c r="D39" i="3"/>
  <c r="C39" i="3"/>
  <c r="M38" i="3"/>
  <c r="L38" i="3"/>
  <c r="K38" i="3"/>
  <c r="J38" i="3"/>
  <c r="I38" i="3"/>
  <c r="H38" i="3"/>
  <c r="G38" i="3"/>
  <c r="F38" i="3"/>
  <c r="E38" i="3"/>
  <c r="D38" i="3"/>
  <c r="C38" i="3"/>
  <c r="M37" i="3"/>
  <c r="L37" i="3"/>
  <c r="K37" i="3"/>
  <c r="J37" i="3"/>
  <c r="I37" i="3"/>
  <c r="H37" i="3"/>
  <c r="G37" i="3"/>
  <c r="F37" i="3"/>
  <c r="E37" i="3"/>
  <c r="D37" i="3"/>
  <c r="C37" i="3"/>
  <c r="N36" i="3"/>
  <c r="L36" i="3"/>
  <c r="K36" i="3"/>
  <c r="J36" i="3"/>
  <c r="I36" i="3"/>
  <c r="H36" i="3"/>
  <c r="G36" i="3"/>
  <c r="F36" i="3"/>
  <c r="E36" i="3"/>
  <c r="D36" i="3"/>
  <c r="C36" i="3"/>
  <c r="M35" i="3"/>
  <c r="L35" i="3"/>
  <c r="K35" i="3"/>
  <c r="J35" i="3"/>
  <c r="I35" i="3"/>
  <c r="H35" i="3"/>
  <c r="G35" i="3"/>
  <c r="F35" i="3"/>
  <c r="E35" i="3"/>
  <c r="D35" i="3"/>
  <c r="C35" i="3"/>
  <c r="N34" i="3"/>
  <c r="L34" i="3"/>
  <c r="K34" i="3"/>
  <c r="J34" i="3"/>
  <c r="I34" i="3"/>
  <c r="H34" i="3"/>
  <c r="G34" i="3"/>
  <c r="F34" i="3"/>
  <c r="E34" i="3"/>
  <c r="D34" i="3"/>
  <c r="C34" i="3"/>
  <c r="M33" i="3"/>
  <c r="L33" i="3"/>
  <c r="K33" i="3"/>
  <c r="J33" i="3"/>
  <c r="I33" i="3"/>
  <c r="H33" i="3"/>
  <c r="G33" i="3"/>
  <c r="F33" i="3"/>
  <c r="E33" i="3"/>
  <c r="D33" i="3"/>
  <c r="C33" i="3"/>
  <c r="M32" i="3"/>
  <c r="L32" i="3"/>
  <c r="K32" i="3"/>
  <c r="J32" i="3"/>
  <c r="I32" i="3"/>
  <c r="H32" i="3"/>
  <c r="G32" i="3"/>
  <c r="F32" i="3"/>
  <c r="E32" i="3"/>
  <c r="D32" i="3"/>
  <c r="C32" i="3"/>
  <c r="B13" i="3" s="1" a="1"/>
  <c r="M31" i="3"/>
  <c r="L31" i="3"/>
  <c r="K31" i="3"/>
  <c r="J31" i="3"/>
  <c r="I31" i="3"/>
  <c r="H31" i="3"/>
  <c r="G31" i="3"/>
  <c r="F31" i="3"/>
  <c r="E31" i="3"/>
  <c r="D31" i="3"/>
  <c r="C31" i="3"/>
  <c r="N30" i="3"/>
  <c r="K30" i="3"/>
  <c r="J30" i="3"/>
  <c r="I30" i="3"/>
  <c r="H30" i="3"/>
  <c r="F30" i="3"/>
  <c r="E30" i="3"/>
  <c r="D30" i="3"/>
  <c r="C30" i="3"/>
  <c r="N29" i="3"/>
  <c r="L29" i="3"/>
  <c r="K29" i="3"/>
  <c r="J29" i="3"/>
  <c r="I29" i="3"/>
  <c r="H29" i="3"/>
  <c r="G29" i="3"/>
  <c r="F29" i="3"/>
  <c r="E29" i="3"/>
  <c r="D29" i="3"/>
  <c r="C29" i="3"/>
  <c r="N28" i="3"/>
  <c r="M28" i="3"/>
  <c r="L28" i="3"/>
  <c r="K28" i="3"/>
  <c r="J28" i="3"/>
  <c r="I28" i="3"/>
  <c r="H28" i="3"/>
  <c r="G28" i="3"/>
  <c r="F28" i="3"/>
  <c r="E28" i="3"/>
  <c r="D28" i="3"/>
  <c r="C28" i="3"/>
  <c r="M27" i="3"/>
  <c r="L27" i="3"/>
  <c r="K27" i="3"/>
  <c r="J27" i="3"/>
  <c r="I27" i="3"/>
  <c r="H27" i="3"/>
  <c r="G27" i="3"/>
  <c r="F27" i="3"/>
  <c r="E27" i="3"/>
  <c r="D27" i="3"/>
  <c r="C27" i="3"/>
  <c r="M26" i="3"/>
  <c r="K26" i="3"/>
  <c r="J26" i="3"/>
  <c r="I26" i="3"/>
  <c r="H26" i="3"/>
  <c r="F26" i="3"/>
  <c r="E26" i="3"/>
  <c r="D26" i="3"/>
  <c r="C26" i="3"/>
  <c r="M25" i="3"/>
  <c r="L25" i="3"/>
  <c r="K25" i="3"/>
  <c r="J25" i="3"/>
  <c r="I25" i="3"/>
  <c r="H25" i="3"/>
  <c r="G25" i="3"/>
  <c r="F25" i="3"/>
  <c r="E25" i="3"/>
  <c r="D25" i="3"/>
  <c r="C25" i="3"/>
  <c r="M24" i="3"/>
  <c r="L24" i="3"/>
  <c r="K24" i="3"/>
  <c r="J24" i="3"/>
  <c r="I24" i="3"/>
  <c r="H24" i="3"/>
  <c r="G24" i="3"/>
  <c r="F24" i="3"/>
  <c r="E24" i="3"/>
  <c r="D24" i="3"/>
  <c r="C24" i="3"/>
  <c r="N23" i="3"/>
  <c r="M23" i="3"/>
  <c r="L23" i="3"/>
  <c r="K23" i="3"/>
  <c r="J23" i="3"/>
  <c r="I23" i="3"/>
  <c r="H23" i="3"/>
  <c r="G23" i="3"/>
  <c r="F23" i="3"/>
  <c r="E23" i="3"/>
  <c r="D23" i="3"/>
  <c r="C23" i="3"/>
  <c r="N22" i="3"/>
  <c r="K22" i="3"/>
  <c r="J22" i="3"/>
  <c r="I22" i="3"/>
  <c r="H22" i="3"/>
  <c r="F22" i="3"/>
  <c r="E22" i="3"/>
  <c r="D22" i="3"/>
  <c r="C22" i="3"/>
  <c r="M21" i="3"/>
  <c r="L21" i="3"/>
  <c r="K21" i="3"/>
  <c r="J21" i="3"/>
  <c r="I21" i="3"/>
  <c r="H21" i="3"/>
  <c r="G21" i="3"/>
  <c r="F21" i="3"/>
  <c r="E21" i="3"/>
  <c r="D21" i="3"/>
  <c r="C21" i="3"/>
  <c r="M20" i="3"/>
  <c r="L20" i="3"/>
  <c r="K20" i="3"/>
  <c r="J20" i="3"/>
  <c r="I20" i="3"/>
  <c r="H20" i="3"/>
  <c r="G20" i="3"/>
  <c r="F20" i="3"/>
  <c r="E20" i="3"/>
  <c r="D20" i="3"/>
  <c r="C20" i="3"/>
  <c r="N19" i="3"/>
  <c r="L19" i="3"/>
  <c r="K19" i="3"/>
  <c r="J19" i="3"/>
  <c r="I19" i="3"/>
  <c r="H19" i="3"/>
  <c r="G19" i="3"/>
  <c r="F19" i="3"/>
  <c r="E19" i="3"/>
  <c r="D19" i="3"/>
  <c r="C19" i="3"/>
  <c r="N18" i="3"/>
  <c r="K18" i="3"/>
  <c r="J18" i="3"/>
  <c r="I18" i="3"/>
  <c r="H18" i="3"/>
  <c r="F18" i="3"/>
  <c r="E18" i="3"/>
  <c r="D18" i="3"/>
  <c r="C18" i="3"/>
  <c r="N17" i="3"/>
  <c r="M17" i="3"/>
  <c r="L17" i="3"/>
  <c r="K17" i="3"/>
  <c r="J17" i="3"/>
  <c r="I17" i="3"/>
  <c r="H17" i="3"/>
  <c r="G17" i="3"/>
  <c r="F17" i="3"/>
  <c r="E17" i="3"/>
  <c r="D17" i="3"/>
  <c r="C17" i="3"/>
  <c r="M16" i="3"/>
  <c r="K16" i="3"/>
  <c r="J16" i="3"/>
  <c r="I16" i="3"/>
  <c r="H16" i="3"/>
  <c r="F16" i="3"/>
  <c r="E16" i="3"/>
  <c r="D16" i="3"/>
  <c r="C16" i="3"/>
  <c r="N15" i="3"/>
  <c r="M15" i="3"/>
  <c r="K15" i="3"/>
  <c r="J15" i="3"/>
  <c r="I15" i="3"/>
  <c r="H15" i="3"/>
  <c r="F15" i="3"/>
  <c r="E15" i="3"/>
  <c r="D15" i="3"/>
  <c r="C15" i="3"/>
  <c r="M14" i="3"/>
  <c r="L14" i="3"/>
  <c r="K14" i="3"/>
  <c r="J14" i="3"/>
  <c r="I14" i="3"/>
  <c r="H14" i="3"/>
  <c r="G14" i="3"/>
  <c r="F14" i="3"/>
  <c r="E14" i="3"/>
  <c r="D14" i="3"/>
  <c r="C14" i="3"/>
  <c r="K13" i="3"/>
  <c r="J13" i="3"/>
  <c r="I13" i="3"/>
  <c r="H13" i="3"/>
  <c r="F13" i="3"/>
  <c r="E13" i="3"/>
  <c r="D13" i="3"/>
  <c r="C13" i="3"/>
  <c r="B2248" i="3" l="1"/>
  <c r="B2236" i="3"/>
  <c r="B2224" i="3"/>
  <c r="B2212" i="3"/>
  <c r="B2200" i="3"/>
  <c r="B2188" i="3"/>
  <c r="B2176" i="3"/>
  <c r="B2164" i="3"/>
  <c r="B2152" i="3"/>
  <c r="B2140" i="3"/>
  <c r="B2128" i="3"/>
  <c r="B2116" i="3"/>
  <c r="B2104" i="3"/>
  <c r="B2092" i="3"/>
  <c r="B2080" i="3"/>
  <c r="B2068" i="3"/>
  <c r="B2056" i="3"/>
  <c r="B2044" i="3"/>
  <c r="B2032" i="3"/>
  <c r="B2020" i="3"/>
  <c r="B2008" i="3"/>
  <c r="B1996" i="3"/>
  <c r="B1984" i="3"/>
  <c r="B2246" i="3"/>
  <c r="B2244" i="3"/>
  <c r="B2243" i="3"/>
  <c r="B2242" i="3"/>
  <c r="B2241" i="3"/>
  <c r="B2252" i="3"/>
  <c r="B2240" i="3"/>
  <c r="B2228" i="3"/>
  <c r="B2216" i="3"/>
  <c r="B2204" i="3"/>
  <c r="B2192" i="3"/>
  <c r="B2180" i="3"/>
  <c r="B2168" i="3"/>
  <c r="B2156" i="3"/>
  <c r="B2144" i="3"/>
  <c r="B2132" i="3"/>
  <c r="B2120" i="3"/>
  <c r="B2108" i="3"/>
  <c r="B2096" i="3"/>
  <c r="B2084" i="3"/>
  <c r="B2072" i="3"/>
  <c r="B2060" i="3"/>
  <c r="B2048" i="3"/>
  <c r="B2036" i="3"/>
  <c r="B2024" i="3"/>
  <c r="B2012" i="3"/>
  <c r="B2000" i="3"/>
  <c r="B1988" i="3"/>
  <c r="B1976" i="3"/>
  <c r="B1964" i="3"/>
  <c r="B1952" i="3"/>
  <c r="B1940" i="3"/>
  <c r="B1928" i="3"/>
  <c r="B1916" i="3"/>
  <c r="B1904" i="3"/>
  <c r="B1892" i="3"/>
  <c r="B1880" i="3"/>
  <c r="B1868" i="3"/>
  <c r="B1856" i="3"/>
  <c r="B1844" i="3"/>
  <c r="B1832" i="3"/>
  <c r="B1820" i="3"/>
  <c r="B1808" i="3"/>
  <c r="B1796" i="3"/>
  <c r="B1784" i="3"/>
  <c r="B1772" i="3"/>
  <c r="B1760" i="3"/>
  <c r="B1748" i="3"/>
  <c r="B1736" i="3"/>
  <c r="B1724" i="3"/>
  <c r="B1712" i="3"/>
  <c r="B1700" i="3"/>
  <c r="B1688" i="3"/>
  <c r="B1676" i="3"/>
  <c r="B1664" i="3"/>
  <c r="B1652" i="3"/>
  <c r="B1640" i="3"/>
  <c r="B1628" i="3"/>
  <c r="B1616" i="3"/>
  <c r="B1604" i="3"/>
  <c r="B1592" i="3"/>
  <c r="B1580" i="3"/>
  <c r="B1568" i="3"/>
  <c r="B1556" i="3"/>
  <c r="B1544" i="3"/>
  <c r="B1532" i="3"/>
  <c r="B1520" i="3"/>
  <c r="B1508" i="3"/>
  <c r="B1496" i="3"/>
  <c r="B1484" i="3"/>
  <c r="B1472" i="3"/>
  <c r="B1460" i="3"/>
  <c r="B1448" i="3"/>
  <c r="B1436" i="3"/>
  <c r="B1424" i="3"/>
  <c r="B2250" i="3"/>
  <c r="B2238" i="3"/>
  <c r="B2226" i="3"/>
  <c r="B2214" i="3"/>
  <c r="B2202" i="3"/>
  <c r="B2190" i="3"/>
  <c r="B2178" i="3"/>
  <c r="B2166" i="3"/>
  <c r="B2154" i="3"/>
  <c r="B2142" i="3"/>
  <c r="B2130" i="3"/>
  <c r="B2118" i="3"/>
  <c r="B2106" i="3"/>
  <c r="B2094" i="3"/>
  <c r="B2082" i="3"/>
  <c r="B2070" i="3"/>
  <c r="B2058" i="3"/>
  <c r="B2046" i="3"/>
  <c r="B2034" i="3"/>
  <c r="B2022" i="3"/>
  <c r="B2010" i="3"/>
  <c r="B1998" i="3"/>
  <c r="B1986" i="3"/>
  <c r="B1974" i="3"/>
  <c r="B1962" i="3"/>
  <c r="B1950" i="3"/>
  <c r="B1938" i="3"/>
  <c r="B1926" i="3"/>
  <c r="B1914" i="3"/>
  <c r="B1902" i="3"/>
  <c r="B1890" i="3"/>
  <c r="B1878" i="3"/>
  <c r="B1866" i="3"/>
  <c r="B1854" i="3"/>
  <c r="B1842" i="3"/>
  <c r="B1830" i="3"/>
  <c r="B1818" i="3"/>
  <c r="B1806" i="3"/>
  <c r="B1794" i="3"/>
  <c r="B1782" i="3"/>
  <c r="B1770" i="3"/>
  <c r="B1758" i="3"/>
  <c r="B1746" i="3"/>
  <c r="B1734" i="3"/>
  <c r="B1722" i="3"/>
  <c r="B1710" i="3"/>
  <c r="B1698" i="3"/>
  <c r="B1686" i="3"/>
  <c r="B1674" i="3"/>
  <c r="B1662" i="3"/>
  <c r="B1650" i="3"/>
  <c r="B1638" i="3"/>
  <c r="B1626" i="3"/>
  <c r="B1614" i="3"/>
  <c r="B1602" i="3"/>
  <c r="B1590" i="3"/>
  <c r="B1578" i="3"/>
  <c r="B1566" i="3"/>
  <c r="B1554" i="3"/>
  <c r="B1542" i="3"/>
  <c r="B1530" i="3"/>
  <c r="B1518" i="3"/>
  <c r="B1506" i="3"/>
  <c r="B1494" i="3"/>
  <c r="B1482" i="3"/>
  <c r="B1470" i="3"/>
  <c r="B1458" i="3"/>
  <c r="B1446" i="3"/>
  <c r="B1434" i="3"/>
  <c r="B1422" i="3"/>
  <c r="B1410" i="3"/>
  <c r="B1398" i="3"/>
  <c r="B1386" i="3"/>
  <c r="B1374" i="3"/>
  <c r="B1362" i="3"/>
  <c r="B1350" i="3"/>
  <c r="B1338" i="3"/>
  <c r="B1326" i="3"/>
  <c r="B1314" i="3"/>
  <c r="B1302" i="3"/>
  <c r="B1290" i="3"/>
  <c r="B1278" i="3"/>
  <c r="B1266" i="3"/>
  <c r="B1254" i="3"/>
  <c r="B1242" i="3"/>
  <c r="B2249" i="3"/>
  <c r="B2237" i="3"/>
  <c r="B2221" i="3"/>
  <c r="B2206" i="3"/>
  <c r="B2189" i="3"/>
  <c r="B2173" i="3"/>
  <c r="B2158" i="3"/>
  <c r="B2141" i="3"/>
  <c r="B2125" i="3"/>
  <c r="B2110" i="3"/>
  <c r="B2093" i="3"/>
  <c r="B2077" i="3"/>
  <c r="B2062" i="3"/>
  <c r="B2045" i="3"/>
  <c r="B2029" i="3"/>
  <c r="B2014" i="3"/>
  <c r="B1997" i="3"/>
  <c r="B1981" i="3"/>
  <c r="B1967" i="3"/>
  <c r="B1953" i="3"/>
  <c r="B1937" i="3"/>
  <c r="B1923" i="3"/>
  <c r="B1909" i="3"/>
  <c r="B1895" i="3"/>
  <c r="B1881" i="3"/>
  <c r="B1865" i="3"/>
  <c r="B1851" i="3"/>
  <c r="B1837" i="3"/>
  <c r="B1823" i="3"/>
  <c r="B1809" i="3"/>
  <c r="B1793" i="3"/>
  <c r="B1779" i="3"/>
  <c r="B1765" i="3"/>
  <c r="B1751" i="3"/>
  <c r="B1737" i="3"/>
  <c r="B1721" i="3"/>
  <c r="B1707" i="3"/>
  <c r="B1693" i="3"/>
  <c r="B1679" i="3"/>
  <c r="B1665" i="3"/>
  <c r="B1649" i="3"/>
  <c r="B1635" i="3"/>
  <c r="B1621" i="3"/>
  <c r="B1607" i="3"/>
  <c r="B1593" i="3"/>
  <c r="B1577" i="3"/>
  <c r="B1563" i="3"/>
  <c r="B1549" i="3"/>
  <c r="B1535" i="3"/>
  <c r="B1521" i="3"/>
  <c r="B1505" i="3"/>
  <c r="B1491" i="3"/>
  <c r="B1477" i="3"/>
  <c r="B1463" i="3"/>
  <c r="B1449" i="3"/>
  <c r="B1433" i="3"/>
  <c r="B1419" i="3"/>
  <c r="B1406" i="3"/>
  <c r="B1393" i="3"/>
  <c r="B1380" i="3"/>
  <c r="B1367" i="3"/>
  <c r="B1354" i="3"/>
  <c r="B1341" i="3"/>
  <c r="B1328" i="3"/>
  <c r="B1315" i="3"/>
  <c r="B1301" i="3"/>
  <c r="B1288" i="3"/>
  <c r="B1275" i="3"/>
  <c r="B1262" i="3"/>
  <c r="B1249" i="3"/>
  <c r="B1236" i="3"/>
  <c r="B1224" i="3"/>
  <c r="B1212" i="3"/>
  <c r="B1200" i="3"/>
  <c r="B1188" i="3"/>
  <c r="B1176" i="3"/>
  <c r="B1164" i="3"/>
  <c r="B1152" i="3"/>
  <c r="B1140" i="3"/>
  <c r="B1128" i="3"/>
  <c r="B1116" i="3"/>
  <c r="B1104" i="3"/>
  <c r="B1092" i="3"/>
  <c r="B1080" i="3"/>
  <c r="B1068" i="3"/>
  <c r="B1056" i="3"/>
  <c r="B2234" i="3"/>
  <c r="B2219" i="3"/>
  <c r="B2203" i="3"/>
  <c r="B2186" i="3"/>
  <c r="B2171" i="3"/>
  <c r="B2155" i="3"/>
  <c r="B2138" i="3"/>
  <c r="B2123" i="3"/>
  <c r="B2107" i="3"/>
  <c r="B2090" i="3"/>
  <c r="B2075" i="3"/>
  <c r="B2059" i="3"/>
  <c r="B2042" i="3"/>
  <c r="B2027" i="3"/>
  <c r="B2011" i="3"/>
  <c r="B1994" i="3"/>
  <c r="B1979" i="3"/>
  <c r="B1965" i="3"/>
  <c r="B1949" i="3"/>
  <c r="B1935" i="3"/>
  <c r="B1921" i="3"/>
  <c r="B1907" i="3"/>
  <c r="B1893" i="3"/>
  <c r="B1877" i="3"/>
  <c r="B1863" i="3"/>
  <c r="B1849" i="3"/>
  <c r="B1835" i="3"/>
  <c r="B1821" i="3"/>
  <c r="B1805" i="3"/>
  <c r="B1791" i="3"/>
  <c r="B1777" i="3"/>
  <c r="B1763" i="3"/>
  <c r="B1749" i="3"/>
  <c r="B1733" i="3"/>
  <c r="B1719" i="3"/>
  <c r="B1705" i="3"/>
  <c r="B1691" i="3"/>
  <c r="B1677" i="3"/>
  <c r="B1661" i="3"/>
  <c r="B1647" i="3"/>
  <c r="B1633" i="3"/>
  <c r="B1619" i="3"/>
  <c r="B1605" i="3"/>
  <c r="B1589" i="3"/>
  <c r="B1575" i="3"/>
  <c r="B1561" i="3"/>
  <c r="B1547" i="3"/>
  <c r="B1533" i="3"/>
  <c r="B1517" i="3"/>
  <c r="B1503" i="3"/>
  <c r="B1489" i="3"/>
  <c r="B1475" i="3"/>
  <c r="B1461" i="3"/>
  <c r="B1445" i="3"/>
  <c r="B1431" i="3"/>
  <c r="B1417" i="3"/>
  <c r="B1404" i="3"/>
  <c r="B1391" i="3"/>
  <c r="B1378" i="3"/>
  <c r="B1365" i="3"/>
  <c r="B1352" i="3"/>
  <c r="B1339" i="3"/>
  <c r="B1325" i="3"/>
  <c r="B1312" i="3"/>
  <c r="B1299" i="3"/>
  <c r="B1286" i="3"/>
  <c r="B1273" i="3"/>
  <c r="B1260" i="3"/>
  <c r="B1247" i="3"/>
  <c r="B1234" i="3"/>
  <c r="B1222" i="3"/>
  <c r="B1210" i="3"/>
  <c r="B1198" i="3"/>
  <c r="B1186" i="3"/>
  <c r="B1174" i="3"/>
  <c r="B1162" i="3"/>
  <c r="B1150" i="3"/>
  <c r="B1138" i="3"/>
  <c r="B1126" i="3"/>
  <c r="B1114" i="3"/>
  <c r="B1102" i="3"/>
  <c r="B1090" i="3"/>
  <c r="B1078" i="3"/>
  <c r="B1066" i="3"/>
  <c r="B1054" i="3"/>
  <c r="B2232" i="3"/>
  <c r="B2217" i="3"/>
  <c r="B2199" i="3"/>
  <c r="B2184" i="3"/>
  <c r="B2169" i="3"/>
  <c r="B2151" i="3"/>
  <c r="B2136" i="3"/>
  <c r="B2121" i="3"/>
  <c r="B2103" i="3"/>
  <c r="B2088" i="3"/>
  <c r="B2073" i="3"/>
  <c r="B2055" i="3"/>
  <c r="B2040" i="3"/>
  <c r="B2025" i="3"/>
  <c r="B2007" i="3"/>
  <c r="B1992" i="3"/>
  <c r="B1977" i="3"/>
  <c r="B1961" i="3"/>
  <c r="B1947" i="3"/>
  <c r="B1933" i="3"/>
  <c r="B1919" i="3"/>
  <c r="B1905" i="3"/>
  <c r="B1889" i="3"/>
  <c r="B1875" i="3"/>
  <c r="B1861" i="3"/>
  <c r="B1847" i="3"/>
  <c r="B1833" i="3"/>
  <c r="B1817" i="3"/>
  <c r="B1803" i="3"/>
  <c r="B1789" i="3"/>
  <c r="B1775" i="3"/>
  <c r="B1761" i="3"/>
  <c r="B1745" i="3"/>
  <c r="B1731" i="3"/>
  <c r="B1717" i="3"/>
  <c r="B1703" i="3"/>
  <c r="B1689" i="3"/>
  <c r="B1673" i="3"/>
  <c r="B1659" i="3"/>
  <c r="B1645" i="3"/>
  <c r="B1631" i="3"/>
  <c r="B1617" i="3"/>
  <c r="B1601" i="3"/>
  <c r="B1587" i="3"/>
  <c r="B1573" i="3"/>
  <c r="B1559" i="3"/>
  <c r="B1545" i="3"/>
  <c r="B1529" i="3"/>
  <c r="B1515" i="3"/>
  <c r="B1501" i="3"/>
  <c r="B1487" i="3"/>
  <c r="B1473" i="3"/>
  <c r="B1457" i="3"/>
  <c r="B1443" i="3"/>
  <c r="B1429" i="3"/>
  <c r="B1415" i="3"/>
  <c r="B1402" i="3"/>
  <c r="B1389" i="3"/>
  <c r="B1376" i="3"/>
  <c r="B1363" i="3"/>
  <c r="B1349" i="3"/>
  <c r="B1336" i="3"/>
  <c r="B1323" i="3"/>
  <c r="B1310" i="3"/>
  <c r="B1297" i="3"/>
  <c r="B1284" i="3"/>
  <c r="B1271" i="3"/>
  <c r="B1258" i="3"/>
  <c r="B1245" i="3"/>
  <c r="B1232" i="3"/>
  <c r="B1220" i="3"/>
  <c r="B1208" i="3"/>
  <c r="B1196" i="3"/>
  <c r="B1184" i="3"/>
  <c r="B1172" i="3"/>
  <c r="B1160" i="3"/>
  <c r="B1148" i="3"/>
  <c r="B1136" i="3"/>
  <c r="B1124" i="3"/>
  <c r="B1112" i="3"/>
  <c r="B1100" i="3"/>
  <c r="B1088" i="3"/>
  <c r="B1076" i="3"/>
  <c r="B1064" i="3"/>
  <c r="B2231" i="3"/>
  <c r="B2215" i="3"/>
  <c r="B2198" i="3"/>
  <c r="B2183" i="3"/>
  <c r="B2167" i="3"/>
  <c r="B2150" i="3"/>
  <c r="B2135" i="3"/>
  <c r="B2119" i="3"/>
  <c r="B2102" i="3"/>
  <c r="B2087" i="3"/>
  <c r="B2071" i="3"/>
  <c r="B2054" i="3"/>
  <c r="B2039" i="3"/>
  <c r="B2023" i="3"/>
  <c r="B2006" i="3"/>
  <c r="B1991" i="3"/>
  <c r="B1975" i="3"/>
  <c r="B1960" i="3"/>
  <c r="B1946" i="3"/>
  <c r="B1932" i="3"/>
  <c r="B1918" i="3"/>
  <c r="B1903" i="3"/>
  <c r="B1888" i="3"/>
  <c r="B2230" i="3"/>
  <c r="B2213" i="3"/>
  <c r="B2197" i="3"/>
  <c r="B2182" i="3"/>
  <c r="B2165" i="3"/>
  <c r="B2149" i="3"/>
  <c r="B2134" i="3"/>
  <c r="B2117" i="3"/>
  <c r="B2101" i="3"/>
  <c r="B2086" i="3"/>
  <c r="B2069" i="3"/>
  <c r="B2053" i="3"/>
  <c r="B2038" i="3"/>
  <c r="B2021" i="3"/>
  <c r="B2005" i="3"/>
  <c r="B1990" i="3"/>
  <c r="B1973" i="3"/>
  <c r="B1959" i="3"/>
  <c r="B1945" i="3"/>
  <c r="B1931" i="3"/>
  <c r="B1917" i="3"/>
  <c r="B1901" i="3"/>
  <c r="B1887" i="3"/>
  <c r="B1873" i="3"/>
  <c r="B1859" i="3"/>
  <c r="B1845" i="3"/>
  <c r="B1829" i="3"/>
  <c r="B1815" i="3"/>
  <c r="B1801" i="3"/>
  <c r="B1787" i="3"/>
  <c r="B1773" i="3"/>
  <c r="B1757" i="3"/>
  <c r="B1743" i="3"/>
  <c r="B1729" i="3"/>
  <c r="B1715" i="3"/>
  <c r="B1701" i="3"/>
  <c r="B1685" i="3"/>
  <c r="B1671" i="3"/>
  <c r="B1657" i="3"/>
  <c r="B1643" i="3"/>
  <c r="B1629" i="3"/>
  <c r="B1613" i="3"/>
  <c r="B1599" i="3"/>
  <c r="B1585" i="3"/>
  <c r="B1571" i="3"/>
  <c r="B1557" i="3"/>
  <c r="B1541" i="3"/>
  <c r="B1527" i="3"/>
  <c r="B1513" i="3"/>
  <c r="B1499" i="3"/>
  <c r="B1485" i="3"/>
  <c r="B1469" i="3"/>
  <c r="B1455" i="3"/>
  <c r="B1441" i="3"/>
  <c r="B1427" i="3"/>
  <c r="B1413" i="3"/>
  <c r="B1400" i="3"/>
  <c r="B1387" i="3"/>
  <c r="B1373" i="3"/>
  <c r="B1360" i="3"/>
  <c r="B1347" i="3"/>
  <c r="B1334" i="3"/>
  <c r="B1321" i="3"/>
  <c r="B1308" i="3"/>
  <c r="B1295" i="3"/>
  <c r="B1282" i="3"/>
  <c r="B1269" i="3"/>
  <c r="B1256" i="3"/>
  <c r="B1243" i="3"/>
  <c r="B1230" i="3"/>
  <c r="B1218" i="3"/>
  <c r="B1206" i="3"/>
  <c r="B2229" i="3"/>
  <c r="B2211" i="3"/>
  <c r="B2196" i="3"/>
  <c r="B2181" i="3"/>
  <c r="B2163" i="3"/>
  <c r="B2148" i="3"/>
  <c r="B2133" i="3"/>
  <c r="B2115" i="3"/>
  <c r="B2100" i="3"/>
  <c r="B2085" i="3"/>
  <c r="B2067" i="3"/>
  <c r="B2052" i="3"/>
  <c r="B2037" i="3"/>
  <c r="B2019" i="3"/>
  <c r="B2004" i="3"/>
  <c r="B1989" i="3"/>
  <c r="B1972" i="3"/>
  <c r="B1958" i="3"/>
  <c r="B1944" i="3"/>
  <c r="B1930" i="3"/>
  <c r="B1915" i="3"/>
  <c r="B1900" i="3"/>
  <c r="B1886" i="3"/>
  <c r="B1872" i="3"/>
  <c r="B1858" i="3"/>
  <c r="B1843" i="3"/>
  <c r="B1828" i="3"/>
  <c r="B1814" i="3"/>
  <c r="B1800" i="3"/>
  <c r="B1786" i="3"/>
  <c r="B1771" i="3"/>
  <c r="B1756" i="3"/>
  <c r="B1742" i="3"/>
  <c r="B1728" i="3"/>
  <c r="B1714" i="3"/>
  <c r="B1699" i="3"/>
  <c r="B1684" i="3"/>
  <c r="B1670" i="3"/>
  <c r="B1656" i="3"/>
  <c r="B1642" i="3"/>
  <c r="B1627" i="3"/>
  <c r="B1612" i="3"/>
  <c r="B1598" i="3"/>
  <c r="B1584" i="3"/>
  <c r="B1570" i="3"/>
  <c r="B1555" i="3"/>
  <c r="B1540" i="3"/>
  <c r="B1526" i="3"/>
  <c r="B1512" i="3"/>
  <c r="B1498" i="3"/>
  <c r="B1483" i="3"/>
  <c r="B1468" i="3"/>
  <c r="B1454" i="3"/>
  <c r="B1440" i="3"/>
  <c r="B1426" i="3"/>
  <c r="B1412" i="3"/>
  <c r="B1399" i="3"/>
  <c r="B1385" i="3"/>
  <c r="B1372" i="3"/>
  <c r="B1359" i="3"/>
  <c r="B1346" i="3"/>
  <c r="B1333" i="3"/>
  <c r="B1320" i="3"/>
  <c r="B1307" i="3"/>
  <c r="B1294" i="3"/>
  <c r="B1281" i="3"/>
  <c r="B1268" i="3"/>
  <c r="B1255" i="3"/>
  <c r="B1241" i="3"/>
  <c r="B2251" i="3"/>
  <c r="B2227" i="3"/>
  <c r="B2210" i="3"/>
  <c r="B2195" i="3"/>
  <c r="B2179" i="3"/>
  <c r="B2162" i="3"/>
  <c r="B2147" i="3"/>
  <c r="B2131" i="3"/>
  <c r="B2114" i="3"/>
  <c r="B2099" i="3"/>
  <c r="B2083" i="3"/>
  <c r="B2066" i="3"/>
  <c r="B2051" i="3"/>
  <c r="B2035" i="3"/>
  <c r="B2018" i="3"/>
  <c r="B2003" i="3"/>
  <c r="B1987" i="3"/>
  <c r="B1971" i="3"/>
  <c r="B1957" i="3"/>
  <c r="B1943" i="3"/>
  <c r="B1929" i="3"/>
  <c r="B1913" i="3"/>
  <c r="B1899" i="3"/>
  <c r="B1885" i="3"/>
  <c r="B1871" i="3"/>
  <c r="B1857" i="3"/>
  <c r="B1841" i="3"/>
  <c r="B1827" i="3"/>
  <c r="B1813" i="3"/>
  <c r="B1799" i="3"/>
  <c r="B1785" i="3"/>
  <c r="B1769" i="3"/>
  <c r="B1755" i="3"/>
  <c r="B1741" i="3"/>
  <c r="B1727" i="3"/>
  <c r="B1713" i="3"/>
  <c r="B1697" i="3"/>
  <c r="B1683" i="3"/>
  <c r="B1669" i="3"/>
  <c r="B1655" i="3"/>
  <c r="B1641" i="3"/>
  <c r="B1625" i="3"/>
  <c r="B1611" i="3"/>
  <c r="B1597" i="3"/>
  <c r="B1583" i="3"/>
  <c r="B1569" i="3"/>
  <c r="B1553" i="3"/>
  <c r="B1539" i="3"/>
  <c r="B1525" i="3"/>
  <c r="B1511" i="3"/>
  <c r="B1497" i="3"/>
  <c r="B1481" i="3"/>
  <c r="B1467" i="3"/>
  <c r="B1453" i="3"/>
  <c r="B1439" i="3"/>
  <c r="B1425" i="3"/>
  <c r="B1411" i="3"/>
  <c r="B1397" i="3"/>
  <c r="B1384" i="3"/>
  <c r="B1371" i="3"/>
  <c r="B1358" i="3"/>
  <c r="B1345" i="3"/>
  <c r="B1332" i="3"/>
  <c r="B1319" i="3"/>
  <c r="B1306" i="3"/>
  <c r="B1293" i="3"/>
  <c r="B1280" i="3"/>
  <c r="B1267" i="3"/>
  <c r="B1253" i="3"/>
  <c r="B1240" i="3"/>
  <c r="B1228" i="3"/>
  <c r="B1216" i="3"/>
  <c r="B1204" i="3"/>
  <c r="B1192" i="3"/>
  <c r="B1180" i="3"/>
  <c r="B1168" i="3"/>
  <c r="B2247" i="3"/>
  <c r="B2245" i="3"/>
  <c r="B2223" i="3"/>
  <c r="B2208" i="3"/>
  <c r="B2193" i="3"/>
  <c r="B2175" i="3"/>
  <c r="B2160" i="3"/>
  <c r="B2145" i="3"/>
  <c r="B2127" i="3"/>
  <c r="B2112" i="3"/>
  <c r="B2097" i="3"/>
  <c r="B2079" i="3"/>
  <c r="B2064" i="3"/>
  <c r="B2049" i="3"/>
  <c r="B2031" i="3"/>
  <c r="B2016" i="3"/>
  <c r="B2001" i="3"/>
  <c r="B1983" i="3"/>
  <c r="B1969" i="3"/>
  <c r="B1955" i="3"/>
  <c r="B1941" i="3"/>
  <c r="B1925" i="3"/>
  <c r="B1911" i="3"/>
  <c r="B1897" i="3"/>
  <c r="B1883" i="3"/>
  <c r="B1869" i="3"/>
  <c r="B1853" i="3"/>
  <c r="B1839" i="3"/>
  <c r="B1825" i="3"/>
  <c r="B1811" i="3"/>
  <c r="B1797" i="3"/>
  <c r="B1781" i="3"/>
  <c r="B1767" i="3"/>
  <c r="B1753" i="3"/>
  <c r="B1739" i="3"/>
  <c r="B1725" i="3"/>
  <c r="B1709" i="3"/>
  <c r="B1695" i="3"/>
  <c r="B1681" i="3"/>
  <c r="B1667" i="3"/>
  <c r="B1653" i="3"/>
  <c r="B1637" i="3"/>
  <c r="B1623" i="3"/>
  <c r="B1609" i="3"/>
  <c r="B1595" i="3"/>
  <c r="B1581" i="3"/>
  <c r="B1565" i="3"/>
  <c r="B1551" i="3"/>
  <c r="B1537" i="3"/>
  <c r="B1523" i="3"/>
  <c r="B1509" i="3"/>
  <c r="B1493" i="3"/>
  <c r="B1479" i="3"/>
  <c r="B1465" i="3"/>
  <c r="B1451" i="3"/>
  <c r="B1437" i="3"/>
  <c r="B1421" i="3"/>
  <c r="B1408" i="3"/>
  <c r="B1395" i="3"/>
  <c r="B1382" i="3"/>
  <c r="B1369" i="3"/>
  <c r="B1356" i="3"/>
  <c r="B1343" i="3"/>
  <c r="B1330" i="3"/>
  <c r="B1317" i="3"/>
  <c r="B1304" i="3"/>
  <c r="B1291" i="3"/>
  <c r="B1277" i="3"/>
  <c r="B1264" i="3"/>
  <c r="B1251" i="3"/>
  <c r="B1238" i="3"/>
  <c r="B1226" i="3"/>
  <c r="B1214" i="3"/>
  <c r="B1202" i="3"/>
  <c r="B1190" i="3"/>
  <c r="B1178" i="3"/>
  <c r="B1166" i="3"/>
  <c r="B1154" i="3"/>
  <c r="B1142" i="3"/>
  <c r="B1130" i="3"/>
  <c r="B1118" i="3"/>
  <c r="B1106" i="3"/>
  <c r="B1094" i="3"/>
  <c r="B1082" i="3"/>
  <c r="B1070" i="3"/>
  <c r="B1058" i="3"/>
  <c r="B1046" i="3"/>
  <c r="B1034" i="3"/>
  <c r="B1022" i="3"/>
  <c r="B1010" i="3"/>
  <c r="B2222" i="3"/>
  <c r="B2174" i="3"/>
  <c r="B2126" i="3"/>
  <c r="B2078" i="3"/>
  <c r="B2030" i="3"/>
  <c r="B1982" i="3"/>
  <c r="B1939" i="3"/>
  <c r="B1896" i="3"/>
  <c r="B1860" i="3"/>
  <c r="B1824" i="3"/>
  <c r="B1790" i="3"/>
  <c r="B1754" i="3"/>
  <c r="B1720" i="3"/>
  <c r="B1687" i="3"/>
  <c r="B1651" i="3"/>
  <c r="B1618" i="3"/>
  <c r="B1582" i="3"/>
  <c r="B1548" i="3"/>
  <c r="B1514" i="3"/>
  <c r="B1478" i="3"/>
  <c r="B1444" i="3"/>
  <c r="B1409" i="3"/>
  <c r="B1379" i="3"/>
  <c r="B1348" i="3"/>
  <c r="B1316" i="3"/>
  <c r="B1285" i="3"/>
  <c r="B1252" i="3"/>
  <c r="B1225" i="3"/>
  <c r="B1201" i="3"/>
  <c r="B1181" i="3"/>
  <c r="B1159" i="3"/>
  <c r="B1143" i="3"/>
  <c r="B1123" i="3"/>
  <c r="B1107" i="3"/>
  <c r="B1087" i="3"/>
  <c r="B1071" i="3"/>
  <c r="B1052" i="3"/>
  <c r="B1039" i="3"/>
  <c r="B1026" i="3"/>
  <c r="B1013" i="3"/>
  <c r="B1000" i="3"/>
  <c r="B988" i="3"/>
  <c r="B976" i="3"/>
  <c r="B964" i="3"/>
  <c r="B952" i="3"/>
  <c r="B940" i="3"/>
  <c r="B928" i="3"/>
  <c r="B916" i="3"/>
  <c r="B904" i="3"/>
  <c r="B892" i="3"/>
  <c r="B880" i="3"/>
  <c r="B868" i="3"/>
  <c r="B856" i="3"/>
  <c r="B844" i="3"/>
  <c r="B832" i="3"/>
  <c r="B820" i="3"/>
  <c r="B808" i="3"/>
  <c r="B796" i="3"/>
  <c r="B784" i="3"/>
  <c r="B772" i="3"/>
  <c r="B760" i="3"/>
  <c r="B748" i="3"/>
  <c r="B736" i="3"/>
  <c r="B724" i="3"/>
  <c r="B712" i="3"/>
  <c r="B700" i="3"/>
  <c r="B688" i="3"/>
  <c r="B676" i="3"/>
  <c r="B664" i="3"/>
  <c r="B652" i="3"/>
  <c r="B640" i="3"/>
  <c r="B628" i="3"/>
  <c r="B616" i="3"/>
  <c r="B604" i="3"/>
  <c r="B592" i="3"/>
  <c r="B580" i="3"/>
  <c r="B568" i="3"/>
  <c r="B556" i="3"/>
  <c r="B544" i="3"/>
  <c r="B532" i="3"/>
  <c r="B520" i="3"/>
  <c r="B508" i="3"/>
  <c r="B496" i="3"/>
  <c r="B484" i="3"/>
  <c r="B472" i="3"/>
  <c r="B2218" i="3"/>
  <c r="B2170" i="3"/>
  <c r="B2122" i="3"/>
  <c r="B2074" i="3"/>
  <c r="B2026" i="3"/>
  <c r="B1978" i="3"/>
  <c r="B1934" i="3"/>
  <c r="B1891" i="3"/>
  <c r="B1852" i="3"/>
  <c r="B1819" i="3"/>
  <c r="B1783" i="3"/>
  <c r="B1750" i="3"/>
  <c r="B1716" i="3"/>
  <c r="B1680" i="3"/>
  <c r="B1646" i="3"/>
  <c r="B1610" i="3"/>
  <c r="B1576" i="3"/>
  <c r="B1543" i="3"/>
  <c r="B1507" i="3"/>
  <c r="B1474" i="3"/>
  <c r="B1438" i="3"/>
  <c r="B1405" i="3"/>
  <c r="B1375" i="3"/>
  <c r="B1342" i="3"/>
  <c r="B2207" i="3"/>
  <c r="B2159" i="3"/>
  <c r="B2111" i="3"/>
  <c r="B2063" i="3"/>
  <c r="B2015" i="3"/>
  <c r="B1968" i="3"/>
  <c r="B1924" i="3"/>
  <c r="B1882" i="3"/>
  <c r="B1848" i="3"/>
  <c r="B1812" i="3"/>
  <c r="B2201" i="3"/>
  <c r="B2153" i="3"/>
  <c r="B2105" i="3"/>
  <c r="B2057" i="3"/>
  <c r="B2009" i="3"/>
  <c r="B1963" i="3"/>
  <c r="B1920" i="3"/>
  <c r="B1876" i="3"/>
  <c r="B1840" i="3"/>
  <c r="B1807" i="3"/>
  <c r="B1774" i="3"/>
  <c r="B1738" i="3"/>
  <c r="B1704" i="3"/>
  <c r="B1668" i="3"/>
  <c r="B1634" i="3"/>
  <c r="B1600" i="3"/>
  <c r="B1564" i="3"/>
  <c r="B1531" i="3"/>
  <c r="B1495" i="3"/>
  <c r="B1462" i="3"/>
  <c r="B1428" i="3"/>
  <c r="B1394" i="3"/>
  <c r="B1364" i="3"/>
  <c r="B2220" i="3"/>
  <c r="B2143" i="3"/>
  <c r="B2076" i="3"/>
  <c r="B1999" i="3"/>
  <c r="B1936" i="3"/>
  <c r="B1870" i="3"/>
  <c r="B1822" i="3"/>
  <c r="B1768" i="3"/>
  <c r="B1726" i="3"/>
  <c r="B1678" i="3"/>
  <c r="B1632" i="3"/>
  <c r="B1588" i="3"/>
  <c r="B1538" i="3"/>
  <c r="B1492" i="3"/>
  <c r="B1450" i="3"/>
  <c r="B1403" i="3"/>
  <c r="B1361" i="3"/>
  <c r="B1324" i="3"/>
  <c r="B1289" i="3"/>
  <c r="B1257" i="3"/>
  <c r="B1223" i="3"/>
  <c r="B1197" i="3"/>
  <c r="B1175" i="3"/>
  <c r="B1155" i="3"/>
  <c r="B1134" i="3"/>
  <c r="B1115" i="3"/>
  <c r="B1096" i="3"/>
  <c r="B1075" i="3"/>
  <c r="B1057" i="3"/>
  <c r="B1041" i="3"/>
  <c r="B1027" i="3"/>
  <c r="B1012" i="3"/>
  <c r="B998" i="3"/>
  <c r="B985" i="3"/>
  <c r="B972" i="3"/>
  <c r="B959" i="3"/>
  <c r="B946" i="3"/>
  <c r="B933" i="3"/>
  <c r="B920" i="3"/>
  <c r="B907" i="3"/>
  <c r="B894" i="3"/>
  <c r="B881" i="3"/>
  <c r="B867" i="3"/>
  <c r="B854" i="3"/>
  <c r="B841" i="3"/>
  <c r="B828" i="3"/>
  <c r="B815" i="3"/>
  <c r="B802" i="3"/>
  <c r="B789" i="3"/>
  <c r="B776" i="3"/>
  <c r="B763" i="3"/>
  <c r="B750" i="3"/>
  <c r="B737" i="3"/>
  <c r="B723" i="3"/>
  <c r="B710" i="3"/>
  <c r="B697" i="3"/>
  <c r="B684" i="3"/>
  <c r="B671" i="3"/>
  <c r="B658" i="3"/>
  <c r="B645" i="3"/>
  <c r="B632" i="3"/>
  <c r="B619" i="3"/>
  <c r="B606" i="3"/>
  <c r="B593" i="3"/>
  <c r="B579" i="3"/>
  <c r="B566" i="3"/>
  <c r="B553" i="3"/>
  <c r="B540" i="3"/>
  <c r="B527" i="3"/>
  <c r="B514" i="3"/>
  <c r="B501" i="3"/>
  <c r="B488" i="3"/>
  <c r="B475" i="3"/>
  <c r="B462" i="3"/>
  <c r="B450" i="3"/>
  <c r="B438" i="3"/>
  <c r="B426" i="3"/>
  <c r="B414" i="3"/>
  <c r="B402" i="3"/>
  <c r="B390" i="3"/>
  <c r="B378" i="3"/>
  <c r="B366" i="3"/>
  <c r="B354" i="3"/>
  <c r="B342" i="3"/>
  <c r="B330" i="3"/>
  <c r="B318" i="3"/>
  <c r="B306" i="3"/>
  <c r="B294" i="3"/>
  <c r="B282" i="3"/>
  <c r="B270" i="3"/>
  <c r="B258" i="3"/>
  <c r="B246" i="3"/>
  <c r="B234" i="3"/>
  <c r="B222" i="3"/>
  <c r="B210" i="3"/>
  <c r="B198" i="3"/>
  <c r="B186" i="3"/>
  <c r="B174" i="3"/>
  <c r="B162" i="3"/>
  <c r="B150" i="3"/>
  <c r="B138" i="3"/>
  <c r="B126" i="3"/>
  <c r="B114" i="3"/>
  <c r="B102" i="3"/>
  <c r="B90" i="3"/>
  <c r="B78" i="3"/>
  <c r="B66" i="3"/>
  <c r="B54" i="3"/>
  <c r="B42" i="3"/>
  <c r="B30" i="3"/>
  <c r="B18" i="3"/>
  <c r="B2205" i="3"/>
  <c r="B2137" i="3"/>
  <c r="B2061" i="3"/>
  <c r="B1993" i="3"/>
  <c r="B1922" i="3"/>
  <c r="B1864" i="3"/>
  <c r="B1810" i="3"/>
  <c r="B1764" i="3"/>
  <c r="B1718" i="3"/>
  <c r="B1672" i="3"/>
  <c r="B1624" i="3"/>
  <c r="B1579" i="3"/>
  <c r="B1534" i="3"/>
  <c r="B1488" i="3"/>
  <c r="B1442" i="3"/>
  <c r="B1396" i="3"/>
  <c r="B1355" i="3"/>
  <c r="B1318" i="3"/>
  <c r="B1283" i="3"/>
  <c r="B1248" i="3"/>
  <c r="B1219" i="3"/>
  <c r="B1194" i="3"/>
  <c r="B1171" i="3"/>
  <c r="B1151" i="3"/>
  <c r="B1132" i="3"/>
  <c r="B1111" i="3"/>
  <c r="B1093" i="3"/>
  <c r="B1073" i="3"/>
  <c r="B1053" i="3"/>
  <c r="B1038" i="3"/>
  <c r="B1024" i="3"/>
  <c r="B1009" i="3"/>
  <c r="B996" i="3"/>
  <c r="B983" i="3"/>
  <c r="B970" i="3"/>
  <c r="B957" i="3"/>
  <c r="B944" i="3"/>
  <c r="B931" i="3"/>
  <c r="B918" i="3"/>
  <c r="B905" i="3"/>
  <c r="B891" i="3"/>
  <c r="B878" i="3"/>
  <c r="B865" i="3"/>
  <c r="B852" i="3"/>
  <c r="B839" i="3"/>
  <c r="B826" i="3"/>
  <c r="B813" i="3"/>
  <c r="B800" i="3"/>
  <c r="B787" i="3"/>
  <c r="B774" i="3"/>
  <c r="B761" i="3"/>
  <c r="B747" i="3"/>
  <c r="B734" i="3"/>
  <c r="B721" i="3"/>
  <c r="B708" i="3"/>
  <c r="B695" i="3"/>
  <c r="B682" i="3"/>
  <c r="B669" i="3"/>
  <c r="B656" i="3"/>
  <c r="B643" i="3"/>
  <c r="B630" i="3"/>
  <c r="B617" i="3"/>
  <c r="B603" i="3"/>
  <c r="B590" i="3"/>
  <c r="B577" i="3"/>
  <c r="B564" i="3"/>
  <c r="B551" i="3"/>
  <c r="B538" i="3"/>
  <c r="B525" i="3"/>
  <c r="B512" i="3"/>
  <c r="B499" i="3"/>
  <c r="B486" i="3"/>
  <c r="B473" i="3"/>
  <c r="B460" i="3"/>
  <c r="B448" i="3"/>
  <c r="B436" i="3"/>
  <c r="B424" i="3"/>
  <c r="B412" i="3"/>
  <c r="B400" i="3"/>
  <c r="B388" i="3"/>
  <c r="B376" i="3"/>
  <c r="B364" i="3"/>
  <c r="B352" i="3"/>
  <c r="B340" i="3"/>
  <c r="B328" i="3"/>
  <c r="B316" i="3"/>
  <c r="B304" i="3"/>
  <c r="B292" i="3"/>
  <c r="B280" i="3"/>
  <c r="B268" i="3"/>
  <c r="B256" i="3"/>
  <c r="B244" i="3"/>
  <c r="B232" i="3"/>
  <c r="B220" i="3"/>
  <c r="B208" i="3"/>
  <c r="B196" i="3"/>
  <c r="B184" i="3"/>
  <c r="B172" i="3"/>
  <c r="B160" i="3"/>
  <c r="B148" i="3"/>
  <c r="B136" i="3"/>
  <c r="B124" i="3"/>
  <c r="B112" i="3"/>
  <c r="B100" i="3"/>
  <c r="B88" i="3"/>
  <c r="B76" i="3"/>
  <c r="B64" i="3"/>
  <c r="B52" i="3"/>
  <c r="B40" i="3"/>
  <c r="B28" i="3"/>
  <c r="B16" i="3"/>
  <c r="B2191" i="3"/>
  <c r="B2124" i="3"/>
  <c r="B2047" i="3"/>
  <c r="B1980" i="3"/>
  <c r="B1910" i="3"/>
  <c r="B1855" i="3"/>
  <c r="B1802" i="3"/>
  <c r="B1759" i="3"/>
  <c r="B1708" i="3"/>
  <c r="B1663" i="3"/>
  <c r="B1620" i="3"/>
  <c r="B1572" i="3"/>
  <c r="B1524" i="3"/>
  <c r="B1480" i="3"/>
  <c r="B1432" i="3"/>
  <c r="B1390" i="3"/>
  <c r="B1351" i="3"/>
  <c r="B2187" i="3"/>
  <c r="B2113" i="3"/>
  <c r="B2043" i="3"/>
  <c r="B1970" i="3"/>
  <c r="B1908" i="3"/>
  <c r="B1850" i="3"/>
  <c r="B1798" i="3"/>
  <c r="B1752" i="3"/>
  <c r="B1706" i="3"/>
  <c r="B1660" i="3"/>
  <c r="B1615" i="3"/>
  <c r="B1567" i="3"/>
  <c r="B1522" i="3"/>
  <c r="B1476" i="3"/>
  <c r="B1430" i="3"/>
  <c r="B1388" i="3"/>
  <c r="B1344" i="3"/>
  <c r="B1309" i="3"/>
  <c r="B1274" i="3"/>
  <c r="B1239" i="3"/>
  <c r="B1213" i="3"/>
  <c r="B1189" i="3"/>
  <c r="B1167" i="3"/>
  <c r="B1146" i="3"/>
  <c r="B1127" i="3"/>
  <c r="B1108" i="3"/>
  <c r="B1086" i="3"/>
  <c r="B1067" i="3"/>
  <c r="B1049" i="3"/>
  <c r="B1035" i="3"/>
  <c r="B1020" i="3"/>
  <c r="B1006" i="3"/>
  <c r="B993" i="3"/>
  <c r="B980" i="3"/>
  <c r="B967" i="3"/>
  <c r="B954" i="3"/>
  <c r="B941" i="3"/>
  <c r="B927" i="3"/>
  <c r="B914" i="3"/>
  <c r="B901" i="3"/>
  <c r="B888" i="3"/>
  <c r="B875" i="3"/>
  <c r="B862" i="3"/>
  <c r="B849" i="3"/>
  <c r="B836" i="3"/>
  <c r="B823" i="3"/>
  <c r="B810" i="3"/>
  <c r="B797" i="3"/>
  <c r="B783" i="3"/>
  <c r="B770" i="3"/>
  <c r="B757" i="3"/>
  <c r="B744" i="3"/>
  <c r="B731" i="3"/>
  <c r="B718" i="3"/>
  <c r="B705" i="3"/>
  <c r="B692" i="3"/>
  <c r="B679" i="3"/>
  <c r="B666" i="3"/>
  <c r="B653" i="3"/>
  <c r="B639" i="3"/>
  <c r="B626" i="3"/>
  <c r="B613" i="3"/>
  <c r="B600" i="3"/>
  <c r="B587" i="3"/>
  <c r="B574" i="3"/>
  <c r="B561" i="3"/>
  <c r="B548" i="3"/>
  <c r="B535" i="3"/>
  <c r="B522" i="3"/>
  <c r="B509" i="3"/>
  <c r="B495" i="3"/>
  <c r="B482" i="3"/>
  <c r="B469" i="3"/>
  <c r="B457" i="3"/>
  <c r="B445" i="3"/>
  <c r="B433" i="3"/>
  <c r="B421" i="3"/>
  <c r="B409" i="3"/>
  <c r="B397" i="3"/>
  <c r="B385" i="3"/>
  <c r="B373" i="3"/>
  <c r="B2185" i="3"/>
  <c r="B2109" i="3"/>
  <c r="B2041" i="3"/>
  <c r="B1966" i="3"/>
  <c r="B1906" i="3"/>
  <c r="B1846" i="3"/>
  <c r="B1795" i="3"/>
  <c r="B1747" i="3"/>
  <c r="B1702" i="3"/>
  <c r="B1658" i="3"/>
  <c r="B1608" i="3"/>
  <c r="B1562" i="3"/>
  <c r="B1519" i="3"/>
  <c r="B1471" i="3"/>
  <c r="B1423" i="3"/>
  <c r="B1383" i="3"/>
  <c r="B1340" i="3"/>
  <c r="B1305" i="3"/>
  <c r="B1272" i="3"/>
  <c r="B1237" i="3"/>
  <c r="B1211" i="3"/>
  <c r="B1187" i="3"/>
  <c r="B1165" i="3"/>
  <c r="B1145" i="3"/>
  <c r="B1125" i="3"/>
  <c r="B1105" i="3"/>
  <c r="B1085" i="3"/>
  <c r="B1065" i="3"/>
  <c r="B1048" i="3"/>
  <c r="B1033" i="3"/>
  <c r="B1019" i="3"/>
  <c r="B1005" i="3"/>
  <c r="B992" i="3"/>
  <c r="B979" i="3"/>
  <c r="B966" i="3"/>
  <c r="B953" i="3"/>
  <c r="B939" i="3"/>
  <c r="B926" i="3"/>
  <c r="B913" i="3"/>
  <c r="B900" i="3"/>
  <c r="B887" i="3"/>
  <c r="B874" i="3"/>
  <c r="B861" i="3"/>
  <c r="B848" i="3"/>
  <c r="B835" i="3"/>
  <c r="B822" i="3"/>
  <c r="B809" i="3"/>
  <c r="B795" i="3"/>
  <c r="B782" i="3"/>
  <c r="B769" i="3"/>
  <c r="B756" i="3"/>
  <c r="B743" i="3"/>
  <c r="B730" i="3"/>
  <c r="B717" i="3"/>
  <c r="B704" i="3"/>
  <c r="B691" i="3"/>
  <c r="B678" i="3"/>
  <c r="B665" i="3"/>
  <c r="B651" i="3"/>
  <c r="B638" i="3"/>
  <c r="B625" i="3"/>
  <c r="B612" i="3"/>
  <c r="B599" i="3"/>
  <c r="B586" i="3"/>
  <c r="B573" i="3"/>
  <c r="B560" i="3"/>
  <c r="B547" i="3"/>
  <c r="B534" i="3"/>
  <c r="B521" i="3"/>
  <c r="B507" i="3"/>
  <c r="B494" i="3"/>
  <c r="B481" i="3"/>
  <c r="B468" i="3"/>
  <c r="B456" i="3"/>
  <c r="B444" i="3"/>
  <c r="B432" i="3"/>
  <c r="B420" i="3"/>
  <c r="B408" i="3"/>
  <c r="B396" i="3"/>
  <c r="B384" i="3"/>
  <c r="B372" i="3"/>
  <c r="B360" i="3"/>
  <c r="B348" i="3"/>
  <c r="B336" i="3"/>
  <c r="B324" i="3"/>
  <c r="B2209" i="3"/>
  <c r="B2089" i="3"/>
  <c r="B1954" i="3"/>
  <c r="B1862" i="3"/>
  <c r="B1776" i="3"/>
  <c r="B1692" i="3"/>
  <c r="B1606" i="3"/>
  <c r="B1536" i="3"/>
  <c r="B1456" i="3"/>
  <c r="B1377" i="3"/>
  <c r="B1313" i="3"/>
  <c r="B1263" i="3"/>
  <c r="B1217" i="3"/>
  <c r="B1182" i="3"/>
  <c r="B1149" i="3"/>
  <c r="B1120" i="3"/>
  <c r="B1091" i="3"/>
  <c r="B1061" i="3"/>
  <c r="B1037" i="3"/>
  <c r="B1016" i="3"/>
  <c r="B995" i="3"/>
  <c r="B975" i="3"/>
  <c r="B956" i="3"/>
  <c r="B936" i="3"/>
  <c r="B917" i="3"/>
  <c r="B897" i="3"/>
  <c r="B877" i="3"/>
  <c r="B858" i="3"/>
  <c r="B838" i="3"/>
  <c r="B818" i="3"/>
  <c r="B799" i="3"/>
  <c r="B779" i="3"/>
  <c r="B759" i="3"/>
  <c r="B740" i="3"/>
  <c r="B720" i="3"/>
  <c r="B701" i="3"/>
  <c r="B681" i="3"/>
  <c r="B661" i="3"/>
  <c r="B642" i="3"/>
  <c r="B622" i="3"/>
  <c r="B602" i="3"/>
  <c r="B583" i="3"/>
  <c r="B563" i="3"/>
  <c r="B543" i="3"/>
  <c r="B524" i="3"/>
  <c r="B504" i="3"/>
  <c r="B485" i="3"/>
  <c r="B465" i="3"/>
  <c r="B447" i="3"/>
  <c r="B429" i="3"/>
  <c r="B411" i="3"/>
  <c r="B393" i="3"/>
  <c r="B375" i="3"/>
  <c r="B358" i="3"/>
  <c r="B343" i="3"/>
  <c r="B326" i="3"/>
  <c r="B311" i="3"/>
  <c r="B297" i="3"/>
  <c r="B283" i="3"/>
  <c r="B267" i="3"/>
  <c r="B253" i="3"/>
  <c r="B239" i="3"/>
  <c r="B225" i="3"/>
  <c r="B211" i="3"/>
  <c r="B195" i="3"/>
  <c r="B181" i="3"/>
  <c r="B167" i="3"/>
  <c r="B153" i="3"/>
  <c r="B139" i="3"/>
  <c r="B123" i="3"/>
  <c r="B109" i="3"/>
  <c r="B95" i="3"/>
  <c r="B81" i="3"/>
  <c r="B67" i="3"/>
  <c r="B51" i="3"/>
  <c r="B37" i="3"/>
  <c r="B23" i="3"/>
  <c r="B2177" i="3"/>
  <c r="B2065" i="3"/>
  <c r="B1948" i="3"/>
  <c r="B1836" i="3"/>
  <c r="B1762" i="3"/>
  <c r="B1682" i="3"/>
  <c r="B1596" i="3"/>
  <c r="B1516" i="3"/>
  <c r="B1447" i="3"/>
  <c r="B1368" i="3"/>
  <c r="B1303" i="3"/>
  <c r="B1259" i="3"/>
  <c r="B1209" i="3"/>
  <c r="B1177" i="3"/>
  <c r="B1144" i="3"/>
  <c r="B1117" i="3"/>
  <c r="B1084" i="3"/>
  <c r="B1059" i="3"/>
  <c r="B1032" i="3"/>
  <c r="B1014" i="3"/>
  <c r="B991" i="3"/>
  <c r="B973" i="3"/>
  <c r="B951" i="3"/>
  <c r="B934" i="3"/>
  <c r="B912" i="3"/>
  <c r="B895" i="3"/>
  <c r="B873" i="3"/>
  <c r="B855" i="3"/>
  <c r="B834" i="3"/>
  <c r="B816" i="3"/>
  <c r="B794" i="3"/>
  <c r="B777" i="3"/>
  <c r="B755" i="3"/>
  <c r="B738" i="3"/>
  <c r="B716" i="3"/>
  <c r="B698" i="3"/>
  <c r="B677" i="3"/>
  <c r="B659" i="3"/>
  <c r="B637" i="3"/>
  <c r="B620" i="3"/>
  <c r="B598" i="3"/>
  <c r="B581" i="3"/>
  <c r="B559" i="3"/>
  <c r="B541" i="3"/>
  <c r="B519" i="3"/>
  <c r="B502" i="3"/>
  <c r="B480" i="3"/>
  <c r="B463" i="3"/>
  <c r="B443" i="3"/>
  <c r="B427" i="3"/>
  <c r="B407" i="3"/>
  <c r="B391" i="3"/>
  <c r="B371" i="3"/>
  <c r="B356" i="3"/>
  <c r="B339" i="3"/>
  <c r="B323" i="3"/>
  <c r="B309" i="3"/>
  <c r="B295" i="3"/>
  <c r="B279" i="3"/>
  <c r="B265" i="3"/>
  <c r="B251" i="3"/>
  <c r="B237" i="3"/>
  <c r="B223" i="3"/>
  <c r="B207" i="3"/>
  <c r="B193" i="3"/>
  <c r="B179" i="3"/>
  <c r="B165" i="3"/>
  <c r="B151" i="3"/>
  <c r="B135" i="3"/>
  <c r="B121" i="3"/>
  <c r="B107" i="3"/>
  <c r="B93" i="3"/>
  <c r="B79" i="3"/>
  <c r="B63" i="3"/>
  <c r="B49" i="3"/>
  <c r="B35" i="3"/>
  <c r="B21" i="3"/>
  <c r="B2172" i="3"/>
  <c r="B2161" i="3"/>
  <c r="B2033" i="3"/>
  <c r="B1927" i="3"/>
  <c r="B1831" i="3"/>
  <c r="B1740" i="3"/>
  <c r="B1666" i="3"/>
  <c r="B1591" i="3"/>
  <c r="B1504" i="3"/>
  <c r="B1420" i="3"/>
  <c r="B1357" i="3"/>
  <c r="B1298" i="3"/>
  <c r="B1246" i="3"/>
  <c r="B1205" i="3"/>
  <c r="B1170" i="3"/>
  <c r="B1139" i="3"/>
  <c r="B1110" i="3"/>
  <c r="B1081" i="3"/>
  <c r="B1051" i="3"/>
  <c r="B1030" i="3"/>
  <c r="B1008" i="3"/>
  <c r="B989" i="3"/>
  <c r="B969" i="3"/>
  <c r="B949" i="3"/>
  <c r="B930" i="3"/>
  <c r="B910" i="3"/>
  <c r="B890" i="3"/>
  <c r="B871" i="3"/>
  <c r="B851" i="3"/>
  <c r="B831" i="3"/>
  <c r="B812" i="3"/>
  <c r="B792" i="3"/>
  <c r="B773" i="3"/>
  <c r="B753" i="3"/>
  <c r="B733" i="3"/>
  <c r="B714" i="3"/>
  <c r="B694" i="3"/>
  <c r="B674" i="3"/>
  <c r="B655" i="3"/>
  <c r="B635" i="3"/>
  <c r="B615" i="3"/>
  <c r="B596" i="3"/>
  <c r="B576" i="3"/>
  <c r="B557" i="3"/>
  <c r="B537" i="3"/>
  <c r="B517" i="3"/>
  <c r="B498" i="3"/>
  <c r="B478" i="3"/>
  <c r="B459" i="3"/>
  <c r="B441" i="3"/>
  <c r="B423" i="3"/>
  <c r="B405" i="3"/>
  <c r="B387" i="3"/>
  <c r="B369" i="3"/>
  <c r="B353" i="3"/>
  <c r="B337" i="3"/>
  <c r="B321" i="3"/>
  <c r="B307" i="3"/>
  <c r="B291" i="3"/>
  <c r="B277" i="3"/>
  <c r="B263" i="3"/>
  <c r="B249" i="3"/>
  <c r="B235" i="3"/>
  <c r="B219" i="3"/>
  <c r="B205" i="3"/>
  <c r="B191" i="3"/>
  <c r="B177" i="3"/>
  <c r="B163" i="3"/>
  <c r="B147" i="3"/>
  <c r="B133" i="3"/>
  <c r="B119" i="3"/>
  <c r="B105" i="3"/>
  <c r="B91" i="3"/>
  <c r="B75" i="3"/>
  <c r="B61" i="3"/>
  <c r="B47" i="3"/>
  <c r="B33" i="3"/>
  <c r="B19" i="3"/>
  <c r="B458" i="3"/>
  <c r="B335" i="3"/>
  <c r="B305" i="3"/>
  <c r="B276" i="3"/>
  <c r="B262" i="3"/>
  <c r="B233" i="3"/>
  <c r="B218" i="3"/>
  <c r="B204" i="3"/>
  <c r="B2157" i="3"/>
  <c r="B2028" i="3"/>
  <c r="B1912" i="3"/>
  <c r="B1826" i="3"/>
  <c r="B1735" i="3"/>
  <c r="B1654" i="3"/>
  <c r="B1586" i="3"/>
  <c r="B1502" i="3"/>
  <c r="B1418" i="3"/>
  <c r="B1353" i="3"/>
  <c r="B1296" i="3"/>
  <c r="B1244" i="3"/>
  <c r="B1203" i="3"/>
  <c r="B1169" i="3"/>
  <c r="B1137" i="3"/>
  <c r="B1109" i="3"/>
  <c r="B1079" i="3"/>
  <c r="B1050" i="3"/>
  <c r="B1029" i="3"/>
  <c r="B1007" i="3"/>
  <c r="B987" i="3"/>
  <c r="B968" i="3"/>
  <c r="B948" i="3"/>
  <c r="B929" i="3"/>
  <c r="B909" i="3"/>
  <c r="B889" i="3"/>
  <c r="B870" i="3"/>
  <c r="B850" i="3"/>
  <c r="B830" i="3"/>
  <c r="B811" i="3"/>
  <c r="B791" i="3"/>
  <c r="B771" i="3"/>
  <c r="B752" i="3"/>
  <c r="B732" i="3"/>
  <c r="B713" i="3"/>
  <c r="B693" i="3"/>
  <c r="B673" i="3"/>
  <c r="B654" i="3"/>
  <c r="B634" i="3"/>
  <c r="B614" i="3"/>
  <c r="B595" i="3"/>
  <c r="B575" i="3"/>
  <c r="B555" i="3"/>
  <c r="B536" i="3"/>
  <c r="B516" i="3"/>
  <c r="B497" i="3"/>
  <c r="B477" i="3"/>
  <c r="B440" i="3"/>
  <c r="B422" i="3"/>
  <c r="B404" i="3"/>
  <c r="B386" i="3"/>
  <c r="B368" i="3"/>
  <c r="B351" i="3"/>
  <c r="B320" i="3"/>
  <c r="B290" i="3"/>
  <c r="B248" i="3"/>
  <c r="B190" i="3"/>
  <c r="B2139" i="3"/>
  <c r="B2013" i="3"/>
  <c r="B1894" i="3"/>
  <c r="B1804" i="3"/>
  <c r="B1730" i="3"/>
  <c r="B1644" i="3"/>
  <c r="B1560" i="3"/>
  <c r="B1490" i="3"/>
  <c r="B1414" i="3"/>
  <c r="B1335" i="3"/>
  <c r="B1287" i="3"/>
  <c r="B1233" i="3"/>
  <c r="B1195" i="3"/>
  <c r="B1161" i="3"/>
  <c r="B1133" i="3"/>
  <c r="B1101" i="3"/>
  <c r="B1074" i="3"/>
  <c r="B1045" i="3"/>
  <c r="B1025" i="3"/>
  <c r="B1003" i="3"/>
  <c r="B984" i="3"/>
  <c r="B963" i="3"/>
  <c r="B945" i="3"/>
  <c r="B924" i="3"/>
  <c r="B906" i="3"/>
  <c r="B885" i="3"/>
  <c r="B866" i="3"/>
  <c r="B846" i="3"/>
  <c r="B827" i="3"/>
  <c r="B806" i="3"/>
  <c r="B788" i="3"/>
  <c r="B767" i="3"/>
  <c r="B749" i="3"/>
  <c r="B728" i="3"/>
  <c r="B709" i="3"/>
  <c r="B689" i="3"/>
  <c r="B670" i="3"/>
  <c r="B649" i="3"/>
  <c r="B631" i="3"/>
  <c r="B610" i="3"/>
  <c r="B591" i="3"/>
  <c r="B571" i="3"/>
  <c r="B552" i="3"/>
  <c r="B531" i="3"/>
  <c r="B513" i="3"/>
  <c r="B492" i="3"/>
  <c r="B474" i="3"/>
  <c r="B454" i="3"/>
  <c r="B437" i="3"/>
  <c r="B418" i="3"/>
  <c r="B401" i="3"/>
  <c r="B382" i="3"/>
  <c r="B365" i="3"/>
  <c r="B349" i="3"/>
  <c r="B333" i="3"/>
  <c r="B317" i="3"/>
  <c r="B302" i="3"/>
  <c r="B288" i="3"/>
  <c r="B274" i="3"/>
  <c r="B260" i="3"/>
  <c r="B245" i="3"/>
  <c r="B230" i="3"/>
  <c r="B216" i="3"/>
  <c r="B202" i="3"/>
  <c r="B188" i="3"/>
  <c r="B173" i="3"/>
  <c r="B158" i="3"/>
  <c r="B144" i="3"/>
  <c r="B130" i="3"/>
  <c r="B116" i="3"/>
  <c r="B101" i="3"/>
  <c r="B86" i="3"/>
  <c r="B72" i="3"/>
  <c r="B58" i="3"/>
  <c r="B44" i="3"/>
  <c r="B29" i="3"/>
  <c r="B2194" i="3"/>
  <c r="B1956" i="3"/>
  <c r="B1788" i="3"/>
  <c r="B1648" i="3"/>
  <c r="B1528" i="3"/>
  <c r="B1392" i="3"/>
  <c r="B1279" i="3"/>
  <c r="B1207" i="3"/>
  <c r="B1153" i="3"/>
  <c r="B1098" i="3"/>
  <c r="B1047" i="3"/>
  <c r="B1015" i="3"/>
  <c r="B978" i="3"/>
  <c r="B943" i="3"/>
  <c r="B911" i="3"/>
  <c r="B879" i="3"/>
  <c r="B843" i="3"/>
  <c r="B807" i="3"/>
  <c r="B778" i="3"/>
  <c r="B742" i="3"/>
  <c r="B707" i="3"/>
  <c r="B675" i="3"/>
  <c r="B644" i="3"/>
  <c r="B608" i="3"/>
  <c r="B572" i="3"/>
  <c r="B542" i="3"/>
  <c r="B506" i="3"/>
  <c r="B471" i="3"/>
  <c r="B442" i="3"/>
  <c r="B413" i="3"/>
  <c r="B380" i="3"/>
  <c r="B350" i="3"/>
  <c r="B325" i="3"/>
  <c r="B299" i="3"/>
  <c r="B273" i="3"/>
  <c r="B250" i="3"/>
  <c r="B226" i="3"/>
  <c r="B200" i="3"/>
  <c r="B176" i="3"/>
  <c r="B155" i="3"/>
  <c r="B132" i="3"/>
  <c r="B111" i="3"/>
  <c r="B89" i="3"/>
  <c r="B69" i="3"/>
  <c r="B46" i="3"/>
  <c r="B25" i="3"/>
  <c r="B1951" i="3"/>
  <c r="B1147" i="3"/>
  <c r="B876" i="3"/>
  <c r="B641" i="3"/>
  <c r="B410" i="3"/>
  <c r="B199" i="3"/>
  <c r="B45" i="3"/>
  <c r="B1510" i="3"/>
  <c r="B2129" i="3"/>
  <c r="B1942" i="3"/>
  <c r="B1778" i="3"/>
  <c r="B1636" i="3"/>
  <c r="B1500" i="3"/>
  <c r="B1370" i="3"/>
  <c r="B1270" i="3"/>
  <c r="B1193" i="3"/>
  <c r="B1141" i="3"/>
  <c r="B1095" i="3"/>
  <c r="B1043" i="3"/>
  <c r="B1004" i="3"/>
  <c r="B974" i="3"/>
  <c r="B938" i="3"/>
  <c r="B903" i="3"/>
  <c r="B872" i="3"/>
  <c r="B840" i="3"/>
  <c r="B804" i="3"/>
  <c r="B768" i="3"/>
  <c r="B739" i="3"/>
  <c r="B703" i="3"/>
  <c r="B668" i="3"/>
  <c r="B636" i="3"/>
  <c r="B605" i="3"/>
  <c r="B569" i="3"/>
  <c r="B533" i="3"/>
  <c r="B503" i="3"/>
  <c r="B467" i="3"/>
  <c r="B435" i="3"/>
  <c r="B406" i="3"/>
  <c r="B377" i="3"/>
  <c r="B346" i="3"/>
  <c r="B319" i="3"/>
  <c r="B296" i="3"/>
  <c r="B271" i="3"/>
  <c r="B243" i="3"/>
  <c r="B221" i="3"/>
  <c r="B197" i="3"/>
  <c r="B171" i="3"/>
  <c r="B152" i="3"/>
  <c r="B129" i="3"/>
  <c r="B108" i="3"/>
  <c r="B85" i="3"/>
  <c r="B65" i="3"/>
  <c r="B43" i="3"/>
  <c r="B22" i="3"/>
  <c r="B1265" i="3"/>
  <c r="B1002" i="3"/>
  <c r="B937" i="3"/>
  <c r="B902" i="3"/>
  <c r="B869" i="3"/>
  <c r="B803" i="3"/>
  <c r="B766" i="3"/>
  <c r="B735" i="3"/>
  <c r="B702" i="3"/>
  <c r="B667" i="3"/>
  <c r="B601" i="3"/>
  <c r="B567" i="3"/>
  <c r="B530" i="3"/>
  <c r="B500" i="3"/>
  <c r="B466" i="3"/>
  <c r="B434" i="3"/>
  <c r="B403" i="3"/>
  <c r="B374" i="3"/>
  <c r="B315" i="3"/>
  <c r="B293" i="3"/>
  <c r="B269" i="3"/>
  <c r="B242" i="3"/>
  <c r="B217" i="3"/>
  <c r="B194" i="3"/>
  <c r="B170" i="3"/>
  <c r="B149" i="3"/>
  <c r="B128" i="3"/>
  <c r="B106" i="3"/>
  <c r="B84" i="3"/>
  <c r="B62" i="3"/>
  <c r="B41" i="3"/>
  <c r="B20" i="3"/>
  <c r="B209" i="3"/>
  <c r="B1416" i="3"/>
  <c r="B1021" i="3"/>
  <c r="B853" i="3"/>
  <c r="B719" i="3"/>
  <c r="B584" i="3"/>
  <c r="B389" i="3"/>
  <c r="B229" i="3"/>
  <c r="B117" i="3"/>
  <c r="B1011" i="3"/>
  <c r="B672" i="3"/>
  <c r="B347" i="3"/>
  <c r="B131" i="3"/>
  <c r="B2098" i="3"/>
  <c r="B1898" i="3"/>
  <c r="B1766" i="3"/>
  <c r="B1630" i="3"/>
  <c r="B1486" i="3"/>
  <c r="B1366" i="3"/>
  <c r="B1191" i="3"/>
  <c r="B1135" i="3"/>
  <c r="B1089" i="3"/>
  <c r="B1042" i="3"/>
  <c r="B971" i="3"/>
  <c r="B837" i="3"/>
  <c r="B633" i="3"/>
  <c r="B345" i="3"/>
  <c r="B1435" i="3"/>
  <c r="B1834" i="3"/>
  <c r="B1158" i="3"/>
  <c r="B921" i="3"/>
  <c r="B685" i="3"/>
  <c r="B417" i="3"/>
  <c r="B206" i="3"/>
  <c r="B53" i="3"/>
  <c r="B1044" i="3"/>
  <c r="B775" i="3"/>
  <c r="B539" i="3"/>
  <c r="B298" i="3"/>
  <c r="B110" i="3"/>
  <c r="B2095" i="3"/>
  <c r="B1884" i="3"/>
  <c r="B1744" i="3"/>
  <c r="B1622" i="3"/>
  <c r="B1466" i="3"/>
  <c r="B1337" i="3"/>
  <c r="B1261" i="3"/>
  <c r="B1185" i="3"/>
  <c r="B1131" i="3"/>
  <c r="B1083" i="3"/>
  <c r="B1040" i="3"/>
  <c r="B1001" i="3"/>
  <c r="B965" i="3"/>
  <c r="B935" i="3"/>
  <c r="B899" i="3"/>
  <c r="B864" i="3"/>
  <c r="B833" i="3"/>
  <c r="B801" i="3"/>
  <c r="B765" i="3"/>
  <c r="B729" i="3"/>
  <c r="B699" i="3"/>
  <c r="B663" i="3"/>
  <c r="B629" i="3"/>
  <c r="B597" i="3"/>
  <c r="B565" i="3"/>
  <c r="B529" i="3"/>
  <c r="B493" i="3"/>
  <c r="B464" i="3"/>
  <c r="B431" i="3"/>
  <c r="B399" i="3"/>
  <c r="B370" i="3"/>
  <c r="B344" i="3"/>
  <c r="B314" i="3"/>
  <c r="B289" i="3"/>
  <c r="B266" i="3"/>
  <c r="B241" i="3"/>
  <c r="B215" i="3"/>
  <c r="B192" i="3"/>
  <c r="B169" i="3"/>
  <c r="B146" i="3"/>
  <c r="B127" i="3"/>
  <c r="B104" i="3"/>
  <c r="B83" i="3"/>
  <c r="B60" i="3"/>
  <c r="B39" i="3"/>
  <c r="B17" i="3"/>
  <c r="B859" i="3"/>
  <c r="B588" i="3"/>
  <c r="B453" i="3"/>
  <c r="B362" i="3"/>
  <c r="B285" i="3"/>
  <c r="B212" i="3"/>
  <c r="B164" i="3"/>
  <c r="B77" i="3"/>
  <c r="B2091" i="3"/>
  <c r="B1879" i="3"/>
  <c r="B1732" i="3"/>
  <c r="B1603" i="3"/>
  <c r="B1464" i="3"/>
  <c r="B1331" i="3"/>
  <c r="B1250" i="3"/>
  <c r="B1183" i="3"/>
  <c r="B1129" i="3"/>
  <c r="B1077" i="3"/>
  <c r="B1036" i="3"/>
  <c r="B999" i="3"/>
  <c r="B962" i="3"/>
  <c r="B932" i="3"/>
  <c r="B898" i="3"/>
  <c r="B863" i="3"/>
  <c r="B829" i="3"/>
  <c r="B798" i="3"/>
  <c r="B764" i="3"/>
  <c r="B727" i="3"/>
  <c r="B696" i="3"/>
  <c r="B662" i="3"/>
  <c r="B627" i="3"/>
  <c r="B594" i="3"/>
  <c r="B562" i="3"/>
  <c r="B528" i="3"/>
  <c r="B491" i="3"/>
  <c r="B461" i="3"/>
  <c r="B430" i="3"/>
  <c r="B398" i="3"/>
  <c r="B367" i="3"/>
  <c r="B341" i="3"/>
  <c r="B313" i="3"/>
  <c r="B287" i="3"/>
  <c r="B264" i="3"/>
  <c r="B240" i="3"/>
  <c r="B214" i="3"/>
  <c r="B189" i="3"/>
  <c r="B168" i="3"/>
  <c r="B145" i="3"/>
  <c r="B125" i="3"/>
  <c r="B103" i="3"/>
  <c r="B82" i="3"/>
  <c r="B59" i="3"/>
  <c r="B38" i="3"/>
  <c r="B15" i="3"/>
  <c r="B338" i="3"/>
  <c r="B187" i="3"/>
  <c r="B122" i="3"/>
  <c r="B80" i="3"/>
  <c r="B36" i="3"/>
  <c r="B893" i="3"/>
  <c r="B523" i="3"/>
  <c r="B394" i="3"/>
  <c r="B310" i="3"/>
  <c r="B236" i="3"/>
  <c r="B185" i="3"/>
  <c r="B98" i="3"/>
  <c r="B34" i="3"/>
  <c r="B2235" i="3"/>
  <c r="B1311" i="3"/>
  <c r="B986" i="3"/>
  <c r="B819" i="3"/>
  <c r="B618" i="3"/>
  <c r="B515" i="3"/>
  <c r="B359" i="3"/>
  <c r="B255" i="3"/>
  <c r="B182" i="3"/>
  <c r="B73" i="3"/>
  <c r="B1199" i="3"/>
  <c r="B805" i="3"/>
  <c r="B570" i="3"/>
  <c r="B322" i="3"/>
  <c r="B154" i="3"/>
  <c r="B24" i="3"/>
  <c r="B2081" i="3"/>
  <c r="B1874" i="3"/>
  <c r="B1723" i="3"/>
  <c r="B1594" i="3"/>
  <c r="B1459" i="3"/>
  <c r="B1329" i="3"/>
  <c r="B1235" i="3"/>
  <c r="B1179" i="3"/>
  <c r="B1122" i="3"/>
  <c r="B1072" i="3"/>
  <c r="B1031" i="3"/>
  <c r="B997" i="3"/>
  <c r="B961" i="3"/>
  <c r="B925" i="3"/>
  <c r="B896" i="3"/>
  <c r="B860" i="3"/>
  <c r="B825" i="3"/>
  <c r="B793" i="3"/>
  <c r="B762" i="3"/>
  <c r="B726" i="3"/>
  <c r="B690" i="3"/>
  <c r="B660" i="3"/>
  <c r="B624" i="3"/>
  <c r="B589" i="3"/>
  <c r="B558" i="3"/>
  <c r="B526" i="3"/>
  <c r="B490" i="3"/>
  <c r="B455" i="3"/>
  <c r="B428" i="3"/>
  <c r="B395" i="3"/>
  <c r="B363" i="3"/>
  <c r="B312" i="3"/>
  <c r="B286" i="3"/>
  <c r="B261" i="3"/>
  <c r="B238" i="3"/>
  <c r="B213" i="3"/>
  <c r="B166" i="3"/>
  <c r="B143" i="3"/>
  <c r="B99" i="3"/>
  <c r="B57" i="3"/>
  <c r="B14" i="3"/>
  <c r="B824" i="3"/>
  <c r="B489" i="3"/>
  <c r="B334" i="3"/>
  <c r="B259" i="3"/>
  <c r="B142" i="3"/>
  <c r="B56" i="3"/>
  <c r="B1552" i="3"/>
  <c r="B1062" i="3"/>
  <c r="B785" i="3"/>
  <c r="B549" i="3"/>
  <c r="B331" i="3"/>
  <c r="B96" i="3"/>
  <c r="B1276" i="3"/>
  <c r="B942" i="3"/>
  <c r="B706" i="3"/>
  <c r="B470" i="3"/>
  <c r="B272" i="3"/>
  <c r="B87" i="3"/>
  <c r="B2050" i="3"/>
  <c r="B1867" i="3"/>
  <c r="B1711" i="3"/>
  <c r="B1574" i="3"/>
  <c r="B1452" i="3"/>
  <c r="B1327" i="3"/>
  <c r="B1231" i="3"/>
  <c r="B1173" i="3"/>
  <c r="B1121" i="3"/>
  <c r="B1069" i="3"/>
  <c r="B1028" i="3"/>
  <c r="B994" i="3"/>
  <c r="B960" i="3"/>
  <c r="B923" i="3"/>
  <c r="B790" i="3"/>
  <c r="B758" i="3"/>
  <c r="B725" i="3"/>
  <c r="B687" i="3"/>
  <c r="B657" i="3"/>
  <c r="B623" i="3"/>
  <c r="B554" i="3"/>
  <c r="B425" i="3"/>
  <c r="B120" i="3"/>
  <c r="B55" i="3"/>
  <c r="B2002" i="3"/>
  <c r="B1227" i="3"/>
  <c r="B955" i="3"/>
  <c r="B751" i="3"/>
  <c r="B483" i="3"/>
  <c r="B303" i="3"/>
  <c r="B140" i="3"/>
  <c r="B1381" i="3"/>
  <c r="B908" i="3"/>
  <c r="B505" i="3"/>
  <c r="B224" i="3"/>
  <c r="B2239" i="3"/>
  <c r="B2017" i="3"/>
  <c r="B1838" i="3"/>
  <c r="B1696" i="3"/>
  <c r="B1558" i="3"/>
  <c r="B1322" i="3"/>
  <c r="B1229" i="3"/>
  <c r="B1163" i="3"/>
  <c r="B1119" i="3"/>
  <c r="B1063" i="3"/>
  <c r="B1023" i="3"/>
  <c r="B990" i="3"/>
  <c r="B958" i="3"/>
  <c r="B922" i="3"/>
  <c r="B886" i="3"/>
  <c r="B857" i="3"/>
  <c r="B821" i="3"/>
  <c r="B786" i="3"/>
  <c r="B754" i="3"/>
  <c r="B722" i="3"/>
  <c r="B686" i="3"/>
  <c r="B650" i="3"/>
  <c r="B621" i="3"/>
  <c r="B585" i="3"/>
  <c r="B550" i="3"/>
  <c r="B518" i="3"/>
  <c r="B487" i="3"/>
  <c r="B452" i="3"/>
  <c r="B419" i="3"/>
  <c r="B392" i="3"/>
  <c r="B361" i="3"/>
  <c r="B332" i="3"/>
  <c r="B308" i="3"/>
  <c r="B284" i="3"/>
  <c r="B257" i="3"/>
  <c r="B231" i="3"/>
  <c r="B183" i="3"/>
  <c r="B161" i="3"/>
  <c r="B141" i="3"/>
  <c r="B118" i="3"/>
  <c r="B97" i="3"/>
  <c r="B74" i="3"/>
  <c r="B32" i="3"/>
  <c r="B13" i="3"/>
  <c r="B1694" i="3"/>
  <c r="B1113" i="3"/>
  <c r="B884" i="3"/>
  <c r="B648" i="3"/>
  <c r="B451" i="3"/>
  <c r="B281" i="3"/>
  <c r="B159" i="3"/>
  <c r="B31" i="3"/>
  <c r="B2146" i="3"/>
  <c r="B1780" i="3"/>
  <c r="B1097" i="3"/>
  <c r="B842" i="3"/>
  <c r="B607" i="3"/>
  <c r="B379" i="3"/>
  <c r="B175" i="3"/>
  <c r="B2233" i="3"/>
  <c r="B1995" i="3"/>
  <c r="B1816" i="3"/>
  <c r="B1690" i="3"/>
  <c r="B1550" i="3"/>
  <c r="B1407" i="3"/>
  <c r="B1300" i="3"/>
  <c r="B1221" i="3"/>
  <c r="B1157" i="3"/>
  <c r="B1103" i="3"/>
  <c r="B1060" i="3"/>
  <c r="B1018" i="3"/>
  <c r="B982" i="3"/>
  <c r="B950" i="3"/>
  <c r="B919" i="3"/>
  <c r="B883" i="3"/>
  <c r="B847" i="3"/>
  <c r="B817" i="3"/>
  <c r="B781" i="3"/>
  <c r="B746" i="3"/>
  <c r="B715" i="3"/>
  <c r="B683" i="3"/>
  <c r="B647" i="3"/>
  <c r="B611" i="3"/>
  <c r="B582" i="3"/>
  <c r="B546" i="3"/>
  <c r="B511" i="3"/>
  <c r="B479" i="3"/>
  <c r="B449" i="3"/>
  <c r="B416" i="3"/>
  <c r="B383" i="3"/>
  <c r="B357" i="3"/>
  <c r="B329" i="3"/>
  <c r="B301" i="3"/>
  <c r="B278" i="3"/>
  <c r="B254" i="3"/>
  <c r="B228" i="3"/>
  <c r="B203" i="3"/>
  <c r="B180" i="3"/>
  <c r="B157" i="3"/>
  <c r="B137" i="3"/>
  <c r="B115" i="3"/>
  <c r="B94" i="3"/>
  <c r="B71" i="3"/>
  <c r="B50" i="3"/>
  <c r="B27" i="3"/>
  <c r="B2225" i="3"/>
  <c r="B1985" i="3"/>
  <c r="B1792" i="3"/>
  <c r="B1675" i="3"/>
  <c r="B1546" i="3"/>
  <c r="B1401" i="3"/>
  <c r="B1292" i="3"/>
  <c r="B1215" i="3"/>
  <c r="B1156" i="3"/>
  <c r="B1099" i="3"/>
  <c r="B1055" i="3"/>
  <c r="B1017" i="3"/>
  <c r="B981" i="3"/>
  <c r="B947" i="3"/>
  <c r="B915" i="3"/>
  <c r="B882" i="3"/>
  <c r="B845" i="3"/>
  <c r="B814" i="3"/>
  <c r="B780" i="3"/>
  <c r="B745" i="3"/>
  <c r="B711" i="3"/>
  <c r="B680" i="3"/>
  <c r="B646" i="3"/>
  <c r="B609" i="3"/>
  <c r="B578" i="3"/>
  <c r="B545" i="3"/>
  <c r="B510" i="3"/>
  <c r="B476" i="3"/>
  <c r="B446" i="3"/>
  <c r="B415" i="3"/>
  <c r="B381" i="3"/>
  <c r="B355" i="3"/>
  <c r="B327" i="3"/>
  <c r="B300" i="3"/>
  <c r="B275" i="3"/>
  <c r="B252" i="3"/>
  <c r="B227" i="3"/>
  <c r="B201" i="3"/>
  <c r="B178" i="3"/>
  <c r="B156" i="3"/>
  <c r="B134" i="3"/>
  <c r="B113" i="3"/>
  <c r="B92" i="3"/>
  <c r="B70" i="3"/>
  <c r="B48" i="3"/>
  <c r="B26" i="3"/>
  <c r="B1639" i="3"/>
  <c r="B977" i="3"/>
  <c r="B741" i="3"/>
  <c r="B439" i="3"/>
  <c r="B247" i="3"/>
  <c r="B68" i="3"/>
</calcChain>
</file>

<file path=xl/sharedStrings.xml><?xml version="1.0" encoding="utf-8"?>
<sst xmlns="http://schemas.openxmlformats.org/spreadsheetml/2006/main" count="17497" uniqueCount="8712">
  <si>
    <t>SpringerLink e-Journal Advanced_Legacy Package Title List</t>
  </si>
  <si>
    <t xml:space="preserve">タイトルリストは予告なしに変更する場合がございます。
</t>
  </si>
  <si>
    <t>【2022/7/29更新】</t>
  </si>
  <si>
    <t>Excel版はこちら</t>
  </si>
  <si>
    <t>Legacy Packageは、「Legacy/VC/Kosen」M列で「○」印が付されているもののみが対象となります。</t>
  </si>
  <si>
    <t>2022年以降に 創刊 されたNew Start-up タイトルはAccess Only のみ（購読誌選択不可）でのご提供になります。</t>
  </si>
  <si>
    <t>No.</t>
  </si>
  <si>
    <t>Year</t>
  </si>
  <si>
    <t>Product ID</t>
  </si>
  <si>
    <t>Title</t>
  </si>
  <si>
    <t>eISSN</t>
  </si>
  <si>
    <t>pISSN</t>
  </si>
  <si>
    <t>URL</t>
  </si>
  <si>
    <t>Imprint</t>
  </si>
  <si>
    <t>利用開始年(2000-)</t>
  </si>
  <si>
    <t>Subject</t>
  </si>
  <si>
    <t>DDP対象</t>
  </si>
  <si>
    <t>Legacy/VC/Kosen 2023</t>
  </si>
  <si>
    <t>New Start (SNS) / Take Over (TO)</t>
  </si>
  <si>
    <t>Note</t>
  </si>
  <si>
    <t>3 Biotech</t>
  </si>
  <si>
    <t>2190-5738</t>
  </si>
  <si>
    <t>https://link.springer.com/journal/13205</t>
  </si>
  <si>
    <t>Springer</t>
  </si>
  <si>
    <t>Chemistry and Materials Science</t>
  </si>
  <si>
    <t>4OR</t>
  </si>
  <si>
    <t>1614-2411</t>
  </si>
  <si>
    <t>1619-4500</t>
  </si>
  <si>
    <t>https://link.springer.com/journal/10288</t>
  </si>
  <si>
    <t>Business and Management</t>
  </si>
  <si>
    <t>〇</t>
  </si>
  <si>
    <t>AAPS PharmSciTech</t>
  </si>
  <si>
    <t>1530-9932</t>
  </si>
  <si>
    <t>https://link.springer.com/journal/12249</t>
  </si>
  <si>
    <t>Biomedical and Life Sciences</t>
  </si>
  <si>
    <t>TO8</t>
  </si>
  <si>
    <t>Abdominal Radiology</t>
  </si>
  <si>
    <t>2366-0058</t>
  </si>
  <si>
    <t>https://link.springer.com/journal/261</t>
  </si>
  <si>
    <t>Medicine</t>
  </si>
  <si>
    <t>Abhandlungen aus dem Mathematischen Seminar der Universität Hamburg</t>
  </si>
  <si>
    <t>1865-8784</t>
  </si>
  <si>
    <t>0025-5858</t>
  </si>
  <si>
    <t>https://link.springer.com/journal/12188</t>
  </si>
  <si>
    <t>Mathematics and Statistics</t>
  </si>
  <si>
    <t>aBIOTECH</t>
  </si>
  <si>
    <t>2662-1738</t>
  </si>
  <si>
    <t>https://link.springer.com/journal/42994</t>
  </si>
  <si>
    <t>SNS20</t>
  </si>
  <si>
    <t>Academic Psychiatry</t>
  </si>
  <si>
    <t>1545-7230</t>
  </si>
  <si>
    <t>1042-9670</t>
  </si>
  <si>
    <t>https://link.springer.com/journal/40596</t>
  </si>
  <si>
    <t>TO14</t>
  </si>
  <si>
    <t>Accreditation and Quality Assurance</t>
  </si>
  <si>
    <t>1432-0517</t>
  </si>
  <si>
    <t>0949-1775</t>
  </si>
  <si>
    <t>https://link.springer.com/journal/769</t>
  </si>
  <si>
    <t>Acoustical Physics</t>
  </si>
  <si>
    <t>1562-6865</t>
  </si>
  <si>
    <t>1063-7710</t>
  </si>
  <si>
    <t>https://link.springer.com/journal/11441</t>
  </si>
  <si>
    <t>Pleiades Publishing</t>
  </si>
  <si>
    <t>Physics and Astronomy</t>
  </si>
  <si>
    <t>Acoustics Australia</t>
  </si>
  <si>
    <t>1839-2571</t>
  </si>
  <si>
    <t>https://link.springer.com/journal/40857</t>
  </si>
  <si>
    <t>Engineering</t>
  </si>
  <si>
    <t>TO15</t>
  </si>
  <si>
    <t>Acta Analytica</t>
  </si>
  <si>
    <t>1874-6349</t>
  </si>
  <si>
    <t>0353-5150</t>
  </si>
  <si>
    <t>https://link.springer.com/journal/12136</t>
  </si>
  <si>
    <t>Education</t>
  </si>
  <si>
    <t>TO7</t>
  </si>
  <si>
    <t>Acta Applicandae Mathematicae</t>
  </si>
  <si>
    <t>1572-9036</t>
  </si>
  <si>
    <t>0167-8019</t>
  </si>
  <si>
    <t>https://link.springer.com/journal/10440</t>
  </si>
  <si>
    <t>Acta Biotheoretica</t>
  </si>
  <si>
    <t>1572-8358</t>
  </si>
  <si>
    <t>0001-5342</t>
  </si>
  <si>
    <t>https://link.springer.com/journal/10441</t>
  </si>
  <si>
    <t>Acta Diabetologica</t>
  </si>
  <si>
    <t>1432-5233</t>
  </si>
  <si>
    <t>https://link.springer.com/journal/592</t>
  </si>
  <si>
    <t>acta ethologica</t>
  </si>
  <si>
    <t>1437-9546</t>
  </si>
  <si>
    <t>0873-9749</t>
  </si>
  <si>
    <t>https://link.springer.com/journal/10211</t>
  </si>
  <si>
    <t>Acta Geochimica</t>
  </si>
  <si>
    <t>2365-7499</t>
  </si>
  <si>
    <t>2096-0956</t>
  </si>
  <si>
    <t>https://link.springer.com/journal/11631</t>
  </si>
  <si>
    <t>Science Press, co-published with Springer</t>
  </si>
  <si>
    <t>Earth and Environmental Science</t>
  </si>
  <si>
    <t>Acta Geodaetica et Geophysica</t>
  </si>
  <si>
    <t>2213-5820</t>
  </si>
  <si>
    <t>2213-5812</t>
  </si>
  <si>
    <t>https://link.springer.com/journal/40328</t>
  </si>
  <si>
    <t>Akadémiai Kiadó, co-published with Springer</t>
  </si>
  <si>
    <t>TO13</t>
  </si>
  <si>
    <t>Acta Geophysica</t>
  </si>
  <si>
    <t>1895-7455</t>
  </si>
  <si>
    <t>https://link.springer.com/journal/11600</t>
  </si>
  <si>
    <t>TO17</t>
  </si>
  <si>
    <t>Acta Geotechnica</t>
  </si>
  <si>
    <t>1861-1133</t>
  </si>
  <si>
    <t>1861-1125</t>
  </si>
  <si>
    <t>https://link.springer.com/journal/11440</t>
  </si>
  <si>
    <t>Acta Informatica</t>
  </si>
  <si>
    <t>1432-0525</t>
  </si>
  <si>
    <t>0001-5903</t>
  </si>
  <si>
    <t>https://link.springer.com/journal/236</t>
  </si>
  <si>
    <t>Computer Science</t>
  </si>
  <si>
    <t>Acta Mathematica Hungarica</t>
  </si>
  <si>
    <t>1588-2632</t>
  </si>
  <si>
    <t>0236-5294</t>
  </si>
  <si>
    <t>https://link.springer.com/journal/10474</t>
  </si>
  <si>
    <t>Acta Mathematica Scientia</t>
  </si>
  <si>
    <t>1572-9087</t>
  </si>
  <si>
    <t>0252-9602</t>
  </si>
  <si>
    <t>https://link.springer.com/journal/10473</t>
  </si>
  <si>
    <t>TO19</t>
  </si>
  <si>
    <t>Acta Mathematica Sinica, English Series</t>
  </si>
  <si>
    <t>1439-7617</t>
  </si>
  <si>
    <t>1439-8516</t>
  </si>
  <si>
    <t>https://link.springer.com/journal/10114</t>
  </si>
  <si>
    <t>Institute of Mathematics, Chinese Academy of Sciences and Chinese Mathematical Society, co-published with Springer</t>
  </si>
  <si>
    <t>Acta Mathematica Vietnamica</t>
  </si>
  <si>
    <t>2315-4144</t>
  </si>
  <si>
    <t>0251-4184</t>
  </si>
  <si>
    <t>https://link.springer.com/journal/40306</t>
  </si>
  <si>
    <t>Acta Mathematicae Applicatae Sinica, English Series</t>
  </si>
  <si>
    <t>1618-3932</t>
  </si>
  <si>
    <t>0168-9673</t>
  </si>
  <si>
    <t>https://link.springer.com/journal/10255</t>
  </si>
  <si>
    <t>Institute of Applied Mathematics, Chinese Academy of Sciences and Chinese Mathematical Society, co-published with Springer</t>
  </si>
  <si>
    <t>Acta Mechanica</t>
  </si>
  <si>
    <t>1619-6937</t>
  </si>
  <si>
    <t>0001-5970</t>
  </si>
  <si>
    <t>https://link.springer.com/journal/707</t>
  </si>
  <si>
    <t>Acta Mechanica Sinica</t>
  </si>
  <si>
    <t>1614-3116</t>
  </si>
  <si>
    <t>0567-7718</t>
  </si>
  <si>
    <t>https://link.springer.com/journal/10409</t>
  </si>
  <si>
    <t>The Chinese Society of Theoretical and Applied Mechanics; Institute of Mechanics, Chinese Academy of Sciences, co-published with Springer</t>
  </si>
  <si>
    <t>Acta Mechanica Solida Sinica</t>
  </si>
  <si>
    <t>1860-2134</t>
  </si>
  <si>
    <t>0894-9166</t>
  </si>
  <si>
    <t>https://link.springer.com/journal/10338</t>
  </si>
  <si>
    <t>TO18</t>
  </si>
  <si>
    <t>Acta Metallurgica Sinica (English Letters)</t>
  </si>
  <si>
    <t>2194-1289</t>
  </si>
  <si>
    <t>1006-7191</t>
  </si>
  <si>
    <t>https://link.springer.com/journal/40195</t>
  </si>
  <si>
    <t>The Chinese Society for Metals, co-published with Springer</t>
  </si>
  <si>
    <t>Acta Neurochirurgica</t>
  </si>
  <si>
    <t>0942-0940</t>
  </si>
  <si>
    <t>https://link.springer.com/journal/701</t>
  </si>
  <si>
    <t>Acta Neurologica Belgica</t>
  </si>
  <si>
    <t>2240-2993</t>
  </si>
  <si>
    <t>https://link.springer.com/journal/13760</t>
  </si>
  <si>
    <t>TO12</t>
  </si>
  <si>
    <t>Acta Neuropathologica</t>
  </si>
  <si>
    <t>1432-0533</t>
  </si>
  <si>
    <t>0001-6322</t>
  </si>
  <si>
    <t>https://link.springer.com/journal/401</t>
  </si>
  <si>
    <t>Acta Oceanologica Sinica</t>
  </si>
  <si>
    <t>1869-1099</t>
  </si>
  <si>
    <t>0253-505X</t>
  </si>
  <si>
    <t>https://link.springer.com/journal/13131</t>
  </si>
  <si>
    <t>The Chinese Society of Oceanography, co-published with Springer</t>
  </si>
  <si>
    <t>TO10</t>
  </si>
  <si>
    <t>Acta Parasitologica</t>
  </si>
  <si>
    <t>1896-1851</t>
  </si>
  <si>
    <t>1230-2821</t>
  </si>
  <si>
    <t>https://link.springer.com/journal/11686</t>
  </si>
  <si>
    <t>Acta Physiologiae Plantarum</t>
  </si>
  <si>
    <t>1861-1664</t>
  </si>
  <si>
    <t>https://link.springer.com/journal/11738</t>
  </si>
  <si>
    <t>Adaptive Human Behavior and Physiology</t>
  </si>
  <si>
    <t>2198-7335</t>
  </si>
  <si>
    <t>https://link.springer.com/journal/40750</t>
  </si>
  <si>
    <t>Social Sciences</t>
  </si>
  <si>
    <t>SNS15</t>
  </si>
  <si>
    <t>adhäsion KLEBEN &amp; DICHTEN</t>
  </si>
  <si>
    <t>2192-8681</t>
  </si>
  <si>
    <t>1619-1919</t>
  </si>
  <si>
    <t>https://link.springer.com/journal/35145</t>
  </si>
  <si>
    <t>Springer Vieweg</t>
  </si>
  <si>
    <t>adhesion ADHESIVES + SEALANTS</t>
  </si>
  <si>
    <t>2195-6545</t>
  </si>
  <si>
    <t>2192-2624</t>
  </si>
  <si>
    <t>https://link.springer.com/journal/35784</t>
  </si>
  <si>
    <t>Administration and Policy in Mental Health and Mental Health Services Research</t>
  </si>
  <si>
    <t>1573-3289</t>
  </si>
  <si>
    <t>0894-587X</t>
  </si>
  <si>
    <t>https://link.springer.com/journal/10488</t>
  </si>
  <si>
    <t>Adolescent Research Review</t>
  </si>
  <si>
    <t>2363-8354</t>
  </si>
  <si>
    <t>2363-8346</t>
  </si>
  <si>
    <t>https://link.springer.com/journal/40894</t>
  </si>
  <si>
    <t>Behavioral Science and Psychology</t>
  </si>
  <si>
    <t>SNS16</t>
  </si>
  <si>
    <t>Adsorption</t>
  </si>
  <si>
    <t>1572-8757</t>
  </si>
  <si>
    <t>0929-5607</t>
  </si>
  <si>
    <t>https://link.springer.com/journal/10450</t>
  </si>
  <si>
    <t>Advanced Composites and Hybrid Materials</t>
  </si>
  <si>
    <t>2522-0136</t>
  </si>
  <si>
    <t>2522-0128</t>
  </si>
  <si>
    <t>https://link.springer.com/journal/42114</t>
  </si>
  <si>
    <t>SNS18</t>
  </si>
  <si>
    <t>Advanced Fiber Materials</t>
  </si>
  <si>
    <t>2524-793X</t>
  </si>
  <si>
    <t>2524-7921</t>
  </si>
  <si>
    <t>https://link.springer.com/journal/42765</t>
  </si>
  <si>
    <t>SNS19</t>
  </si>
  <si>
    <t>Advances in Applied Clifford Algebras</t>
  </si>
  <si>
    <t>1661-4909</t>
  </si>
  <si>
    <t>0188-7009</t>
  </si>
  <si>
    <t>https://link.springer.com/journal/6</t>
  </si>
  <si>
    <t>Birkhäuser</t>
  </si>
  <si>
    <t>Advances in Astronautics Science and Technology</t>
  </si>
  <si>
    <t>2524-5260</t>
  </si>
  <si>
    <t>2524-5252</t>
  </si>
  <si>
    <t>https://link.springer.com/journal/42423</t>
  </si>
  <si>
    <t>Advances in Atmospheric Sciences</t>
  </si>
  <si>
    <t>1861-9533</t>
  </si>
  <si>
    <t>0256-1530</t>
  </si>
  <si>
    <t>https://link.springer.com/journal/376</t>
  </si>
  <si>
    <t>Advances in Computational Intelligence</t>
  </si>
  <si>
    <t>2730-7808</t>
  </si>
  <si>
    <t>2730-7794</t>
  </si>
  <si>
    <t>https://link.springer.com/journal/43674</t>
  </si>
  <si>
    <t>SNS21</t>
  </si>
  <si>
    <t>Advances in Computational Mathematics</t>
  </si>
  <si>
    <t>1572-9044</t>
  </si>
  <si>
    <t>1019-7168</t>
  </si>
  <si>
    <t>https://link.springer.com/journal/10444</t>
  </si>
  <si>
    <t>Advances in Data Analysis and Classification</t>
  </si>
  <si>
    <t>1862-5355</t>
  </si>
  <si>
    <t>1862-5347</t>
  </si>
  <si>
    <t>https://link.springer.com/journal/11634</t>
  </si>
  <si>
    <t>SNS7</t>
  </si>
  <si>
    <t>Advances in Gerontology</t>
  </si>
  <si>
    <t>2079-0589</t>
  </si>
  <si>
    <t>2079-0570</t>
  </si>
  <si>
    <t>https://link.springer.com/journal/13329</t>
  </si>
  <si>
    <t>SNS11</t>
  </si>
  <si>
    <t>Advances in Health Sciences Education</t>
  </si>
  <si>
    <t>1573-1677</t>
  </si>
  <si>
    <t>1382-4996</t>
  </si>
  <si>
    <t>https://link.springer.com/journal/10459</t>
  </si>
  <si>
    <t>Advances in Manufacturing</t>
  </si>
  <si>
    <t>2195-3597</t>
  </si>
  <si>
    <t>2095-3127</t>
  </si>
  <si>
    <t>https://link.springer.com/journal/40436</t>
  </si>
  <si>
    <t>Shanghai University, co-published with Springer</t>
  </si>
  <si>
    <t>SNS13</t>
  </si>
  <si>
    <t>Advances in Neurodevelopmental Disorders</t>
  </si>
  <si>
    <t>2366-7540</t>
  </si>
  <si>
    <t>2366-7532</t>
  </si>
  <si>
    <t>https://link.springer.com/journal/41252</t>
  </si>
  <si>
    <t>SNS17</t>
  </si>
  <si>
    <t>Advances in Operator Theory</t>
  </si>
  <si>
    <t>2538-225X</t>
  </si>
  <si>
    <t>2662-2009</t>
  </si>
  <si>
    <t>https://link.springer.com/journal/43036</t>
  </si>
  <si>
    <t>TO20</t>
  </si>
  <si>
    <t>Advances in Traditional Medicine</t>
  </si>
  <si>
    <t>2662-4060</t>
  </si>
  <si>
    <t>2662-4052</t>
  </si>
  <si>
    <t>https://link.springer.com/journal/13596</t>
  </si>
  <si>
    <t>TO11</t>
  </si>
  <si>
    <t>Adversity and Resilience Science</t>
  </si>
  <si>
    <t>2662-2416</t>
  </si>
  <si>
    <t>2662-2424</t>
  </si>
  <si>
    <t>https://link.springer.com/journal/42844</t>
  </si>
  <si>
    <t>Aequationes mathematicae</t>
  </si>
  <si>
    <t>1420-8903</t>
  </si>
  <si>
    <t>0001-9054</t>
  </si>
  <si>
    <t>https://link.springer.com/journal/10</t>
  </si>
  <si>
    <t>Aerobiologia</t>
  </si>
  <si>
    <t>1573-3025</t>
  </si>
  <si>
    <t>0393-5965</t>
  </si>
  <si>
    <t>https://link.springer.com/journal/10453</t>
  </si>
  <si>
    <t>Aerosol Science and Engineering</t>
  </si>
  <si>
    <t>2510-3768</t>
  </si>
  <si>
    <t>2510-375X</t>
  </si>
  <si>
    <t>https://link.springer.com/journal/41810</t>
  </si>
  <si>
    <t>Aerospace Systems</t>
  </si>
  <si>
    <t>2523-3955</t>
  </si>
  <si>
    <t>2523-3947</t>
  </si>
  <si>
    <t>https://link.springer.com/journal/42401</t>
  </si>
  <si>
    <t>Aerotecnica Missili &amp; Spazio</t>
  </si>
  <si>
    <t>2524-6968</t>
  </si>
  <si>
    <t>0365-7442</t>
  </si>
  <si>
    <t>https://link.springer.com/journal/42496</t>
  </si>
  <si>
    <t>Aesthetic Plastic Surgery</t>
  </si>
  <si>
    <t>1432-5241</t>
  </si>
  <si>
    <t>0364-216X</t>
  </si>
  <si>
    <t>https://link.springer.com/journal/266</t>
  </si>
  <si>
    <t>Affective Science</t>
  </si>
  <si>
    <t>2662-205X</t>
  </si>
  <si>
    <t>2662-2041</t>
  </si>
  <si>
    <t>https://link.springer.com/journal/42761</t>
  </si>
  <si>
    <t>African Archaeological Review</t>
  </si>
  <si>
    <t>1572-9842</t>
  </si>
  <si>
    <t>0263-0338</t>
  </si>
  <si>
    <t>https://link.springer.com/journal/10437</t>
  </si>
  <si>
    <t>Afrika Matematika</t>
  </si>
  <si>
    <t>2190-7668</t>
  </si>
  <si>
    <t>1012-9405</t>
  </si>
  <si>
    <t>https://link.springer.com/journal/13370</t>
  </si>
  <si>
    <t>Ageing International</t>
  </si>
  <si>
    <t>1936-606X</t>
  </si>
  <si>
    <t>0163-5158</t>
  </si>
  <si>
    <t>https://link.springer.com/journal/12126</t>
  </si>
  <si>
    <t>Agricultural Research</t>
  </si>
  <si>
    <t>2249-7218</t>
  </si>
  <si>
    <t>2249-720X</t>
  </si>
  <si>
    <t>https://link.springer.com/journal/40003</t>
  </si>
  <si>
    <t>SNS12</t>
  </si>
  <si>
    <t>Agriculture and Human Values</t>
  </si>
  <si>
    <t>1572-8366</t>
  </si>
  <si>
    <t>0889-048X</t>
  </si>
  <si>
    <t>https://link.springer.com/journal/10460</t>
  </si>
  <si>
    <t>Agroforestry Systems</t>
  </si>
  <si>
    <t>1572-9680</t>
  </si>
  <si>
    <t>0167-4366</t>
  </si>
  <si>
    <t>https://link.springer.com/journal/10457</t>
  </si>
  <si>
    <t>Agronomy for Sustainable Development</t>
  </si>
  <si>
    <t>1773-0155</t>
  </si>
  <si>
    <t>1774-0746</t>
  </si>
  <si>
    <t>https://link.springer.com/journal/13593</t>
  </si>
  <si>
    <t>AI &amp; SOCIETY</t>
  </si>
  <si>
    <t>1435-5655</t>
  </si>
  <si>
    <t>0951-5666</t>
  </si>
  <si>
    <t>https://link.springer.com/journal/146</t>
  </si>
  <si>
    <t>AI and Ethics</t>
  </si>
  <si>
    <t>2730-5961</t>
  </si>
  <si>
    <t>2730-5953</t>
  </si>
  <si>
    <t>https://link.springer.com/journal/43681</t>
  </si>
  <si>
    <t>AIDS and Behavior</t>
  </si>
  <si>
    <t>1573-3254</t>
  </si>
  <si>
    <t>1090-7165</t>
  </si>
  <si>
    <t>https://link.springer.com/journal/10461</t>
  </si>
  <si>
    <t>Air Quality, Atmosphere &amp; Health</t>
  </si>
  <si>
    <t>1873-9326</t>
  </si>
  <si>
    <t>https://link.springer.com/journal/11869</t>
  </si>
  <si>
    <t>SNS8</t>
  </si>
  <si>
    <t>Akupunktur &amp; Aurikulomedizin</t>
  </si>
  <si>
    <t>2196-6400</t>
  </si>
  <si>
    <t>2192-9319</t>
  </si>
  <si>
    <t>https://link.springer.com/journal/15009</t>
  </si>
  <si>
    <t>SpringerMedizin</t>
  </si>
  <si>
    <t>Algebra and Logic</t>
  </si>
  <si>
    <t>1573-8302</t>
  </si>
  <si>
    <t>0002-5232</t>
  </si>
  <si>
    <t>https://link.springer.com/journal/10469</t>
  </si>
  <si>
    <t>Algebra universalis</t>
  </si>
  <si>
    <t>1420-8911</t>
  </si>
  <si>
    <t>0002-5240</t>
  </si>
  <si>
    <t>https://link.springer.com/journal/12</t>
  </si>
  <si>
    <t>Algebras and Representation Theory</t>
  </si>
  <si>
    <t>1572-9079</t>
  </si>
  <si>
    <t>1386-923X</t>
  </si>
  <si>
    <t>https://link.springer.com/journal/10468</t>
  </si>
  <si>
    <t>Algorithmica</t>
  </si>
  <si>
    <t>1432-0541</t>
  </si>
  <si>
    <t>0178-4617</t>
  </si>
  <si>
    <t>https://link.springer.com/journal/453</t>
  </si>
  <si>
    <t>Allergo Journal</t>
  </si>
  <si>
    <t>2195-6405</t>
  </si>
  <si>
    <t>0941-8849</t>
  </si>
  <si>
    <t>https://link.springer.com/journal/15007</t>
  </si>
  <si>
    <t>Allergo Journal International</t>
  </si>
  <si>
    <t>2197-0378</t>
  </si>
  <si>
    <t>https://link.springer.com/journal/40629</t>
  </si>
  <si>
    <t>SNS14</t>
  </si>
  <si>
    <t>Alpine Botany</t>
  </si>
  <si>
    <t>1664-221X</t>
  </si>
  <si>
    <t>1664-2201</t>
  </si>
  <si>
    <t>https://link.springer.com/journal/35</t>
  </si>
  <si>
    <t>Ambio</t>
  </si>
  <si>
    <t>1654-7209</t>
  </si>
  <si>
    <t>0044-7447</t>
  </si>
  <si>
    <t>https://link.springer.com/journal/13280</t>
  </si>
  <si>
    <t>American Journal of Criminal Justice</t>
  </si>
  <si>
    <t>1936-1351</t>
  </si>
  <si>
    <t>1066-2316</t>
  </si>
  <si>
    <t>https://link.springer.com/journal/12103</t>
  </si>
  <si>
    <t>Law and Criminology</t>
  </si>
  <si>
    <t>American Journal of Dance Therapy</t>
  </si>
  <si>
    <t>1573-3262</t>
  </si>
  <si>
    <t>0146-3721</t>
  </si>
  <si>
    <t>https://link.springer.com/journal/10465</t>
  </si>
  <si>
    <t>American Journal of Potato Research</t>
  </si>
  <si>
    <t>1874-9380</t>
  </si>
  <si>
    <t>1099-209X</t>
  </si>
  <si>
    <t>https://link.springer.com/journal/12230</t>
  </si>
  <si>
    <t>Amino Acids</t>
  </si>
  <si>
    <t>1438-2199</t>
  </si>
  <si>
    <t>0939-4451</t>
  </si>
  <si>
    <t>https://link.springer.com/journal/726</t>
  </si>
  <si>
    <t>AMS Review</t>
  </si>
  <si>
    <t>1869-8182</t>
  </si>
  <si>
    <t>1869-814X</t>
  </si>
  <si>
    <t>https://link.springer.com/journal/13162</t>
  </si>
  <si>
    <t>Analog Integrated Circuits and Signal Processing</t>
  </si>
  <si>
    <t>1573-1979</t>
  </si>
  <si>
    <t>0925-1030</t>
  </si>
  <si>
    <t>https://link.springer.com/journal/10470</t>
  </si>
  <si>
    <t>Analysis and Mathematical Physics</t>
  </si>
  <si>
    <t>1664-235X</t>
  </si>
  <si>
    <t>1664-2368</t>
  </si>
  <si>
    <t>https://link.springer.com/journal/13324</t>
  </si>
  <si>
    <t>Analysis Mathematica</t>
  </si>
  <si>
    <t>1588-273X</t>
  </si>
  <si>
    <t>0133-3852</t>
  </si>
  <si>
    <t>https://link.springer.com/journal/10476</t>
  </si>
  <si>
    <t>Analytical and Bioanalytical Chemistry</t>
  </si>
  <si>
    <t>1618-2650</t>
  </si>
  <si>
    <t>1618-2642</t>
  </si>
  <si>
    <t>https://link.springer.com/journal/216</t>
  </si>
  <si>
    <t>Anatomical Science International</t>
  </si>
  <si>
    <t>1447-073X</t>
  </si>
  <si>
    <t>1447-6959</t>
  </si>
  <si>
    <t>https://link.springer.com/journal/12565</t>
  </si>
  <si>
    <t>TO9</t>
  </si>
  <si>
    <t>Angiogenesis</t>
  </si>
  <si>
    <t>1573-7209</t>
  </si>
  <si>
    <t>0969-6970</t>
  </si>
  <si>
    <t>https://link.springer.com/journal/10456</t>
  </si>
  <si>
    <t>Animal Cognition</t>
  </si>
  <si>
    <t>1435-9456</t>
  </si>
  <si>
    <t>1435-9448</t>
  </si>
  <si>
    <t>https://link.springer.com/journal/10071</t>
  </si>
  <si>
    <t>Annales Henri Poincaré</t>
  </si>
  <si>
    <t>1424-0661</t>
  </si>
  <si>
    <t>1424-0637</t>
  </si>
  <si>
    <t>https://link.springer.com/journal/23</t>
  </si>
  <si>
    <t>Annales mathématiques du Québec</t>
  </si>
  <si>
    <t>2195-4763</t>
  </si>
  <si>
    <t>2195-4755</t>
  </si>
  <si>
    <t>https://link.springer.com/journal/40316</t>
  </si>
  <si>
    <t>ANNALI DELL'UNIVERSITA' DI FERRARA</t>
  </si>
  <si>
    <t>1827-1510</t>
  </si>
  <si>
    <t>0430-3202</t>
  </si>
  <si>
    <t>https://link.springer.com/journal/11565</t>
  </si>
  <si>
    <t>Annali di Matematica Pura ed Applicata (1923 -)</t>
  </si>
  <si>
    <t>1618-1891</t>
  </si>
  <si>
    <t>0373-3114</t>
  </si>
  <si>
    <t>https://link.springer.com/journal/10231</t>
  </si>
  <si>
    <t>Annals of Biomedical Engineering</t>
  </si>
  <si>
    <t>1573-9686</t>
  </si>
  <si>
    <t>https://link.springer.com/journal/10439</t>
  </si>
  <si>
    <t>Annals of Combinatorics</t>
  </si>
  <si>
    <t>0219-3094</t>
  </si>
  <si>
    <t>0218-0006</t>
  </si>
  <si>
    <t>https://link.springer.com/journal/26</t>
  </si>
  <si>
    <t>Annals of Data Science</t>
  </si>
  <si>
    <t>2198-5812</t>
  </si>
  <si>
    <t>2198-5804</t>
  </si>
  <si>
    <t>https://link.springer.com/journal/40745</t>
  </si>
  <si>
    <t>Annals of Dyslexia</t>
  </si>
  <si>
    <t>1934-7243</t>
  </si>
  <si>
    <t>0736-9387</t>
  </si>
  <si>
    <t>https://link.springer.com/journal/11881</t>
  </si>
  <si>
    <t>Annals of Finance</t>
  </si>
  <si>
    <t>1614-2454</t>
  </si>
  <si>
    <t>1614-2446</t>
  </si>
  <si>
    <t>https://link.springer.com/journal/10436</t>
  </si>
  <si>
    <t>Economics and Finance</t>
  </si>
  <si>
    <t>Annals of Functional Analysis</t>
  </si>
  <si>
    <t>2008-8752</t>
  </si>
  <si>
    <t>2639-7390</t>
  </si>
  <si>
    <t>https://link.springer.com/journal/43034</t>
  </si>
  <si>
    <t>Annals of Global Analysis and Geometry</t>
  </si>
  <si>
    <t>1572-9060</t>
  </si>
  <si>
    <t>0232-704X</t>
  </si>
  <si>
    <t>https://link.springer.com/journal/10455</t>
  </si>
  <si>
    <t>Annals of Hematology</t>
  </si>
  <si>
    <t>1432-0584</t>
  </si>
  <si>
    <t>0939-5555</t>
  </si>
  <si>
    <t>https://link.springer.com/journal/277</t>
  </si>
  <si>
    <t>Annals of Mathematics and Artificial Intelligence</t>
  </si>
  <si>
    <t>1573-7470</t>
  </si>
  <si>
    <t>1012-2443</t>
  </si>
  <si>
    <t>https://link.springer.com/journal/10472</t>
  </si>
  <si>
    <t>Annals of Nuclear Medicine</t>
  </si>
  <si>
    <t>1864-6433</t>
  </si>
  <si>
    <t>0914-7187</t>
  </si>
  <si>
    <t>https://link.springer.com/journal/12149</t>
  </si>
  <si>
    <t>Annals of Operations Research</t>
  </si>
  <si>
    <t>1572-9338</t>
  </si>
  <si>
    <t>0254-5330</t>
  </si>
  <si>
    <t>https://link.springer.com/journal/10479</t>
  </si>
  <si>
    <t>Annals of PDE</t>
  </si>
  <si>
    <t>2199-2576</t>
  </si>
  <si>
    <t>https://link.springer.com/journal/40818</t>
  </si>
  <si>
    <t>Annals of Surgical Oncology</t>
  </si>
  <si>
    <t>1534-4681</t>
  </si>
  <si>
    <t>1068-9265</t>
  </si>
  <si>
    <t>https://link.springer.com/journal/10434</t>
  </si>
  <si>
    <t>Annals of Telecommunications</t>
  </si>
  <si>
    <t>1958-9395</t>
  </si>
  <si>
    <t>0003-4347</t>
  </si>
  <si>
    <t>https://link.springer.com/journal/12243</t>
  </si>
  <si>
    <t>Annals of the Institute of Statistical Mathematics</t>
  </si>
  <si>
    <t>1572-9052</t>
  </si>
  <si>
    <t>0020-3157</t>
  </si>
  <si>
    <t>https://link.springer.com/journal/10463</t>
  </si>
  <si>
    <t>Anthropocene Science</t>
  </si>
  <si>
    <t>2731-3980</t>
  </si>
  <si>
    <t>https://link.springer.com/journal/44177</t>
  </si>
  <si>
    <t>SNS22</t>
  </si>
  <si>
    <t>Antonie van Leeuwenhoek</t>
  </si>
  <si>
    <t>1572-9699</t>
  </si>
  <si>
    <t>0003-6072</t>
  </si>
  <si>
    <t>https://link.springer.com/journal/10482</t>
  </si>
  <si>
    <t>Apidologie</t>
  </si>
  <si>
    <t>1297-9678</t>
  </si>
  <si>
    <t>0044-8435</t>
  </si>
  <si>
    <t>https://link.springer.com/journal/13592</t>
  </si>
  <si>
    <t>Apoptosis</t>
  </si>
  <si>
    <t>1573-675X</t>
  </si>
  <si>
    <t>1360-8185</t>
  </si>
  <si>
    <t>https://link.springer.com/journal/10495</t>
  </si>
  <si>
    <t>Applicable Algebra in Engineering, Communication and Computing</t>
  </si>
  <si>
    <t>1432-0622</t>
  </si>
  <si>
    <t>0938-1279</t>
  </si>
  <si>
    <t>https://link.springer.com/journal/200</t>
  </si>
  <si>
    <t>Applications of Mathematics</t>
  </si>
  <si>
    <t>1572-9109</t>
  </si>
  <si>
    <t>0862-7940</t>
  </si>
  <si>
    <t>https://link.springer.com/journal/10492</t>
  </si>
  <si>
    <t>Applied Biochemistry and Biotechnology</t>
  </si>
  <si>
    <t>1559-0291</t>
  </si>
  <si>
    <t>0273-2289</t>
  </si>
  <si>
    <t>https://link.springer.com/journal/12010</t>
  </si>
  <si>
    <t>Applied Biochemistry and Microbiology</t>
  </si>
  <si>
    <t>1608-3024</t>
  </si>
  <si>
    <t>0003-6838</t>
  </si>
  <si>
    <t>https://link.springer.com/journal/10438</t>
  </si>
  <si>
    <t>Applied Categorical Structures</t>
  </si>
  <si>
    <t>1572-9095</t>
  </si>
  <si>
    <t>0927-2852</t>
  </si>
  <si>
    <t>https://link.springer.com/journal/10485</t>
  </si>
  <si>
    <t>Applied Composite Materials</t>
  </si>
  <si>
    <t>1573-4897</t>
  </si>
  <si>
    <t>0929-189X</t>
  </si>
  <si>
    <t>https://link.springer.com/journal/10443</t>
  </si>
  <si>
    <t>Applied Entomology and Zoology</t>
  </si>
  <si>
    <t>1347-605X</t>
  </si>
  <si>
    <t>0003-6862</t>
  </si>
  <si>
    <t>https://link.springer.com/journal/13355</t>
  </si>
  <si>
    <t>Applied Geomatics</t>
  </si>
  <si>
    <t>1866-928X</t>
  </si>
  <si>
    <t>1866-9298</t>
  </si>
  <si>
    <t>https://link.springer.com/journal/12518</t>
  </si>
  <si>
    <t>Applied Geophysics</t>
  </si>
  <si>
    <t>1993-0658</t>
  </si>
  <si>
    <t>1672-7975</t>
  </si>
  <si>
    <t>https://link.springer.com/journal/11770</t>
  </si>
  <si>
    <t>Chinese Geophysical Society, co-published with Springer</t>
  </si>
  <si>
    <t>Applied Intelligence</t>
  </si>
  <si>
    <t>1573-7497</t>
  </si>
  <si>
    <t>0924-669X</t>
  </si>
  <si>
    <t>https://link.springer.com/journal/10489</t>
  </si>
  <si>
    <t>Applied Magnetic Resonance</t>
  </si>
  <si>
    <t>1613-7507</t>
  </si>
  <si>
    <t>0937-9347</t>
  </si>
  <si>
    <t>https://link.springer.com/journal/723</t>
  </si>
  <si>
    <t>Applied Mathematics &amp; Optimization</t>
  </si>
  <si>
    <t>1432-0606</t>
  </si>
  <si>
    <t>0095-4616</t>
  </si>
  <si>
    <t>https://link.springer.com/journal/245</t>
  </si>
  <si>
    <t>Applied Mathematics and Mechanics</t>
  </si>
  <si>
    <t>1573-2754</t>
  </si>
  <si>
    <t>0253-4827</t>
  </si>
  <si>
    <t>https://link.springer.com/journal/10483</t>
  </si>
  <si>
    <t>Applied Mathematics-A Journal of Chinese Universities</t>
  </si>
  <si>
    <t>1993-0445</t>
  </si>
  <si>
    <t>1005-1031</t>
  </si>
  <si>
    <t>https://link.springer.com/journal/11766</t>
  </si>
  <si>
    <t>Editorial Committee of Applied Mathematics - A Journal of Chinese Universities, co-published with Springer</t>
  </si>
  <si>
    <t>Applied Microbiology and Biotechnology</t>
  </si>
  <si>
    <t>1432-0614</t>
  </si>
  <si>
    <t>0175-7598</t>
  </si>
  <si>
    <t>https://link.springer.com/journal/253</t>
  </si>
  <si>
    <t>Applied Nanoscience</t>
  </si>
  <si>
    <t>2190-5517</t>
  </si>
  <si>
    <t>2190-5509</t>
  </si>
  <si>
    <t>https://link.springer.com/journal/13204</t>
  </si>
  <si>
    <t>Applied Physics A</t>
  </si>
  <si>
    <t>1432-0630</t>
  </si>
  <si>
    <t>0947-8396</t>
  </si>
  <si>
    <t>https://link.springer.com/journal/339</t>
  </si>
  <si>
    <t>Applied Physics B</t>
  </si>
  <si>
    <t>1432-0649</t>
  </si>
  <si>
    <t>0946-2171</t>
  </si>
  <si>
    <t>https://link.springer.com/journal/340</t>
  </si>
  <si>
    <t>Applied Psychophysiology and Biofeedback</t>
  </si>
  <si>
    <t>1573-3270</t>
  </si>
  <si>
    <t>1090-0586</t>
  </si>
  <si>
    <t>https://link.springer.com/journal/10484</t>
  </si>
  <si>
    <t>Applied Research in Quality of Life</t>
  </si>
  <si>
    <t>1871-2576</t>
  </si>
  <si>
    <t>1871-2584</t>
  </si>
  <si>
    <t>https://link.springer.com/journal/11482</t>
  </si>
  <si>
    <t>Applied Solar Energy</t>
  </si>
  <si>
    <t>1934-9424</t>
  </si>
  <si>
    <t>0003-701X</t>
  </si>
  <si>
    <t>https://link.springer.com/journal/11949</t>
  </si>
  <si>
    <t>Applied Spatial Analysis and Policy</t>
  </si>
  <si>
    <t>1874-4621</t>
  </si>
  <si>
    <t>https://link.springer.com/journal/12061</t>
  </si>
  <si>
    <t>Aquaculture International</t>
  </si>
  <si>
    <t>1573-143X</t>
  </si>
  <si>
    <t>0967-6120</t>
  </si>
  <si>
    <t>https://link.springer.com/journal/10499</t>
  </si>
  <si>
    <t>Aquatic Ecology</t>
  </si>
  <si>
    <t>1573-5125</t>
  </si>
  <si>
    <t>1386-2588</t>
  </si>
  <si>
    <t>https://link.springer.com/journal/10452</t>
  </si>
  <si>
    <t>Aquatic Geochemistry</t>
  </si>
  <si>
    <t>1573-1421</t>
  </si>
  <si>
    <t>1380-6165</t>
  </si>
  <si>
    <t>https://link.springer.com/journal/10498</t>
  </si>
  <si>
    <t>Aquatic Sciences</t>
  </si>
  <si>
    <t>1420-9055</t>
  </si>
  <si>
    <t>1015-1621</t>
  </si>
  <si>
    <t>https://link.springer.com/journal/27</t>
  </si>
  <si>
    <t>Arabian Journal for Science and Engineering</t>
  </si>
  <si>
    <t>2191-4281</t>
  </si>
  <si>
    <t>2193-567X</t>
  </si>
  <si>
    <t>https://link.springer.com/journal/13369</t>
  </si>
  <si>
    <t>Arabian Journal of Geosciences</t>
  </si>
  <si>
    <t>1866-7538</t>
  </si>
  <si>
    <t>1866-7511</t>
  </si>
  <si>
    <t>https://link.springer.com/journal/12517</t>
  </si>
  <si>
    <t>Archaeological and Anthropological Sciences</t>
  </si>
  <si>
    <t>1866-9565</t>
  </si>
  <si>
    <t>1866-9557</t>
  </si>
  <si>
    <t>https://link.springer.com/journal/12520</t>
  </si>
  <si>
    <t>Archaeologies</t>
  </si>
  <si>
    <t>1935-3987</t>
  </si>
  <si>
    <t>1555-8622</t>
  </si>
  <si>
    <t>https://link.springer.com/journal/11759</t>
  </si>
  <si>
    <t>Architecture, Structures and Construction</t>
  </si>
  <si>
    <t>2730-9894</t>
  </si>
  <si>
    <t>2730-9886</t>
  </si>
  <si>
    <t>https://link.springer.com/journal/44150</t>
  </si>
  <si>
    <t>Archiv der Mathematik</t>
  </si>
  <si>
    <t>1420-8938</t>
  </si>
  <si>
    <t>0003-889X</t>
  </si>
  <si>
    <t>https://link.springer.com/journal/13</t>
  </si>
  <si>
    <t>Archival Science</t>
  </si>
  <si>
    <t>1573-7500</t>
  </si>
  <si>
    <t>1389-0166</t>
  </si>
  <si>
    <t>https://link.springer.com/journal/10502</t>
  </si>
  <si>
    <t>Literature, Cultural and Media Studies</t>
  </si>
  <si>
    <t>Archive for History of Exact Sciences</t>
  </si>
  <si>
    <t>1432-0657</t>
  </si>
  <si>
    <t>0003-9519</t>
  </si>
  <si>
    <t>https://link.springer.com/journal/407</t>
  </si>
  <si>
    <t>Archive for Mathematical Logic</t>
  </si>
  <si>
    <t>1432-0665</t>
  </si>
  <si>
    <t>0933-5846</t>
  </si>
  <si>
    <t>https://link.springer.com/journal/153</t>
  </si>
  <si>
    <t>Archive for Rational Mechanics and Analysis</t>
  </si>
  <si>
    <t>1432-0673</t>
  </si>
  <si>
    <t>0003-9527</t>
  </si>
  <si>
    <t>https://link.springer.com/journal/205</t>
  </si>
  <si>
    <t>Archive of Applied Mechanics</t>
  </si>
  <si>
    <t>1432-0681</t>
  </si>
  <si>
    <t>0939-1533</t>
  </si>
  <si>
    <t>https://link.springer.com/journal/419</t>
  </si>
  <si>
    <t>Archives of Civil and Mechanical Engineering</t>
  </si>
  <si>
    <t>1644-9665</t>
  </si>
  <si>
    <t>https://link.springer.com/journal/43452</t>
  </si>
  <si>
    <t>Archives of Computational Methods in Engineering</t>
  </si>
  <si>
    <t>1886-1784</t>
  </si>
  <si>
    <t>1134-3060</t>
  </si>
  <si>
    <t>https://link.springer.com/journal/11831</t>
  </si>
  <si>
    <t>Archives of Dermatological Research</t>
  </si>
  <si>
    <t>1432-069X</t>
  </si>
  <si>
    <t>https://link.springer.com/journal/403</t>
  </si>
  <si>
    <t>Archives of Environmental Contamination and Toxicology</t>
  </si>
  <si>
    <t>1432-0703</t>
  </si>
  <si>
    <t>0090-4341</t>
  </si>
  <si>
    <t>https://link.springer.com/journal/244</t>
  </si>
  <si>
    <t>Archives of Gynecology and Obstetrics</t>
  </si>
  <si>
    <t>1432-0711</t>
  </si>
  <si>
    <t>https://link.springer.com/journal/404</t>
  </si>
  <si>
    <t>Archives of Microbiology</t>
  </si>
  <si>
    <t>1432-072X</t>
  </si>
  <si>
    <t>0302-8933</t>
  </si>
  <si>
    <t>https://link.springer.com/journal/203</t>
  </si>
  <si>
    <t>Archives of Orthopaedic and Trauma Surgery</t>
  </si>
  <si>
    <t>1434-3916</t>
  </si>
  <si>
    <t>https://link.springer.com/journal/402</t>
  </si>
  <si>
    <t>Archives of Osteoporosis</t>
  </si>
  <si>
    <t>1862-3514</t>
  </si>
  <si>
    <t>https://link.springer.com/journal/11657</t>
  </si>
  <si>
    <t>Archives of Pharmacal Research</t>
  </si>
  <si>
    <t>1976-3786</t>
  </si>
  <si>
    <t>0253-6269</t>
  </si>
  <si>
    <t>https://link.springer.com/journal/12272</t>
  </si>
  <si>
    <t>Pharmaceutical Society of Korea, co-published with Springer</t>
  </si>
  <si>
    <t>Archives of Sexual Behavior</t>
  </si>
  <si>
    <t>1573-2800</t>
  </si>
  <si>
    <t>0004-0002</t>
  </si>
  <si>
    <t>https://link.springer.com/journal/10508</t>
  </si>
  <si>
    <t>Archives of Toxicology</t>
  </si>
  <si>
    <t>1432-0738</t>
  </si>
  <si>
    <t>0340-5761</t>
  </si>
  <si>
    <t>https://link.springer.com/journal/204</t>
  </si>
  <si>
    <t>Archives of Virology</t>
  </si>
  <si>
    <t>1432-8798</t>
  </si>
  <si>
    <t>0304-8608</t>
  </si>
  <si>
    <t>https://link.springer.com/journal/705</t>
  </si>
  <si>
    <t>Archives of Women's Mental Health</t>
  </si>
  <si>
    <t>1435-1102</t>
  </si>
  <si>
    <t>1434-1816</t>
  </si>
  <si>
    <t>https://link.springer.com/journal/737</t>
  </si>
  <si>
    <t>Argumentation</t>
  </si>
  <si>
    <t>1572-8374</t>
  </si>
  <si>
    <t>0920-427X</t>
  </si>
  <si>
    <t>https://link.springer.com/journal/10503</t>
  </si>
  <si>
    <t>Arid Ecosystems</t>
  </si>
  <si>
    <t>2079-0988</t>
  </si>
  <si>
    <t>2079-0961</t>
  </si>
  <si>
    <t>https://link.springer.com/journal/13330</t>
  </si>
  <si>
    <t>Arnold Mathematical Journal</t>
  </si>
  <si>
    <t>2199-6806</t>
  </si>
  <si>
    <t>2199-6792</t>
  </si>
  <si>
    <t>https://link.springer.com/journal/40598</t>
  </si>
  <si>
    <t>Arthropod-Plant Interactions</t>
  </si>
  <si>
    <t>1872-8847</t>
  </si>
  <si>
    <t>https://link.springer.com/journal/11829</t>
  </si>
  <si>
    <t>Arthroskopie</t>
  </si>
  <si>
    <t>1434-3924</t>
  </si>
  <si>
    <t>0933-7946</t>
  </si>
  <si>
    <t>https://link.springer.com/journal/142</t>
  </si>
  <si>
    <t>Artificial Intelligence and Law</t>
  </si>
  <si>
    <t>1572-8382</t>
  </si>
  <si>
    <t>0924-8463</t>
  </si>
  <si>
    <t>https://link.springer.com/journal/10506</t>
  </si>
  <si>
    <t>Artificial Intelligence Review</t>
  </si>
  <si>
    <t>1573-7462</t>
  </si>
  <si>
    <t>0269-2821</t>
  </si>
  <si>
    <t>https://link.springer.com/journal/10462</t>
  </si>
  <si>
    <t>Artificial Life and Robotics</t>
  </si>
  <si>
    <t>1614-7456</t>
  </si>
  <si>
    <t>1433-5298</t>
  </si>
  <si>
    <t>https://link.springer.com/journal/10015</t>
  </si>
  <si>
    <t>Asia Europe Journal</t>
  </si>
  <si>
    <t>1612-1031</t>
  </si>
  <si>
    <t>1610-2932</t>
  </si>
  <si>
    <t>https://link.springer.com/journal/10308</t>
  </si>
  <si>
    <t>Asia Pacific Education Review</t>
  </si>
  <si>
    <t>1876-407X</t>
  </si>
  <si>
    <t>1598-1037</t>
  </si>
  <si>
    <t>https://link.springer.com/journal/12564</t>
  </si>
  <si>
    <t>Asia Pacific Journal of Management</t>
  </si>
  <si>
    <t>1572-9958</t>
  </si>
  <si>
    <t>0217-4561</t>
  </si>
  <si>
    <t>https://link.springer.com/journal/10490</t>
  </si>
  <si>
    <t>Asian Archaeology</t>
  </si>
  <si>
    <t>2520-8101</t>
  </si>
  <si>
    <t>2520-8098</t>
  </si>
  <si>
    <t>https://link.springer.com/journal/41826</t>
  </si>
  <si>
    <t>Asian Bioethics Review</t>
  </si>
  <si>
    <t>1793-9453</t>
  </si>
  <si>
    <t>1793-8759</t>
  </si>
  <si>
    <t>https://link.springer.com/journal/41649</t>
  </si>
  <si>
    <t>Asian Journal of Business Ethics</t>
  </si>
  <si>
    <t>2210-6731</t>
  </si>
  <si>
    <t>2210-6723</t>
  </si>
  <si>
    <t>https://link.springer.com/journal/13520</t>
  </si>
  <si>
    <t>Asian Journal of Civil Engineering</t>
  </si>
  <si>
    <t>2522-011X</t>
  </si>
  <si>
    <t>1563-0854</t>
  </si>
  <si>
    <t>https://link.springer.com/journal/42107</t>
  </si>
  <si>
    <t>Asian Journal of Criminology</t>
  </si>
  <si>
    <t>1871-014X</t>
  </si>
  <si>
    <t>1871-0131</t>
  </si>
  <si>
    <t>https://link.springer.com/journal/11417</t>
  </si>
  <si>
    <t>Asian Journal of Philosophy</t>
  </si>
  <si>
    <t>2731-4642</t>
  </si>
  <si>
    <t>https://link.springer.com/journal/44204</t>
  </si>
  <si>
    <t>Asia-Pacific Financial Markets</t>
  </si>
  <si>
    <t>1573-6946</t>
  </si>
  <si>
    <t>1387-2834</t>
  </si>
  <si>
    <t>https://link.springer.com/journal/10690</t>
  </si>
  <si>
    <t>Asia-Pacific Journal of Atmospheric Sciences</t>
  </si>
  <si>
    <t>1976-7951</t>
  </si>
  <si>
    <t>1976-7633</t>
  </si>
  <si>
    <t>https://link.springer.com/journal/13143</t>
  </si>
  <si>
    <t>Korean Meteorological Society, co-published with Springer</t>
  </si>
  <si>
    <t>Asia-Pacific Journal of Regional Science</t>
  </si>
  <si>
    <t>2509-7954</t>
  </si>
  <si>
    <t>2509-7946</t>
  </si>
  <si>
    <t>https://link.springer.com/journal/41685</t>
  </si>
  <si>
    <t>AStA Advances in Statistical Analysis</t>
  </si>
  <si>
    <t>1863-818X</t>
  </si>
  <si>
    <t>1863-8171</t>
  </si>
  <si>
    <t>https://link.springer.com/journal/10182</t>
  </si>
  <si>
    <t>AStA Wirtschafts- und Sozialstatistisches Archiv</t>
  </si>
  <si>
    <t>1863-8163</t>
  </si>
  <si>
    <t>1863-8155</t>
  </si>
  <si>
    <t>https://link.springer.com/journal/11943</t>
  </si>
  <si>
    <t>ästhetische dermatologie &amp; kosmetologie</t>
  </si>
  <si>
    <t>2198-6517</t>
  </si>
  <si>
    <t>1867-481X</t>
  </si>
  <si>
    <t>https://link.springer.com/journal/12634</t>
  </si>
  <si>
    <t>Astrodynamics</t>
  </si>
  <si>
    <t>2522-0098</t>
  </si>
  <si>
    <t>2522-008X</t>
  </si>
  <si>
    <t>https://link.springer.com/journal/42064</t>
  </si>
  <si>
    <t>Tsinghua University Press, co-published with Springer</t>
  </si>
  <si>
    <t>Astronomy Letters</t>
  </si>
  <si>
    <t>1562-6873</t>
  </si>
  <si>
    <t>1063-7737</t>
  </si>
  <si>
    <t>https://link.springer.com/journal/11443</t>
  </si>
  <si>
    <t>Astronomy Reports</t>
  </si>
  <si>
    <t>1562-6881</t>
  </si>
  <si>
    <t>1063-7729</t>
  </si>
  <si>
    <t>https://link.springer.com/journal/11444</t>
  </si>
  <si>
    <t>Astrophysical Bulletin</t>
  </si>
  <si>
    <t>1990-3421</t>
  </si>
  <si>
    <t>1990-3413</t>
  </si>
  <si>
    <t>https://link.springer.com/journal/11755</t>
  </si>
  <si>
    <t>Astrophysics</t>
  </si>
  <si>
    <t>1573-8191</t>
  </si>
  <si>
    <t>0571-7256</t>
  </si>
  <si>
    <t>https://link.springer.com/journal/10511</t>
  </si>
  <si>
    <t>Astrophysics and Space Science</t>
  </si>
  <si>
    <t>1572-946X</t>
  </si>
  <si>
    <t>0004-640X</t>
  </si>
  <si>
    <t>https://link.springer.com/journal/10509</t>
  </si>
  <si>
    <t>Atlantic Economic Journal</t>
  </si>
  <si>
    <t>1573-9678</t>
  </si>
  <si>
    <t>0197-4254</t>
  </si>
  <si>
    <t>https://link.springer.com/journal/11293</t>
  </si>
  <si>
    <t>Atmospheric and Oceanic Optics</t>
  </si>
  <si>
    <t>2070-0393</t>
  </si>
  <si>
    <t>1024-8560</t>
  </si>
  <si>
    <t>https://link.springer.com/journal/12605</t>
  </si>
  <si>
    <t>Atomic Energy</t>
  </si>
  <si>
    <t>1573-8205</t>
  </si>
  <si>
    <t>1063-4258</t>
  </si>
  <si>
    <t>https://link.springer.com/journal/10512</t>
  </si>
  <si>
    <t>Attention, Perception, &amp; Psychophysics</t>
  </si>
  <si>
    <t>1943-393X</t>
  </si>
  <si>
    <t>1943-3921</t>
  </si>
  <si>
    <t>https://link.springer.com/journal/13414</t>
  </si>
  <si>
    <t>ATZ - Automobiltechnische Zeitschrift</t>
  </si>
  <si>
    <t>2192-8800</t>
  </si>
  <si>
    <t>0001-2785</t>
  </si>
  <si>
    <t>https://link.springer.com/journal/35148</t>
  </si>
  <si>
    <t>ATZ worldwide</t>
  </si>
  <si>
    <t>2192-9076</t>
  </si>
  <si>
    <t>https://link.springer.com/journal/38311</t>
  </si>
  <si>
    <t>ATZelectronics worldwide</t>
  </si>
  <si>
    <t>2524-8804</t>
  </si>
  <si>
    <t>https://link.springer.com/journal/38314</t>
  </si>
  <si>
    <t>ATZelektronik</t>
  </si>
  <si>
    <t>2192-8878</t>
  </si>
  <si>
    <t>1862-1791</t>
  </si>
  <si>
    <t>https://link.springer.com/journal/35658</t>
  </si>
  <si>
    <t>ATZheavy duty</t>
  </si>
  <si>
    <t>2524-8790</t>
  </si>
  <si>
    <t>2524-8782</t>
  </si>
  <si>
    <t>https://link.springer.com/journal/35746</t>
  </si>
  <si>
    <t>Augmented Human Research</t>
  </si>
  <si>
    <t>2365-4325</t>
  </si>
  <si>
    <t>2365-4317</t>
  </si>
  <si>
    <t>https://link.springer.com/journal/41133</t>
  </si>
  <si>
    <t>Australasian Plant Pathology</t>
  </si>
  <si>
    <t>1448-6032</t>
  </si>
  <si>
    <t>0815-3191</t>
  </si>
  <si>
    <t>https://link.springer.com/journal/13313</t>
  </si>
  <si>
    <t>Automated Software Engineering</t>
  </si>
  <si>
    <t>1573-7535</t>
  </si>
  <si>
    <t>0928-8910</t>
  </si>
  <si>
    <t>https://link.springer.com/journal/10515</t>
  </si>
  <si>
    <t>Automatic Control and Computer Sciences</t>
  </si>
  <si>
    <t>1558-108X</t>
  </si>
  <si>
    <t>0146-4116</t>
  </si>
  <si>
    <t>https://link.springer.com/journal/11950</t>
  </si>
  <si>
    <t>Automatic Documentation and Mathematical Linguistics</t>
  </si>
  <si>
    <t>1934-8371</t>
  </si>
  <si>
    <t>0005-1055</t>
  </si>
  <si>
    <t>https://link.springer.com/journal/11952</t>
  </si>
  <si>
    <t>Automation and Remote Control</t>
  </si>
  <si>
    <t>1608-3032</t>
  </si>
  <si>
    <t>0005-1179</t>
  </si>
  <si>
    <t>https://link.springer.com/journal/10513</t>
  </si>
  <si>
    <t>Automotive and Engine Technology</t>
  </si>
  <si>
    <t>2365-5135</t>
  </si>
  <si>
    <t>https://link.springer.com/journal/41104</t>
  </si>
  <si>
    <t>Automotive Innovation</t>
  </si>
  <si>
    <t>2522-8765</t>
  </si>
  <si>
    <t>2096-4250</t>
  </si>
  <si>
    <t>https://link.springer.com/journal/42154</t>
  </si>
  <si>
    <t>Autonomous Agents and Multi-Agent Systems</t>
  </si>
  <si>
    <t>1573-7454</t>
  </si>
  <si>
    <t>1387-2532</t>
  </si>
  <si>
    <t>https://link.springer.com/journal/10458</t>
  </si>
  <si>
    <t>Autonomous Robots</t>
  </si>
  <si>
    <t>1573-7527</t>
  </si>
  <si>
    <t>0929-5593</t>
  </si>
  <si>
    <t>https://link.springer.com/journal/10514</t>
  </si>
  <si>
    <t>Global Philosophy</t>
  </si>
  <si>
    <t>1572-8390</t>
  </si>
  <si>
    <t>1122-1151</t>
  </si>
  <si>
    <t>https://link.springer.com/journal/10516</t>
  </si>
  <si>
    <t>Banach Journal of Mathematical Analysis</t>
  </si>
  <si>
    <t>1735-8787</t>
  </si>
  <si>
    <t>2662-2033</t>
  </si>
  <si>
    <t>https://link.springer.com/journal/43037</t>
  </si>
  <si>
    <t>Basic Research in Cardiology</t>
  </si>
  <si>
    <t>1435-1803</t>
  </si>
  <si>
    <t>https://link.springer.com/journal/395</t>
  </si>
  <si>
    <t>Behavior Analysis in Practice</t>
  </si>
  <si>
    <t>2196-8934</t>
  </si>
  <si>
    <t>1998-1929</t>
  </si>
  <si>
    <t>https://link.springer.com/journal/40617</t>
  </si>
  <si>
    <t>Behavior and Social Issues</t>
  </si>
  <si>
    <t>2376-6786</t>
  </si>
  <si>
    <t>1064-9506</t>
  </si>
  <si>
    <t>https://link.springer.com/journal/42822</t>
  </si>
  <si>
    <t>Behavior Genetics</t>
  </si>
  <si>
    <t>1573-3297</t>
  </si>
  <si>
    <t>0001-8244</t>
  </si>
  <si>
    <t>https://link.springer.com/journal/10519</t>
  </si>
  <si>
    <t>Behavior Research Methods</t>
  </si>
  <si>
    <t>1554-3528</t>
  </si>
  <si>
    <t>https://link.springer.com/journal/13428</t>
  </si>
  <si>
    <t>Behavioral Ecology and Sociobiology</t>
  </si>
  <si>
    <t>1432-0762</t>
  </si>
  <si>
    <t>0340-5443</t>
  </si>
  <si>
    <t>https://link.springer.com/journal/265</t>
  </si>
  <si>
    <t>Behaviormetrika</t>
  </si>
  <si>
    <t>1349-6964</t>
  </si>
  <si>
    <t>0385-7417</t>
  </si>
  <si>
    <t>https://link.springer.com/journal/41237</t>
  </si>
  <si>
    <t>Beiträge zur Algebra und Geometrie / Contributions to Algebra and Geometry</t>
  </si>
  <si>
    <t>2191-0383</t>
  </si>
  <si>
    <t>0138-4821</t>
  </si>
  <si>
    <t>https://link.springer.com/journal/13366</t>
  </si>
  <si>
    <t>Berliner Journal für Soziologie</t>
  </si>
  <si>
    <t>1862-2593</t>
  </si>
  <si>
    <t>0863-1808</t>
  </si>
  <si>
    <t>https://link.springer.com/journal/11609</t>
  </si>
  <si>
    <t>Springer VS</t>
  </si>
  <si>
    <t>best practice onkologie</t>
  </si>
  <si>
    <t>1862-8559</t>
  </si>
  <si>
    <t>0946-4565</t>
  </si>
  <si>
    <t>https://link.springer.com/journal/11654</t>
  </si>
  <si>
    <t>BHM Berg- und Hüttenmännische Monatshefte</t>
  </si>
  <si>
    <t>1613-7531</t>
  </si>
  <si>
    <t>0005-8912</t>
  </si>
  <si>
    <t>https://link.springer.com/journal/501</t>
  </si>
  <si>
    <t>Biochemical Genetics</t>
  </si>
  <si>
    <t>1573-4927</t>
  </si>
  <si>
    <t>0006-2928</t>
  </si>
  <si>
    <t>https://link.springer.com/journal/10528</t>
  </si>
  <si>
    <t>Biochemistry (Moscow)</t>
  </si>
  <si>
    <t>1608-3040</t>
  </si>
  <si>
    <t>0006-2979</t>
  </si>
  <si>
    <t>https://link.springer.com/journal/10541</t>
  </si>
  <si>
    <t>Biochemistry (Moscow), Supplement Series A: Membrane and Cell Biology</t>
  </si>
  <si>
    <t>1990-7494</t>
  </si>
  <si>
    <t>1990-7478</t>
  </si>
  <si>
    <t>https://link.springer.com/journal/11827</t>
  </si>
  <si>
    <t>Biochemistry (Moscow), Supplement Series B: Biomedical Chemistry</t>
  </si>
  <si>
    <t>1990-7516</t>
  </si>
  <si>
    <t>1990-7508</t>
  </si>
  <si>
    <t>https://link.springer.com/journal/11828</t>
  </si>
  <si>
    <t>BioChip Journal</t>
  </si>
  <si>
    <t>2092-7843</t>
  </si>
  <si>
    <t>1976-0280</t>
  </si>
  <si>
    <t>https://link.springer.com/journal/13206</t>
  </si>
  <si>
    <t>The Korean BioChip Society (KBCS), co-published with Springer</t>
  </si>
  <si>
    <t>BioControl</t>
  </si>
  <si>
    <t>1573-8248</t>
  </si>
  <si>
    <t>1386-6141</t>
  </si>
  <si>
    <t>https://link.springer.com/journal/10526</t>
  </si>
  <si>
    <t>Biodegradation</t>
  </si>
  <si>
    <t>1572-9729</t>
  </si>
  <si>
    <t>0923-9820</t>
  </si>
  <si>
    <t>https://link.springer.com/journal/10532</t>
  </si>
  <si>
    <t>Bio-Design and Manufacturing</t>
  </si>
  <si>
    <t>2522-8552</t>
  </si>
  <si>
    <t>2096-5524</t>
  </si>
  <si>
    <t>https://link.springer.com/journal/42242</t>
  </si>
  <si>
    <t>Zhejiang University Press, co-published with Springer</t>
  </si>
  <si>
    <t>Biodiversity and Conservation</t>
  </si>
  <si>
    <t>1572-9710</t>
  </si>
  <si>
    <t>0960-3115</t>
  </si>
  <si>
    <t>https://link.springer.com/journal/10531</t>
  </si>
  <si>
    <t>BioEnergy Research</t>
  </si>
  <si>
    <t>1939-1242</t>
  </si>
  <si>
    <t>https://link.springer.com/journal/12155</t>
  </si>
  <si>
    <t>Biogeochemistry</t>
  </si>
  <si>
    <t>1573-515X</t>
  </si>
  <si>
    <t>0168-2563</t>
  </si>
  <si>
    <t>https://link.springer.com/journal/10533</t>
  </si>
  <si>
    <t>Biogerontology</t>
  </si>
  <si>
    <t>1573-6768</t>
  </si>
  <si>
    <t>1389-5729</t>
  </si>
  <si>
    <t>https://link.springer.com/journal/10522</t>
  </si>
  <si>
    <t>Biologia</t>
  </si>
  <si>
    <t>1336-9563</t>
  </si>
  <si>
    <t>https://link.springer.com/journal/11756</t>
  </si>
  <si>
    <t>Biologia Futura</t>
  </si>
  <si>
    <t>2676-8607</t>
  </si>
  <si>
    <t>2676-8615</t>
  </si>
  <si>
    <t>https://link.springer.com/journal/42977</t>
  </si>
  <si>
    <t>Biological Cybernetics</t>
  </si>
  <si>
    <t>1432-0770</t>
  </si>
  <si>
    <t>https://link.springer.com/journal/422</t>
  </si>
  <si>
    <t>Biological Invasions</t>
  </si>
  <si>
    <t>1573-1464</t>
  </si>
  <si>
    <t>1387-3547</t>
  </si>
  <si>
    <t>https://link.springer.com/journal/10530</t>
  </si>
  <si>
    <t>Biological Theory</t>
  </si>
  <si>
    <t>1555-5550</t>
  </si>
  <si>
    <t>1555-5542</t>
  </si>
  <si>
    <t>https://link.springer.com/journal/13752</t>
  </si>
  <si>
    <t>Biological Trace Element Research</t>
  </si>
  <si>
    <t>1559-0720</t>
  </si>
  <si>
    <t>https://link.springer.com/journal/12011</t>
  </si>
  <si>
    <t>Biology &amp; Philosophy</t>
  </si>
  <si>
    <t>1572-8404</t>
  </si>
  <si>
    <t>0169-3867</t>
  </si>
  <si>
    <t>https://link.springer.com/journal/10539</t>
  </si>
  <si>
    <t>Biology and Fertility of Soils</t>
  </si>
  <si>
    <t>1432-0789</t>
  </si>
  <si>
    <t>0178-2762</t>
  </si>
  <si>
    <t>https://link.springer.com/journal/374</t>
  </si>
  <si>
    <t>Biology Bulletin</t>
  </si>
  <si>
    <t>1608-3059</t>
  </si>
  <si>
    <t>1062-3590</t>
  </si>
  <si>
    <t>https://link.springer.com/journal/10525</t>
  </si>
  <si>
    <t>Biology Bulletin Reviews</t>
  </si>
  <si>
    <t>2079-0872</t>
  </si>
  <si>
    <t>2079-0864</t>
  </si>
  <si>
    <t>https://link.springer.com/journal/13335</t>
  </si>
  <si>
    <t>Biomass Conversion and Biorefinery</t>
  </si>
  <si>
    <t>2190-6823</t>
  </si>
  <si>
    <t>2190-6815</t>
  </si>
  <si>
    <t>https://link.springer.com/journal/13399</t>
  </si>
  <si>
    <t>Energy</t>
  </si>
  <si>
    <t>Biomechanics and Modeling in Mechanobiology</t>
  </si>
  <si>
    <t>1617-7940</t>
  </si>
  <si>
    <t>1617-7959</t>
  </si>
  <si>
    <t>https://link.springer.com/journal/10237</t>
  </si>
  <si>
    <t>Biomedical Engineering</t>
  </si>
  <si>
    <t>1573-8256</t>
  </si>
  <si>
    <t>0006-3398</t>
  </si>
  <si>
    <t>https://link.springer.com/journal/10527</t>
  </si>
  <si>
    <t>Biomedical Engineering Education</t>
  </si>
  <si>
    <t>2730-5945</t>
  </si>
  <si>
    <t>2730-5937</t>
  </si>
  <si>
    <t>https://link.springer.com/journal/43683</t>
  </si>
  <si>
    <t>Biomedical Engineering Letters</t>
  </si>
  <si>
    <t>2093-985X</t>
  </si>
  <si>
    <t>2093-9868</t>
  </si>
  <si>
    <t>https://link.springer.com/journal/13534</t>
  </si>
  <si>
    <t>The Korean Society of Medical and Biological Engineering, co-published with Springer</t>
  </si>
  <si>
    <t>Biomedical Materials &amp; Devices</t>
  </si>
  <si>
    <t>2731-4820</t>
  </si>
  <si>
    <t>2731-4812</t>
  </si>
  <si>
    <t>https://link.springer.com/journal/44174</t>
  </si>
  <si>
    <t>Biomedical Microdevices</t>
  </si>
  <si>
    <t>1572-8781</t>
  </si>
  <si>
    <t>1387-2176</t>
  </si>
  <si>
    <t>https://link.springer.com/journal/10544</t>
  </si>
  <si>
    <t>BioMetals</t>
  </si>
  <si>
    <t>1572-8773</t>
  </si>
  <si>
    <t>0966-0844</t>
  </si>
  <si>
    <t>https://link.springer.com/journal/10534</t>
  </si>
  <si>
    <t>Biomolecular NMR Assignments</t>
  </si>
  <si>
    <t>1874-270X</t>
  </si>
  <si>
    <t>https://link.springer.com/journal/12104</t>
  </si>
  <si>
    <t>BioNanoScience</t>
  </si>
  <si>
    <t>2191-1649</t>
  </si>
  <si>
    <t>2191-1630</t>
  </si>
  <si>
    <t>https://link.springer.com/journal/12668</t>
  </si>
  <si>
    <t>Biophysical Economics and Sustainability</t>
  </si>
  <si>
    <t>2730-7204</t>
  </si>
  <si>
    <t>2730-7190</t>
  </si>
  <si>
    <t>https://link.springer.com/journal/41247</t>
  </si>
  <si>
    <t>Biophysical Reviews</t>
  </si>
  <si>
    <t>1867-2469</t>
  </si>
  <si>
    <t>https://link.springer.com/journal/12551</t>
  </si>
  <si>
    <t>SNS9</t>
  </si>
  <si>
    <t>Biophysics</t>
  </si>
  <si>
    <t>1555-6654</t>
  </si>
  <si>
    <t>0006-3509</t>
  </si>
  <si>
    <t>https://link.springer.com/journal/11439</t>
  </si>
  <si>
    <t>Bioprocess and Biosystems Engineering</t>
  </si>
  <si>
    <t>1615-7605</t>
  </si>
  <si>
    <t>1615-7591</t>
  </si>
  <si>
    <t>https://link.springer.com/journal/449</t>
  </si>
  <si>
    <t>Biosemiotics</t>
  </si>
  <si>
    <t>1875-1350</t>
  </si>
  <si>
    <t>1875-1342</t>
  </si>
  <si>
    <t>https://link.springer.com/journal/12304</t>
  </si>
  <si>
    <t>BIOspektrum</t>
  </si>
  <si>
    <t>1868-6249</t>
  </si>
  <si>
    <t>0947-0867</t>
  </si>
  <si>
    <t>https://link.springer.com/journal/12268</t>
  </si>
  <si>
    <t>Springer Spektrum</t>
  </si>
  <si>
    <t>Biotechnology and Bioprocess Engineering</t>
  </si>
  <si>
    <t>1976-3816</t>
  </si>
  <si>
    <t>1226-8372</t>
  </si>
  <si>
    <t>https://link.springer.com/journal/12257</t>
  </si>
  <si>
    <t>The Korean Society for Biotechnology and Bioengineering, co-published with Springer</t>
  </si>
  <si>
    <t>Biotechnology Letters</t>
  </si>
  <si>
    <t>1573-6776</t>
  </si>
  <si>
    <t>0141-5492</t>
  </si>
  <si>
    <t>https://link.springer.com/journal/10529</t>
  </si>
  <si>
    <t>BIT Numerical Mathematics</t>
  </si>
  <si>
    <t>1572-9125</t>
  </si>
  <si>
    <t>0006-3835</t>
  </si>
  <si>
    <t>https://link.springer.com/journal/10543</t>
  </si>
  <si>
    <t>Boletín de la Sociedad Matemática Mexicana</t>
  </si>
  <si>
    <t>2296-4495</t>
  </si>
  <si>
    <t>1405-213X</t>
  </si>
  <si>
    <t>https://link.springer.com/journal/40590</t>
  </si>
  <si>
    <t>Bollettino dell'Unione Matematica Italiana</t>
  </si>
  <si>
    <t>2198-2759</t>
  </si>
  <si>
    <t>1972-6724</t>
  </si>
  <si>
    <t>https://link.springer.com/journal/40574</t>
  </si>
  <si>
    <t>Boundary-Layer Meteorology</t>
  </si>
  <si>
    <t>1573-1472</t>
  </si>
  <si>
    <t>0006-8314</t>
  </si>
  <si>
    <t>https://link.springer.com/journal/10546</t>
  </si>
  <si>
    <t>Brain Imaging and Behavior</t>
  </si>
  <si>
    <t>1931-7565</t>
  </si>
  <si>
    <t>https://link.springer.com/journal/11682</t>
  </si>
  <si>
    <t>Brain Structure and Function</t>
  </si>
  <si>
    <t>1863-2661</t>
  </si>
  <si>
    <t>https://link.springer.com/journal/429</t>
  </si>
  <si>
    <t>Brain Topography</t>
  </si>
  <si>
    <t>1573-6792</t>
  </si>
  <si>
    <t>0896-0267</t>
  </si>
  <si>
    <t>https://link.springer.com/journal/10548</t>
  </si>
  <si>
    <t>Brain Tumor Pathology</t>
  </si>
  <si>
    <t>1861-387X</t>
  </si>
  <si>
    <t>1433-7398</t>
  </si>
  <si>
    <t>https://link.springer.com/journal/10014</t>
  </si>
  <si>
    <t>Brazilian Journal of Botany</t>
  </si>
  <si>
    <t>1806-9959</t>
  </si>
  <si>
    <t>https://link.springer.com/journal/40415</t>
  </si>
  <si>
    <t>Brazilian Journal of Chemical Engineering</t>
  </si>
  <si>
    <t>1678-4383</t>
  </si>
  <si>
    <t>0104-6632</t>
  </si>
  <si>
    <t>https://link.springer.com/journal/43153</t>
  </si>
  <si>
    <t>Brazilian Journal of Microbiology</t>
  </si>
  <si>
    <t>1678-4405</t>
  </si>
  <si>
    <t>https://link.springer.com/journal/42770</t>
  </si>
  <si>
    <t>Brazilian Journal of Physics</t>
  </si>
  <si>
    <t>1678-4448</t>
  </si>
  <si>
    <t>0103-9733</t>
  </si>
  <si>
    <t>https://link.springer.com/journal/13538</t>
  </si>
  <si>
    <t>Breast Cancer</t>
  </si>
  <si>
    <t>1880-4233</t>
  </si>
  <si>
    <t>1340-6868</t>
  </si>
  <si>
    <t>https://link.springer.com/journal/12282</t>
  </si>
  <si>
    <t>Breast Cancer Research and Treatment</t>
  </si>
  <si>
    <t>1573-7217</t>
  </si>
  <si>
    <t>https://link.springer.com/journal/10549</t>
  </si>
  <si>
    <t>Brittonia</t>
  </si>
  <si>
    <t>1938-436X</t>
  </si>
  <si>
    <t>0007-196X</t>
  </si>
  <si>
    <t>https://link.springer.com/journal/12228</t>
  </si>
  <si>
    <t>Building Simulation</t>
  </si>
  <si>
    <t>1996-8744</t>
  </si>
  <si>
    <t>1996-3599</t>
  </si>
  <si>
    <t>https://link.springer.com/journal/12273</t>
  </si>
  <si>
    <t>Bulletin of Atmospheric Science and Technology</t>
  </si>
  <si>
    <t>2662-1509</t>
  </si>
  <si>
    <t>2662-1495</t>
  </si>
  <si>
    <t>https://link.springer.com/journal/42865</t>
  </si>
  <si>
    <t>Bulletin of Earthquake Engineering</t>
  </si>
  <si>
    <t>1573-1456</t>
  </si>
  <si>
    <t>1570-761X</t>
  </si>
  <si>
    <t>https://link.springer.com/journal/10518</t>
  </si>
  <si>
    <t>Bulletin of Engineering Geology and the Environment</t>
  </si>
  <si>
    <t>1435-9537</t>
  </si>
  <si>
    <t>1435-9529</t>
  </si>
  <si>
    <t>https://link.springer.com/journal/10064</t>
  </si>
  <si>
    <t>Bulletin of Environmental Contamination and Toxicology</t>
  </si>
  <si>
    <t>1432-0800</t>
  </si>
  <si>
    <t>0007-4861</t>
  </si>
  <si>
    <t>https://link.springer.com/journal/128</t>
  </si>
  <si>
    <t>Bulletin of Experimental Biology and Medicine</t>
  </si>
  <si>
    <t>1573-8221</t>
  </si>
  <si>
    <t>0007-4888</t>
  </si>
  <si>
    <t>https://link.springer.com/journal/10517</t>
  </si>
  <si>
    <t>Bulletin of Materials Science</t>
  </si>
  <si>
    <t>0973-7669</t>
  </si>
  <si>
    <t>https://link.springer.com/journal/12034</t>
  </si>
  <si>
    <t>Bulletin of Mathematical Biology</t>
  </si>
  <si>
    <t>1522-9602</t>
  </si>
  <si>
    <t>0092-8240</t>
  </si>
  <si>
    <t>https://link.springer.com/journal/11538</t>
  </si>
  <si>
    <t>Bulletin of the Brazilian Mathematical Society, New Series</t>
  </si>
  <si>
    <t>1678-7714</t>
  </si>
  <si>
    <t>1678-7544</t>
  </si>
  <si>
    <t>https://link.springer.com/journal/574</t>
  </si>
  <si>
    <t>Bulletin of the Iranian Mathematical Society</t>
  </si>
  <si>
    <t>1735-8515</t>
  </si>
  <si>
    <t>https://link.springer.com/journal/41980</t>
  </si>
  <si>
    <t>Bulletin of the Lebedev Physics Institute</t>
  </si>
  <si>
    <t>1934-838X</t>
  </si>
  <si>
    <t>1068-3356</t>
  </si>
  <si>
    <t>https://link.springer.com/journal/11953</t>
  </si>
  <si>
    <t>Bulletin of the Malaysian Mathematical Sciences Society</t>
  </si>
  <si>
    <t>2180-4206</t>
  </si>
  <si>
    <t>0126-6705</t>
  </si>
  <si>
    <t>https://link.springer.com/journal/40840</t>
  </si>
  <si>
    <t>Bulletin of the Russian Academy of Sciences: Physics</t>
  </si>
  <si>
    <t>1934-9432</t>
  </si>
  <si>
    <t>1062-8738</t>
  </si>
  <si>
    <t>https://link.springer.com/journal/11954</t>
  </si>
  <si>
    <t>Bulletin of Volcanology</t>
  </si>
  <si>
    <t>1432-0819</t>
  </si>
  <si>
    <t>https://link.springer.com/journal/445</t>
  </si>
  <si>
    <t>Bundesgesundheitsblatt - Gesundheitsforschung - Gesundheitsschutz</t>
  </si>
  <si>
    <t>1437-1588</t>
  </si>
  <si>
    <t>1436-9990</t>
  </si>
  <si>
    <t>https://link.springer.com/journal/103</t>
  </si>
  <si>
    <t>Business &amp; Information Systems Engineering</t>
  </si>
  <si>
    <t>1867-0202</t>
  </si>
  <si>
    <t>2363-7005</t>
  </si>
  <si>
    <t>https://link.springer.com/journal/12599</t>
  </si>
  <si>
    <t>Springer Gabler</t>
  </si>
  <si>
    <t>Calcified Tissue International</t>
  </si>
  <si>
    <t>1432-0827</t>
  </si>
  <si>
    <t>https://link.springer.com/journal/223</t>
  </si>
  <si>
    <t>Calcolo</t>
  </si>
  <si>
    <t>1126-5434</t>
  </si>
  <si>
    <t>0008-0624</t>
  </si>
  <si>
    <t>https://link.springer.com/journal/10092</t>
  </si>
  <si>
    <t>Calculus of Variations and Partial Differential Equations</t>
  </si>
  <si>
    <t>1432-0835</t>
  </si>
  <si>
    <t>0944-2669</t>
  </si>
  <si>
    <t>https://link.springer.com/journal/526</t>
  </si>
  <si>
    <t>Canadian Journal of Anesthesia/Journal canadien d'anesthésie</t>
  </si>
  <si>
    <t>1496-8975</t>
  </si>
  <si>
    <t>0832-610X</t>
  </si>
  <si>
    <t>https://link.springer.com/journal/12630</t>
  </si>
  <si>
    <t>Canadian Journal of Public Health</t>
  </si>
  <si>
    <t>1920-7476</t>
  </si>
  <si>
    <t>https://link.springer.com/journal/41997</t>
  </si>
  <si>
    <t>Canadian Journal of Science, Mathematics and Technology Education</t>
  </si>
  <si>
    <t>1942-4051</t>
  </si>
  <si>
    <t>1492-6156</t>
  </si>
  <si>
    <t>https://link.springer.com/journal/42330</t>
  </si>
  <si>
    <t>Canadian Studies in Population</t>
  </si>
  <si>
    <t>1927-629X</t>
  </si>
  <si>
    <t>0380-1489</t>
  </si>
  <si>
    <t>https://link.springer.com/journal/42650</t>
  </si>
  <si>
    <t>Cancer and Metastasis Reviews</t>
  </si>
  <si>
    <t>1573-7233</t>
  </si>
  <si>
    <t>0167-7659</t>
  </si>
  <si>
    <t>https://link.springer.com/journal/10555</t>
  </si>
  <si>
    <t>Cancer Causes &amp; Control</t>
  </si>
  <si>
    <t>1573-7225</t>
  </si>
  <si>
    <t>0957-5243</t>
  </si>
  <si>
    <t>https://link.springer.com/journal/10552</t>
  </si>
  <si>
    <t>Cancer Chemotherapy and Pharmacology</t>
  </si>
  <si>
    <t>1432-0843</t>
  </si>
  <si>
    <t>https://link.springer.com/journal/280</t>
  </si>
  <si>
    <t>Cancer Immunology, Immunotherapy</t>
  </si>
  <si>
    <t>1432-0851</t>
  </si>
  <si>
    <t>https://link.springer.com/journal/262</t>
  </si>
  <si>
    <t>Carbon Letters</t>
  </si>
  <si>
    <t>2233-4998</t>
  </si>
  <si>
    <t>1976-4251</t>
  </si>
  <si>
    <t>https://link.springer.com/journal/42823</t>
  </si>
  <si>
    <t>Carbonates and Evaporites</t>
  </si>
  <si>
    <t>1878-5212</t>
  </si>
  <si>
    <t>0891-2556</t>
  </si>
  <si>
    <t>https://link.springer.com/journal/13146</t>
  </si>
  <si>
    <t>CardioVasc</t>
  </si>
  <si>
    <t>1618-3851</t>
  </si>
  <si>
    <t>1617-4933</t>
  </si>
  <si>
    <t>https://link.springer.com/journal/15027</t>
  </si>
  <si>
    <t>CardioVascular and Interventional Radiology</t>
  </si>
  <si>
    <t>1432-086X</t>
  </si>
  <si>
    <t>0174-1551</t>
  </si>
  <si>
    <t>https://link.springer.com/journal/270</t>
  </si>
  <si>
    <t>Cardiovascular Drugs and Therapy</t>
  </si>
  <si>
    <t>1573-7241</t>
  </si>
  <si>
    <t>0920-3206</t>
  </si>
  <si>
    <t>https://link.springer.com/journal/10557</t>
  </si>
  <si>
    <t>Cardiovascular Engineering and Technology</t>
  </si>
  <si>
    <t>1869-4098</t>
  </si>
  <si>
    <t>https://link.springer.com/journal/13239</t>
  </si>
  <si>
    <t>SNS10</t>
  </si>
  <si>
    <t>Cardiovascular Intervention and Therapeutics</t>
  </si>
  <si>
    <t>1868-4297</t>
  </si>
  <si>
    <t>1868-4300</t>
  </si>
  <si>
    <t>https://link.springer.com/journal/12928</t>
  </si>
  <si>
    <t>Cardiovascular Toxicology</t>
  </si>
  <si>
    <t>1559-0259</t>
  </si>
  <si>
    <t>https://link.springer.com/journal/12012</t>
  </si>
  <si>
    <t>Catalysis in Industry</t>
  </si>
  <si>
    <t>2070-0555</t>
  </si>
  <si>
    <t>2070-0504</t>
  </si>
  <si>
    <t>https://link.springer.com/journal/12604</t>
  </si>
  <si>
    <t>Catalysis Letters</t>
  </si>
  <si>
    <t>1572-879X</t>
  </si>
  <si>
    <t>1011-372X</t>
  </si>
  <si>
    <t>https://link.springer.com/journal/10562</t>
  </si>
  <si>
    <t>Catalysis Surveys from Asia</t>
  </si>
  <si>
    <t>1574-9266</t>
  </si>
  <si>
    <t>1571-1013</t>
  </si>
  <si>
    <t>https://link.springer.com/journal/10563</t>
  </si>
  <si>
    <t>CCF Transactions on High Performance Computing</t>
  </si>
  <si>
    <t>2524-4930</t>
  </si>
  <si>
    <t>2524-4922</t>
  </si>
  <si>
    <t>https://link.springer.com/journal/42514</t>
  </si>
  <si>
    <t>CCF Transactions on Pervasive Computing and Interaction</t>
  </si>
  <si>
    <t>2524-5228</t>
  </si>
  <si>
    <t>2524-521X</t>
  </si>
  <si>
    <t>https://link.springer.com/journal/42486</t>
  </si>
  <si>
    <t>CEAS Aeronautical Journal</t>
  </si>
  <si>
    <t>1869-5590</t>
  </si>
  <si>
    <t>1869-5582</t>
  </si>
  <si>
    <t>https://link.springer.com/journal/13272</t>
  </si>
  <si>
    <t>CEAS Space Journal</t>
  </si>
  <si>
    <t>1868-2510</t>
  </si>
  <si>
    <t>1868-2502</t>
  </si>
  <si>
    <t>https://link.springer.com/journal/12567</t>
  </si>
  <si>
    <t>Celestial Mechanics and Dynamical Astronomy</t>
  </si>
  <si>
    <t>1572-9478</t>
  </si>
  <si>
    <t>https://link.springer.com/journal/10569</t>
  </si>
  <si>
    <t>Cell and Tissue Banking</t>
  </si>
  <si>
    <t>1573-6814</t>
  </si>
  <si>
    <t>1389-9333</t>
  </si>
  <si>
    <t>https://link.springer.com/journal/10561</t>
  </si>
  <si>
    <t>Cell and Tissue Biology</t>
  </si>
  <si>
    <t>1990-5203</t>
  </si>
  <si>
    <t>1990-519X</t>
  </si>
  <si>
    <t>https://link.springer.com/journal/11821</t>
  </si>
  <si>
    <t>Cell and Tissue Research</t>
  </si>
  <si>
    <t>1432-0878</t>
  </si>
  <si>
    <t>0302-766X</t>
  </si>
  <si>
    <t>https://link.springer.com/journal/441</t>
  </si>
  <si>
    <t>Cell Biochemistry and Biophysics</t>
  </si>
  <si>
    <t>1559-0283</t>
  </si>
  <si>
    <t>1085-9195</t>
  </si>
  <si>
    <t>https://link.springer.com/journal/12013</t>
  </si>
  <si>
    <t>Cell Biology and Toxicology</t>
  </si>
  <si>
    <t>1573-6822</t>
  </si>
  <si>
    <t>0742-2091</t>
  </si>
  <si>
    <t>https://link.springer.com/journal/10565</t>
  </si>
  <si>
    <t>Cell Stress and Chaperones</t>
  </si>
  <si>
    <t>1466-1268</t>
  </si>
  <si>
    <t>1355-8145</t>
  </si>
  <si>
    <t>https://link.springer.com/journal/12192</t>
  </si>
  <si>
    <t>Cellular and Molecular Bioengineering</t>
  </si>
  <si>
    <t>1865-5033</t>
  </si>
  <si>
    <t>https://link.springer.com/journal/12195</t>
  </si>
  <si>
    <t>Cellular and Molecular Life Sciences</t>
  </si>
  <si>
    <t>1420-9071</t>
  </si>
  <si>
    <t>1420-682X</t>
  </si>
  <si>
    <t>https://link.springer.com/journal/18</t>
  </si>
  <si>
    <t>Cellular and Molecular Neurobiology</t>
  </si>
  <si>
    <t>1573-6830</t>
  </si>
  <si>
    <t>0272-4340</t>
  </si>
  <si>
    <t>https://link.springer.com/journal/10571</t>
  </si>
  <si>
    <t>Cellular Oncology</t>
  </si>
  <si>
    <t>2211-3436</t>
  </si>
  <si>
    <t>2211-3428</t>
  </si>
  <si>
    <t>https://link.springer.com/journal/13402</t>
  </si>
  <si>
    <t>Cellulose</t>
  </si>
  <si>
    <t>1572-882X</t>
  </si>
  <si>
    <t>0969-0239</t>
  </si>
  <si>
    <t>https://link.springer.com/journal/10570</t>
  </si>
  <si>
    <t>CEN Case Reports</t>
  </si>
  <si>
    <t>2192-4449</t>
  </si>
  <si>
    <t>https://link.springer.com/journal/13730</t>
  </si>
  <si>
    <t>Central European Journal of Operations Research</t>
  </si>
  <si>
    <t>1613-9178</t>
  </si>
  <si>
    <t>1435-246X</t>
  </si>
  <si>
    <t>https://link.springer.com/journal/10100</t>
  </si>
  <si>
    <t>Cereal Research Communications</t>
  </si>
  <si>
    <t>1788-9170</t>
  </si>
  <si>
    <t>0133-3720</t>
  </si>
  <si>
    <t>https://link.springer.com/journal/42976</t>
  </si>
  <si>
    <t>Chemical and Petroleum Engineering</t>
  </si>
  <si>
    <t>1573-8329</t>
  </si>
  <si>
    <t>0009-2355</t>
  </si>
  <si>
    <t>https://link.springer.com/journal/10556</t>
  </si>
  <si>
    <t>Chemical Papers</t>
  </si>
  <si>
    <t>2585-7290</t>
  </si>
  <si>
    <t>0366-6352</t>
  </si>
  <si>
    <t>https://link.springer.com/journal/11696</t>
  </si>
  <si>
    <t>Chemical Research in Chinese Universities</t>
  </si>
  <si>
    <t>2210-3171</t>
  </si>
  <si>
    <t>1005-9040</t>
  </si>
  <si>
    <t>https://link.springer.com/journal/40242</t>
  </si>
  <si>
    <t>Jilin University and The Editorial Department of Chemical Research in Chinese Universities, co-published with Springer</t>
  </si>
  <si>
    <t>Chemistry Africa</t>
  </si>
  <si>
    <t>2522-5766</t>
  </si>
  <si>
    <t>2522-5758</t>
  </si>
  <si>
    <t>https://link.springer.com/journal/42250</t>
  </si>
  <si>
    <t>Chemistry and Technology of Fuels and Oils</t>
  </si>
  <si>
    <t>1573-8310</t>
  </si>
  <si>
    <t>0009-3092</t>
  </si>
  <si>
    <t>https://link.springer.com/journal/10553</t>
  </si>
  <si>
    <t>Chemistry of Heterocyclic Compounds</t>
  </si>
  <si>
    <t>1573-8353</t>
  </si>
  <si>
    <t>0009-3122</t>
  </si>
  <si>
    <t>https://link.springer.com/journal/10593</t>
  </si>
  <si>
    <t>Chemistry of Natural Compounds</t>
  </si>
  <si>
    <t>1573-8388</t>
  </si>
  <si>
    <t>0009-3130</t>
  </si>
  <si>
    <t>https://link.springer.com/journal/10600</t>
  </si>
  <si>
    <t>Chemoecology</t>
  </si>
  <si>
    <t>1423-0445</t>
  </si>
  <si>
    <t>https://link.springer.com/journal/49</t>
  </si>
  <si>
    <t>Chemosensory Perception</t>
  </si>
  <si>
    <t>1936-5810</t>
  </si>
  <si>
    <t>1936-5802</t>
  </si>
  <si>
    <t>https://link.springer.com/journal/12078</t>
  </si>
  <si>
    <t>ChemTexts</t>
  </si>
  <si>
    <t>2199-3793</t>
  </si>
  <si>
    <t>https://link.springer.com/journal/40828</t>
  </si>
  <si>
    <t>Child &amp; Youth Care Forum</t>
  </si>
  <si>
    <t>1573-3319</t>
  </si>
  <si>
    <t>1053-1890</t>
  </si>
  <si>
    <t>https://link.springer.com/journal/10566</t>
  </si>
  <si>
    <t>Child and Adolescent Social Work Journal</t>
  </si>
  <si>
    <t>1573-2797</t>
  </si>
  <si>
    <t>0738-0151</t>
  </si>
  <si>
    <t>https://link.springer.com/journal/10560</t>
  </si>
  <si>
    <t>Child Indicators Research</t>
  </si>
  <si>
    <t>1874-8988</t>
  </si>
  <si>
    <t>1874-897X</t>
  </si>
  <si>
    <t>https://link.springer.com/journal/12187</t>
  </si>
  <si>
    <t>Child Psychiatry &amp; Human Development</t>
  </si>
  <si>
    <t>1573-3327</t>
  </si>
  <si>
    <t>0009-398X</t>
  </si>
  <si>
    <t>https://link.springer.com/journal/10578</t>
  </si>
  <si>
    <t>Children's Literature in Education</t>
  </si>
  <si>
    <t>1573-1693</t>
  </si>
  <si>
    <t>0045-6713</t>
  </si>
  <si>
    <t>https://link.springer.com/journal/10583</t>
  </si>
  <si>
    <t>Child's Nervous System</t>
  </si>
  <si>
    <t>1433-0350</t>
  </si>
  <si>
    <t>0256-7040</t>
  </si>
  <si>
    <t>https://link.springer.com/journal/381</t>
  </si>
  <si>
    <t>China Foundry</t>
  </si>
  <si>
    <t>2365-9459</t>
  </si>
  <si>
    <t>1672-6421</t>
  </si>
  <si>
    <t>https://link.springer.com/journal/41230</t>
  </si>
  <si>
    <t>TO16</t>
  </si>
  <si>
    <t>China International Strategy Review</t>
  </si>
  <si>
    <t>2524-5635</t>
  </si>
  <si>
    <t>2524-5627</t>
  </si>
  <si>
    <t>https://link.springer.com/journal/42533</t>
  </si>
  <si>
    <t>Political Science and International Studies</t>
  </si>
  <si>
    <t>China Ocean Engineering</t>
  </si>
  <si>
    <t>2191-8945</t>
  </si>
  <si>
    <t>0890-5487</t>
  </si>
  <si>
    <t>https://link.springer.com/journal/13344</t>
  </si>
  <si>
    <t>Chinese Ocean Engineering Society, co-published with Springer</t>
  </si>
  <si>
    <t>China Population and Development Studies</t>
  </si>
  <si>
    <t>2523-8965</t>
  </si>
  <si>
    <t>2096-448X</t>
  </si>
  <si>
    <t>https://link.springer.com/journal/42379</t>
  </si>
  <si>
    <t>China-EU Law Journal</t>
  </si>
  <si>
    <t>1868-5161</t>
  </si>
  <si>
    <t>1868-5153</t>
  </si>
  <si>
    <t>https://link.springer.com/journal/12689</t>
  </si>
  <si>
    <t>Chinese Annals of Mathematics, Series B</t>
  </si>
  <si>
    <t>1860-6261</t>
  </si>
  <si>
    <t>0252-9599</t>
  </si>
  <si>
    <t>https://link.springer.com/journal/11401</t>
  </si>
  <si>
    <t>Chinese Geographical Science</t>
  </si>
  <si>
    <t>1993-064X</t>
  </si>
  <si>
    <t>1002-0063</t>
  </si>
  <si>
    <t>https://link.springer.com/journal/11769</t>
  </si>
  <si>
    <t>Chinese Journal of Academic Radiology</t>
  </si>
  <si>
    <t>2520-8993</t>
  </si>
  <si>
    <t>2520-8985</t>
  </si>
  <si>
    <t>https://link.springer.com/journal/42058</t>
  </si>
  <si>
    <t>Chinese Journal of Integrative Medicine</t>
  </si>
  <si>
    <t>1993-0402</t>
  </si>
  <si>
    <t>1672-0415</t>
  </si>
  <si>
    <t>https://link.springer.com/journal/11655</t>
  </si>
  <si>
    <t>Chinese Journal of Polymer Science</t>
  </si>
  <si>
    <t>1439-6203</t>
  </si>
  <si>
    <t>0256-7679</t>
  </si>
  <si>
    <t>https://link.springer.com/journal/10118</t>
  </si>
  <si>
    <t>Chinese Chemical Society and Institute of Chemistry, CAS, co-published with Springer</t>
  </si>
  <si>
    <t>Chinese Political Science Review</t>
  </si>
  <si>
    <t>2365-4252</t>
  </si>
  <si>
    <t>2365-4244</t>
  </si>
  <si>
    <t>https://link.springer.com/journal/41111</t>
  </si>
  <si>
    <t>Chinesische Medizin / Chinese Medicine</t>
  </si>
  <si>
    <t>2196-5668</t>
  </si>
  <si>
    <t>https://link.springer.com/journal/52</t>
  </si>
  <si>
    <t>Chromatographia</t>
  </si>
  <si>
    <t>1612-1112</t>
  </si>
  <si>
    <t>0009-5893</t>
  </si>
  <si>
    <t>https://link.springer.com/journal/10337</t>
  </si>
  <si>
    <t>Chromosoma</t>
  </si>
  <si>
    <t>1432-0886</t>
  </si>
  <si>
    <t>0009-5915</t>
  </si>
  <si>
    <t>https://link.springer.com/journal/412</t>
  </si>
  <si>
    <t>Chromosome Research</t>
  </si>
  <si>
    <t>1573-6849</t>
  </si>
  <si>
    <t>https://link.springer.com/journal/10577</t>
  </si>
  <si>
    <t>Circuits, Systems, and Signal Processing</t>
  </si>
  <si>
    <t>1531-5878</t>
  </si>
  <si>
    <t>0278-081X</t>
  </si>
  <si>
    <t>https://link.springer.com/journal/34</t>
  </si>
  <si>
    <t>Circular Economy and Sustainability</t>
  </si>
  <si>
    <t>2730-5988</t>
  </si>
  <si>
    <t>2730-597X</t>
  </si>
  <si>
    <t>https://link.springer.com/journal/43615</t>
  </si>
  <si>
    <t>Clays and Clay Minerals</t>
  </si>
  <si>
    <t>1552-8367</t>
  </si>
  <si>
    <t>0009-8604</t>
  </si>
  <si>
    <t>https://link.springer.com/journal/42860</t>
  </si>
  <si>
    <t>Clean Technologies and Environmental Policy</t>
  </si>
  <si>
    <t>1618-9558</t>
  </si>
  <si>
    <t>1618-954X</t>
  </si>
  <si>
    <t>https://link.springer.com/journal/10098</t>
  </si>
  <si>
    <t>Climate Dynamics</t>
  </si>
  <si>
    <t>1432-0894</t>
  </si>
  <si>
    <t>0930-7575</t>
  </si>
  <si>
    <t>https://link.springer.com/journal/382</t>
  </si>
  <si>
    <t>Climatic Change</t>
  </si>
  <si>
    <t>1573-1480</t>
  </si>
  <si>
    <t>0165-0009</t>
  </si>
  <si>
    <t>https://link.springer.com/journal/10584</t>
  </si>
  <si>
    <t>Clinical &amp; Experimental Metastasis</t>
  </si>
  <si>
    <t>1573-7276</t>
  </si>
  <si>
    <t>0262-0898</t>
  </si>
  <si>
    <t>https://link.springer.com/journal/10585</t>
  </si>
  <si>
    <t>Clinical and Experimental Medicine</t>
  </si>
  <si>
    <t>1591-9528</t>
  </si>
  <si>
    <t>https://link.springer.com/journal/10238</t>
  </si>
  <si>
    <t>Clinical and Experimental Nephrology</t>
  </si>
  <si>
    <t>1437-7799</t>
  </si>
  <si>
    <t>1342-1751</t>
  </si>
  <si>
    <t>https://link.springer.com/journal/10157</t>
  </si>
  <si>
    <t>Clinical and Translational Imaging</t>
  </si>
  <si>
    <t>2281-7565</t>
  </si>
  <si>
    <t>https://link.springer.com/journal/40336</t>
  </si>
  <si>
    <t>Clinical and Translational Oncology</t>
  </si>
  <si>
    <t>1699-3055</t>
  </si>
  <si>
    <t>https://link.springer.com/journal/12094</t>
  </si>
  <si>
    <t>Clinical Autonomic Research</t>
  </si>
  <si>
    <t>1619-1560</t>
  </si>
  <si>
    <t>0959-9851</t>
  </si>
  <si>
    <t>https://link.springer.com/journal/10286</t>
  </si>
  <si>
    <t>Clinical Child and Family Psychology Review</t>
  </si>
  <si>
    <t>1573-2827</t>
  </si>
  <si>
    <t>1096-4037</t>
  </si>
  <si>
    <t>https://link.springer.com/journal/10567</t>
  </si>
  <si>
    <t>Clinical Dentistry Reviewed</t>
  </si>
  <si>
    <t>2511-1965</t>
  </si>
  <si>
    <t>https://link.springer.com/journal/41894</t>
  </si>
  <si>
    <t>Clinical Journal of Gastroenterology</t>
  </si>
  <si>
    <t>1865-7265</t>
  </si>
  <si>
    <t>1865-7257</t>
  </si>
  <si>
    <t>https://link.springer.com/journal/12328</t>
  </si>
  <si>
    <t>Clinical Neuroradiology</t>
  </si>
  <si>
    <t>1869-1447</t>
  </si>
  <si>
    <t>1869-1439</t>
  </si>
  <si>
    <t>https://link.springer.com/journal/62</t>
  </si>
  <si>
    <t>Clinical Oral Investigations</t>
  </si>
  <si>
    <t>1436-3771</t>
  </si>
  <si>
    <t>https://link.springer.com/journal/784</t>
  </si>
  <si>
    <t>Clinical Research in Cardiology</t>
  </si>
  <si>
    <t>1861-0692</t>
  </si>
  <si>
    <t>1861-0684</t>
  </si>
  <si>
    <t>https://link.springer.com/journal/392</t>
  </si>
  <si>
    <t>Clinical Reviews in Allergy &amp; Immunology</t>
  </si>
  <si>
    <t>1559-0267</t>
  </si>
  <si>
    <t>https://link.springer.com/journal/12016</t>
  </si>
  <si>
    <t>Clinical Reviews in Bone and Mineral Metabolism</t>
  </si>
  <si>
    <t>1559-0119</t>
  </si>
  <si>
    <t>https://link.springer.com/journal/12018</t>
  </si>
  <si>
    <t>Clinical Rheumatology</t>
  </si>
  <si>
    <t>1434-9949</t>
  </si>
  <si>
    <t>0770-3198</t>
  </si>
  <si>
    <t>https://link.springer.com/journal/10067</t>
  </si>
  <si>
    <t>Clinical Social Work Journal</t>
  </si>
  <si>
    <t>1573-3343</t>
  </si>
  <si>
    <t>0091-1674</t>
  </si>
  <si>
    <t>https://link.springer.com/journal/10615</t>
  </si>
  <si>
    <t>Cliometrica</t>
  </si>
  <si>
    <t>1863-2513</t>
  </si>
  <si>
    <t>1863-2505</t>
  </si>
  <si>
    <t>https://link.springer.com/journal/11698</t>
  </si>
  <si>
    <t>Cluster Computing</t>
  </si>
  <si>
    <t>1573-7543</t>
  </si>
  <si>
    <t>1386-7857</t>
  </si>
  <si>
    <t>https://link.springer.com/journal/10586</t>
  </si>
  <si>
    <t>CME</t>
  </si>
  <si>
    <t>1614-3744</t>
  </si>
  <si>
    <t>1614-371X</t>
  </si>
  <si>
    <t>https://link.springer.com/journal/11298</t>
  </si>
  <si>
    <t>Cognition, Technology &amp; Work</t>
  </si>
  <si>
    <t>1435-5566</t>
  </si>
  <si>
    <t>1435-5558</t>
  </si>
  <si>
    <t>https://link.springer.com/journal/10111</t>
  </si>
  <si>
    <t>Cognitive Computation</t>
  </si>
  <si>
    <t>1866-9964</t>
  </si>
  <si>
    <t>https://link.springer.com/journal/12559</t>
  </si>
  <si>
    <t>Cognitive Neurodynamics</t>
  </si>
  <si>
    <t>1871-4099</t>
  </si>
  <si>
    <t>https://link.springer.com/journal/11571</t>
  </si>
  <si>
    <t>Cognitive Processing</t>
  </si>
  <si>
    <t>1612-4790</t>
  </si>
  <si>
    <t>1612-4782</t>
  </si>
  <si>
    <t>https://link.springer.com/journal/10339</t>
  </si>
  <si>
    <t>Cognitive Therapy and Research</t>
  </si>
  <si>
    <t>1573-2819</t>
  </si>
  <si>
    <t>0147-5916</t>
  </si>
  <si>
    <t>https://link.springer.com/journal/10608</t>
  </si>
  <si>
    <t>Cognitive, Affective, &amp; Behavioral Neuroscience</t>
  </si>
  <si>
    <t>1531-135X</t>
  </si>
  <si>
    <t>1530-7026</t>
  </si>
  <si>
    <t>https://link.springer.com/journal/13415</t>
  </si>
  <si>
    <t>Coke and Chemistry</t>
  </si>
  <si>
    <t>1934-8398</t>
  </si>
  <si>
    <t>1068-364X</t>
  </si>
  <si>
    <t>https://link.springer.com/journal/11955</t>
  </si>
  <si>
    <t>Collectanea Mathematica</t>
  </si>
  <si>
    <t>2038-4815</t>
  </si>
  <si>
    <t>0010-0757</t>
  </si>
  <si>
    <t>https://link.springer.com/journal/13348</t>
  </si>
  <si>
    <t>Colloid and Polymer Science</t>
  </si>
  <si>
    <t>1435-1536</t>
  </si>
  <si>
    <t>0303-402X</t>
  </si>
  <si>
    <t>https://link.springer.com/journal/396</t>
  </si>
  <si>
    <t>Colloid Journal</t>
  </si>
  <si>
    <t>1608-3067</t>
  </si>
  <si>
    <t>1061-933X</t>
  </si>
  <si>
    <t>https://link.springer.com/journal/10595</t>
  </si>
  <si>
    <t>coloproctology</t>
  </si>
  <si>
    <t>1615-6730</t>
  </si>
  <si>
    <t>0174-2442</t>
  </si>
  <si>
    <t>https://link.springer.com/journal/53</t>
  </si>
  <si>
    <t>Combinatorica</t>
  </si>
  <si>
    <t>1439-6912</t>
  </si>
  <si>
    <t>0209-9683</t>
  </si>
  <si>
    <t>https://link.springer.com/journal/493</t>
  </si>
  <si>
    <t>Combustion, Explosion, and Shock Waves</t>
  </si>
  <si>
    <t>1573-8345</t>
  </si>
  <si>
    <t>0010-5082</t>
  </si>
  <si>
    <t>https://link.springer.com/journal/10573</t>
  </si>
  <si>
    <t>Communications in Mathematical Physics</t>
  </si>
  <si>
    <t>1432-0916</t>
  </si>
  <si>
    <t>0010-3616</t>
  </si>
  <si>
    <t>https://link.springer.com/journal/220</t>
  </si>
  <si>
    <t>Communications in Mathematics and Statistics</t>
  </si>
  <si>
    <t>2194-671X</t>
  </si>
  <si>
    <t>2194-6701</t>
  </si>
  <si>
    <t>https://link.springer.com/journal/40304</t>
  </si>
  <si>
    <t>Communications on Applied Mathematics and Computation</t>
  </si>
  <si>
    <t>2661-8893</t>
  </si>
  <si>
    <t>2096-6385</t>
  </si>
  <si>
    <t>https://link.springer.com/journal/42967</t>
  </si>
  <si>
    <t>Community Ecology</t>
  </si>
  <si>
    <t>1588-2756</t>
  </si>
  <si>
    <t>1585-8553</t>
  </si>
  <si>
    <t>https://link.springer.com/journal/42974</t>
  </si>
  <si>
    <t>Community Mental Health Journal</t>
  </si>
  <si>
    <t>1573-2789</t>
  </si>
  <si>
    <t>0010-3853</t>
  </si>
  <si>
    <t>https://link.springer.com/journal/10597</t>
  </si>
  <si>
    <t>Comparative Clinical Pathology</t>
  </si>
  <si>
    <t>1618-565X</t>
  </si>
  <si>
    <t>https://link.springer.com/journal/580</t>
  </si>
  <si>
    <t>Complex Analysis and its Synergies</t>
  </si>
  <si>
    <t>2197-120X</t>
  </si>
  <si>
    <t>2524-7581</t>
  </si>
  <si>
    <t>https://link.springer.com/journal/40627</t>
  </si>
  <si>
    <t>Complex Analysis and Operator Theory</t>
  </si>
  <si>
    <t>1661-8262</t>
  </si>
  <si>
    <t>1661-8254</t>
  </si>
  <si>
    <t>https://link.springer.com/journal/11785</t>
  </si>
  <si>
    <t>Computational and Applied Mathematics</t>
  </si>
  <si>
    <t>1807-0302</t>
  </si>
  <si>
    <t>2238-3603</t>
  </si>
  <si>
    <t>https://link.springer.com/journal/40314</t>
  </si>
  <si>
    <t>Computational and Mathematical Organization Theory</t>
  </si>
  <si>
    <t>1572-9346</t>
  </si>
  <si>
    <t>1381-298X</t>
  </si>
  <si>
    <t>https://link.springer.com/journal/10588</t>
  </si>
  <si>
    <t>Computational Brain &amp; Behavior</t>
  </si>
  <si>
    <t>2522-087X</t>
  </si>
  <si>
    <t>2522-0861</t>
  </si>
  <si>
    <t>https://link.springer.com/journal/42113</t>
  </si>
  <si>
    <t>computational complexity</t>
  </si>
  <si>
    <t>1420-8954</t>
  </si>
  <si>
    <t>1016-3328</t>
  </si>
  <si>
    <t>https://link.springer.com/journal/37</t>
  </si>
  <si>
    <t>Computational Economics</t>
  </si>
  <si>
    <t>1572-9974</t>
  </si>
  <si>
    <t>0927-7099</t>
  </si>
  <si>
    <t>https://link.springer.com/journal/10614</t>
  </si>
  <si>
    <t>Computational Geosciences</t>
  </si>
  <si>
    <t>1573-1499</t>
  </si>
  <si>
    <t>1420-0597</t>
  </si>
  <si>
    <t>https://link.springer.com/journal/10596</t>
  </si>
  <si>
    <t>Computational Management Science</t>
  </si>
  <si>
    <t>1619-6988</t>
  </si>
  <si>
    <t>1619-697X</t>
  </si>
  <si>
    <t>https://link.springer.com/journal/10287</t>
  </si>
  <si>
    <t>Computational Mathematics and Mathematical Physics</t>
  </si>
  <si>
    <t>1555-6662</t>
  </si>
  <si>
    <t>0965-5425</t>
  </si>
  <si>
    <t>https://link.springer.com/journal/11470</t>
  </si>
  <si>
    <t>Computational Mathematics and Modeling</t>
  </si>
  <si>
    <t>1573-837X</t>
  </si>
  <si>
    <t>1046-283X</t>
  </si>
  <si>
    <t>https://link.springer.com/journal/10598</t>
  </si>
  <si>
    <t>Computational Mechanics</t>
  </si>
  <si>
    <t>1432-0924</t>
  </si>
  <si>
    <t>0178-7675</t>
  </si>
  <si>
    <t>https://link.springer.com/journal/466</t>
  </si>
  <si>
    <t>Computational Methods and Function Theory</t>
  </si>
  <si>
    <t>2195-3724</t>
  </si>
  <si>
    <t>1617-9447</t>
  </si>
  <si>
    <t>https://link.springer.com/journal/40315</t>
  </si>
  <si>
    <t>Computational Optimization and Applications</t>
  </si>
  <si>
    <t>1573-2894</t>
  </si>
  <si>
    <t>0926-6003</t>
  </si>
  <si>
    <t>https://link.springer.com/journal/10589</t>
  </si>
  <si>
    <t>Computational Particle Mechanics</t>
  </si>
  <si>
    <t>2196-4386</t>
  </si>
  <si>
    <t>2196-4378</t>
  </si>
  <si>
    <t>https://link.springer.com/journal/40571</t>
  </si>
  <si>
    <t>Computational Statistics</t>
  </si>
  <si>
    <t>1613-9658</t>
  </si>
  <si>
    <t>0943-4062</t>
  </si>
  <si>
    <t>https://link.springer.com/journal/180</t>
  </si>
  <si>
    <t>Computer Supported Cooperative Work (CSCW)</t>
  </si>
  <si>
    <t>1573-7551</t>
  </si>
  <si>
    <t>0925-9724</t>
  </si>
  <si>
    <t>https://link.springer.com/journal/10606</t>
  </si>
  <si>
    <t>Computing</t>
  </si>
  <si>
    <t>1436-5057</t>
  </si>
  <si>
    <t>0010-485X</t>
  </si>
  <si>
    <t>https://link.springer.com/journal/607</t>
  </si>
  <si>
    <t>Conservation Genetics</t>
  </si>
  <si>
    <t>1572-9737</t>
  </si>
  <si>
    <t>1566-0621</t>
  </si>
  <si>
    <t>https://link.springer.com/journal/10592</t>
  </si>
  <si>
    <t>Conservation Genetics Resources</t>
  </si>
  <si>
    <t>1877-7260</t>
  </si>
  <si>
    <t>https://link.springer.com/journal/12686</t>
  </si>
  <si>
    <t>Constitutional Political Economy</t>
  </si>
  <si>
    <t>1572-9966</t>
  </si>
  <si>
    <t>1043-4062</t>
  </si>
  <si>
    <t>https://link.springer.com/journal/10602</t>
  </si>
  <si>
    <t>Constraints</t>
  </si>
  <si>
    <t>1572-9354</t>
  </si>
  <si>
    <t>1383-7133</t>
  </si>
  <si>
    <t>https://link.springer.com/journal/10601</t>
  </si>
  <si>
    <t>Construction Robotics</t>
  </si>
  <si>
    <t>2509-8780</t>
  </si>
  <si>
    <t>2509-811X</t>
  </si>
  <si>
    <t>https://link.springer.com/journal/41693</t>
  </si>
  <si>
    <t>Constructive Approximation</t>
  </si>
  <si>
    <t>1432-0940</t>
  </si>
  <si>
    <t>0176-4276</t>
  </si>
  <si>
    <t>https://link.springer.com/journal/365</t>
  </si>
  <si>
    <t>Contemporary Family Therapy</t>
  </si>
  <si>
    <t>1573-3335</t>
  </si>
  <si>
    <t>0892-2764</t>
  </si>
  <si>
    <t>https://link.springer.com/journal/10591</t>
  </si>
  <si>
    <t>Contemporary Islam</t>
  </si>
  <si>
    <t>1872-0226</t>
  </si>
  <si>
    <t>1872-0218</t>
  </si>
  <si>
    <t>https://link.springer.com/journal/11562</t>
  </si>
  <si>
    <t>Contemporary Jewry</t>
  </si>
  <si>
    <t>1876-5165</t>
  </si>
  <si>
    <t>0147-1694</t>
  </si>
  <si>
    <t>https://link.springer.com/journal/12397</t>
  </si>
  <si>
    <t>Contemporary Problems of Ecology</t>
  </si>
  <si>
    <t>1995-4263</t>
  </si>
  <si>
    <t>1995-4255</t>
  </si>
  <si>
    <t>https://link.springer.com/journal/12259</t>
  </si>
  <si>
    <t>Contemporary School Psychology</t>
  </si>
  <si>
    <t>2161-1505</t>
  </si>
  <si>
    <t>2159-2020</t>
  </si>
  <si>
    <t>https://link.springer.com/journal/40688</t>
  </si>
  <si>
    <t>Continental Philosophy Review</t>
  </si>
  <si>
    <t>1573-1103</t>
  </si>
  <si>
    <t>1387-2842</t>
  </si>
  <si>
    <t>https://link.springer.com/journal/11007</t>
  </si>
  <si>
    <t>Continuum Mechanics and Thermodynamics</t>
  </si>
  <si>
    <t>1432-0959</t>
  </si>
  <si>
    <t>0935-1175</t>
  </si>
  <si>
    <t>https://link.springer.com/journal/161</t>
  </si>
  <si>
    <t>Contributions to Mineralogy and Petrology</t>
  </si>
  <si>
    <t>1432-0967</t>
  </si>
  <si>
    <t>0010-7999</t>
  </si>
  <si>
    <t>https://link.springer.com/journal/410</t>
  </si>
  <si>
    <t>Control Theory and Technology</t>
  </si>
  <si>
    <t>2198-0942</t>
  </si>
  <si>
    <t>2095-6983</t>
  </si>
  <si>
    <t>https://link.springer.com/journal/11768</t>
  </si>
  <si>
    <t>South China University of Technology and Academy of Mathematics and Systems Science, CAS, co-published with Springer</t>
  </si>
  <si>
    <t>Controlling &amp; Management Review</t>
  </si>
  <si>
    <t>2195-8270</t>
  </si>
  <si>
    <t>2195-8262</t>
  </si>
  <si>
    <t>https://link.springer.com/journal/12176</t>
  </si>
  <si>
    <t>Coral Reefs</t>
  </si>
  <si>
    <t>1432-0975</t>
  </si>
  <si>
    <t>0722-4028</t>
  </si>
  <si>
    <t>https://link.springer.com/journal/338</t>
  </si>
  <si>
    <t>Corpus Pragmatics</t>
  </si>
  <si>
    <t>2509-9515</t>
  </si>
  <si>
    <t>2509-9507</t>
  </si>
  <si>
    <t>https://link.springer.com/journal/41701</t>
  </si>
  <si>
    <t>Cosmic Research</t>
  </si>
  <si>
    <t>1608-3075</t>
  </si>
  <si>
    <t>0010-9525</t>
  </si>
  <si>
    <t>https://link.springer.com/journal/10604</t>
  </si>
  <si>
    <t>Crime, Law and Social Change</t>
  </si>
  <si>
    <t>1573-0751</t>
  </si>
  <si>
    <t>0925-4994</t>
  </si>
  <si>
    <t>https://link.springer.com/journal/10611</t>
  </si>
  <si>
    <t>Criminal Law and Philosophy</t>
  </si>
  <si>
    <t>1871-9805</t>
  </si>
  <si>
    <t>1871-9791</t>
  </si>
  <si>
    <t>https://link.springer.com/journal/11572</t>
  </si>
  <si>
    <t>Criminal Law Forum</t>
  </si>
  <si>
    <t>1572-9850</t>
  </si>
  <si>
    <t>1046-8374</t>
  </si>
  <si>
    <t>https://link.springer.com/journal/10609</t>
  </si>
  <si>
    <t>Critical Criminology</t>
  </si>
  <si>
    <t>1572-9877</t>
  </si>
  <si>
    <t>1205-8629</t>
  </si>
  <si>
    <t>https://link.springer.com/journal/10612</t>
  </si>
  <si>
    <t>Cryptography and Communications</t>
  </si>
  <si>
    <t>1936-2455</t>
  </si>
  <si>
    <t>https://link.springer.com/journal/12095</t>
  </si>
  <si>
    <t>Crystallography Reports</t>
  </si>
  <si>
    <t>1562-689X</t>
  </si>
  <si>
    <t>1063-7745</t>
  </si>
  <si>
    <t>https://link.springer.com/journal/11445</t>
  </si>
  <si>
    <t>CSI Transactions on ICT</t>
  </si>
  <si>
    <t>2277-9086</t>
  </si>
  <si>
    <t>2277-9078</t>
  </si>
  <si>
    <t>https://link.springer.com/journal/40012</t>
  </si>
  <si>
    <t>cultura &amp; psyché</t>
  </si>
  <si>
    <t>2730-5732</t>
  </si>
  <si>
    <t>https://link.springer.com/journal/43638</t>
  </si>
  <si>
    <t>Cultural Studies of Science Education</t>
  </si>
  <si>
    <t>1871-1510</t>
  </si>
  <si>
    <t>https://link.springer.com/journal/11422</t>
  </si>
  <si>
    <t>Culture, Medicine, and Psychiatry</t>
  </si>
  <si>
    <t>1573-076X</t>
  </si>
  <si>
    <t>0165-005X</t>
  </si>
  <si>
    <t>https://link.springer.com/journal/11013</t>
  </si>
  <si>
    <t>Current Addiction Reports</t>
  </si>
  <si>
    <t>2196-2952</t>
  </si>
  <si>
    <t>https://link.springer.com/journal/40429</t>
  </si>
  <si>
    <t>Current Allergy and Asthma Reports</t>
  </si>
  <si>
    <t>1534-6315</t>
  </si>
  <si>
    <t>https://link.springer.com/journal/11882</t>
  </si>
  <si>
    <t>Current Anesthesiology Reports</t>
  </si>
  <si>
    <t>2167-6275</t>
  </si>
  <si>
    <t>https://link.springer.com/journal/40140</t>
  </si>
  <si>
    <t>Current Atherosclerosis Reports</t>
  </si>
  <si>
    <t>1534-6242</t>
  </si>
  <si>
    <t>https://link.springer.com/journal/11883</t>
  </si>
  <si>
    <t>Current Behavioral Neuroscience Reports</t>
  </si>
  <si>
    <t>2196-2979</t>
  </si>
  <si>
    <t>https://link.springer.com/journal/40473</t>
  </si>
  <si>
    <t>Current Bladder Dysfunction Reports</t>
  </si>
  <si>
    <t>1931-7220</t>
  </si>
  <si>
    <t>https://link.springer.com/journal/11884</t>
  </si>
  <si>
    <t>Current Breast Cancer Reports</t>
  </si>
  <si>
    <t>1943-4596</t>
  </si>
  <si>
    <t>https://link.springer.com/journal/12609</t>
  </si>
  <si>
    <t>Current Cardiology Reports</t>
  </si>
  <si>
    <t>1534-3170</t>
  </si>
  <si>
    <t>https://link.springer.com/journal/11886</t>
  </si>
  <si>
    <t>Current Cardiovascular Imaging Reports</t>
  </si>
  <si>
    <t>1941-9074</t>
  </si>
  <si>
    <t>https://link.springer.com/journal/12410</t>
  </si>
  <si>
    <t>Current Cardiovascular Risk Reports</t>
  </si>
  <si>
    <t>1932-9563</t>
  </si>
  <si>
    <t>https://link.springer.com/journal/12170</t>
  </si>
  <si>
    <t>Current Climate Change Reports</t>
  </si>
  <si>
    <t>2198-6061</t>
  </si>
  <si>
    <t>https://link.springer.com/journal/40641</t>
  </si>
  <si>
    <t>Current Clinical Microbiology Reports</t>
  </si>
  <si>
    <t>2196-5471</t>
  </si>
  <si>
    <t>https://link.springer.com/journal/40588</t>
  </si>
  <si>
    <t>Current Colorectal Cancer Reports</t>
  </si>
  <si>
    <t>1556-3804</t>
  </si>
  <si>
    <t>https://link.springer.com/journal/11888</t>
  </si>
  <si>
    <t>Current Dermatology Reports</t>
  </si>
  <si>
    <t>2162-4933</t>
  </si>
  <si>
    <t>https://link.springer.com/journal/13671</t>
  </si>
  <si>
    <t>Current Developmental Disorders Reports</t>
  </si>
  <si>
    <t>2196-2987</t>
  </si>
  <si>
    <t>https://link.springer.com/journal/40474</t>
  </si>
  <si>
    <t>Current Diabetes Reports</t>
  </si>
  <si>
    <t>1539-0829</t>
  </si>
  <si>
    <t>https://link.springer.com/journal/11892</t>
  </si>
  <si>
    <t>Current Emergency and Hospital Medicine Reports</t>
  </si>
  <si>
    <t>2167-4884</t>
  </si>
  <si>
    <t>https://link.springer.com/journal/40138</t>
  </si>
  <si>
    <t>Current Environmental Health Reports</t>
  </si>
  <si>
    <t>2196-5412</t>
  </si>
  <si>
    <t>https://link.springer.com/journal/40572</t>
  </si>
  <si>
    <t>Current Epidemiology Reports</t>
  </si>
  <si>
    <t>2196-2995</t>
  </si>
  <si>
    <t>https://link.springer.com/journal/40471</t>
  </si>
  <si>
    <t>Current Forestry Reports</t>
  </si>
  <si>
    <t>2198-6436</t>
  </si>
  <si>
    <t>https://link.springer.com/journal/40725</t>
  </si>
  <si>
    <t>Current Fungal Infection Reports</t>
  </si>
  <si>
    <t>1936-377X</t>
  </si>
  <si>
    <t>https://link.springer.com/journal/12281</t>
  </si>
  <si>
    <t>Current Gastroenterology Reports</t>
  </si>
  <si>
    <t>1534-312X</t>
  </si>
  <si>
    <t>https://link.springer.com/journal/11894</t>
  </si>
  <si>
    <t>Current Genetic Medicine Reports</t>
  </si>
  <si>
    <t>2167-4876</t>
  </si>
  <si>
    <t>https://link.springer.com/journal/40142</t>
  </si>
  <si>
    <t>Current Genetics</t>
  </si>
  <si>
    <t>1432-0983</t>
  </si>
  <si>
    <t>0172-8083</t>
  </si>
  <si>
    <t>https://link.springer.com/journal/294</t>
  </si>
  <si>
    <t>Current Geriatrics Reports</t>
  </si>
  <si>
    <t>2196-7865</t>
  </si>
  <si>
    <t>https://link.springer.com/journal/13670</t>
  </si>
  <si>
    <t>Current Heart Failure Reports</t>
  </si>
  <si>
    <t>1546-9549</t>
  </si>
  <si>
    <t>https://link.springer.com/journal/11897</t>
  </si>
  <si>
    <t>Current Hematologic Malignancy Reports</t>
  </si>
  <si>
    <t>1558-822X</t>
  </si>
  <si>
    <t>https://link.springer.com/journal/11899</t>
  </si>
  <si>
    <t>Current Hepatology Reports</t>
  </si>
  <si>
    <t>2195-9595</t>
  </si>
  <si>
    <t>https://link.springer.com/journal/11901</t>
  </si>
  <si>
    <t>Current HIV/AIDS Reports</t>
  </si>
  <si>
    <t>1548-3576</t>
  </si>
  <si>
    <t>https://link.springer.com/journal/11904</t>
  </si>
  <si>
    <t>Current Hypertension Reports</t>
  </si>
  <si>
    <t>1534-3111</t>
  </si>
  <si>
    <t>https://link.springer.com/journal/11906</t>
  </si>
  <si>
    <t>Current Infectious Disease Reports</t>
  </si>
  <si>
    <t>1534-3146</t>
  </si>
  <si>
    <t>https://link.springer.com/journal/11908</t>
  </si>
  <si>
    <t>Current Landscape Ecology Reports</t>
  </si>
  <si>
    <t>2364-494X</t>
  </si>
  <si>
    <t>https://link.springer.com/journal/40823</t>
  </si>
  <si>
    <t>Current Medical Science</t>
  </si>
  <si>
    <t>2523-899X</t>
  </si>
  <si>
    <t>2096-5230</t>
  </si>
  <si>
    <t>https://link.springer.com/journal/11596</t>
  </si>
  <si>
    <t>Huazhong University of Science and Technology, co-published with Springer</t>
  </si>
  <si>
    <t>Current Microbiology</t>
  </si>
  <si>
    <t>1432-0991</t>
  </si>
  <si>
    <t>0343-8651</t>
  </si>
  <si>
    <t>https://link.springer.com/journal/284</t>
  </si>
  <si>
    <t>Current Molecular Biology Reports</t>
  </si>
  <si>
    <t>2198-6428</t>
  </si>
  <si>
    <t>https://link.springer.com/journal/40610</t>
  </si>
  <si>
    <t>Current Neurology and Neuroscience Reports</t>
  </si>
  <si>
    <t>1534-6293</t>
  </si>
  <si>
    <t>https://link.springer.com/journal/11910</t>
  </si>
  <si>
    <t>Current Nutrition Reports</t>
  </si>
  <si>
    <t>2161-3311</t>
  </si>
  <si>
    <t>https://link.springer.com/journal/13668</t>
  </si>
  <si>
    <t>Current Obesity Reports</t>
  </si>
  <si>
    <t>2162-4968</t>
  </si>
  <si>
    <t>https://link.springer.com/journal/13679</t>
  </si>
  <si>
    <t>Current Obstetrics and Gynecology Reports</t>
  </si>
  <si>
    <t>2161-3303</t>
  </si>
  <si>
    <t>https://link.springer.com/journal/13669</t>
  </si>
  <si>
    <t>Current Oncology Reports</t>
  </si>
  <si>
    <t>1534-6269</t>
  </si>
  <si>
    <t>https://link.springer.com/journal/11912</t>
  </si>
  <si>
    <t>Current Ophthalmology Reports</t>
  </si>
  <si>
    <t>2167-4868</t>
  </si>
  <si>
    <t>https://link.springer.com/journal/40135</t>
  </si>
  <si>
    <t>Current Oral Health Reports</t>
  </si>
  <si>
    <t>2196-3002</t>
  </si>
  <si>
    <t>https://link.springer.com/journal/40496</t>
  </si>
  <si>
    <t>Current Osteoporosis Reports</t>
  </si>
  <si>
    <t>1544-2241</t>
  </si>
  <si>
    <t>https://link.springer.com/journal/11914</t>
  </si>
  <si>
    <t>Current Otorhinolaryngology Reports</t>
  </si>
  <si>
    <t>2167-583X</t>
  </si>
  <si>
    <t>https://link.springer.com/journal/40136</t>
  </si>
  <si>
    <t>Current Pain and Headache Reports</t>
  </si>
  <si>
    <t>1534-3081</t>
  </si>
  <si>
    <t>https://link.springer.com/journal/11916</t>
  </si>
  <si>
    <t>Current Pathobiology Reports</t>
  </si>
  <si>
    <t>2167-485X</t>
  </si>
  <si>
    <t>https://link.springer.com/journal/40139</t>
  </si>
  <si>
    <t>Current Pediatrics Reports</t>
  </si>
  <si>
    <t>2167-4841</t>
  </si>
  <si>
    <t>https://link.springer.com/journal/40124</t>
  </si>
  <si>
    <t>Current Pharmacology Reports</t>
  </si>
  <si>
    <t>2198-641X</t>
  </si>
  <si>
    <t>https://link.springer.com/journal/40495</t>
  </si>
  <si>
    <t>Current Physical Medicine and Rehabilitation Reports</t>
  </si>
  <si>
    <t>2167-4833</t>
  </si>
  <si>
    <t>https://link.springer.com/journal/40141</t>
  </si>
  <si>
    <t>Current Pollution Reports</t>
  </si>
  <si>
    <t>2198-6592</t>
  </si>
  <si>
    <t>https://link.springer.com/journal/40726</t>
  </si>
  <si>
    <t>Current Psychiatry Reports</t>
  </si>
  <si>
    <t>1535-1645</t>
  </si>
  <si>
    <t>https://link.springer.com/journal/11920</t>
  </si>
  <si>
    <t>Current Psychology</t>
  </si>
  <si>
    <t>1936-4733</t>
  </si>
  <si>
    <t>1046-1310</t>
  </si>
  <si>
    <t>https://link.springer.com/journal/12144</t>
  </si>
  <si>
    <t>Springer Nature</t>
  </si>
  <si>
    <t>Current Pulmonology Reports</t>
  </si>
  <si>
    <t>2199-2428</t>
  </si>
  <si>
    <t>https://link.springer.com/journal/13665</t>
  </si>
  <si>
    <t>Current Radiology Reports</t>
  </si>
  <si>
    <t>2167-4825</t>
  </si>
  <si>
    <t>https://link.springer.com/journal/40134</t>
  </si>
  <si>
    <t>Current Reviews in Musculoskeletal Medicine</t>
  </si>
  <si>
    <t>1935-9748</t>
  </si>
  <si>
    <t>https://link.springer.com/journal/12178</t>
  </si>
  <si>
    <t>Current Rheumatology Reports</t>
  </si>
  <si>
    <t>1534-6307</t>
  </si>
  <si>
    <t>https://link.springer.com/journal/11926</t>
  </si>
  <si>
    <t>Current Robotics Reports</t>
  </si>
  <si>
    <t>2662-4087</t>
  </si>
  <si>
    <t>https://link.springer.com/journal/43154</t>
  </si>
  <si>
    <t>Current Sexual Health Reports</t>
  </si>
  <si>
    <t>1548-3592</t>
  </si>
  <si>
    <t>https://link.springer.com/journal/11930</t>
  </si>
  <si>
    <t>Current Sleep Medicine Reports</t>
  </si>
  <si>
    <t>2198-6401</t>
  </si>
  <si>
    <t>https://link.springer.com/journal/40675</t>
  </si>
  <si>
    <t>Current Stem Cell Reports</t>
  </si>
  <si>
    <t>2198-7866</t>
  </si>
  <si>
    <t>https://link.springer.com/journal/40778</t>
  </si>
  <si>
    <t>Current Surgery Reports</t>
  </si>
  <si>
    <t>2167-4817</t>
  </si>
  <si>
    <t>https://link.springer.com/journal/40137</t>
  </si>
  <si>
    <t>Current Sustainable/Renewable Energy Reports</t>
  </si>
  <si>
    <t>2196-3010</t>
  </si>
  <si>
    <t>https://link.springer.com/journal/40518</t>
  </si>
  <si>
    <t>Current Tissue Microenvironment Reports</t>
  </si>
  <si>
    <t>2662-4079</t>
  </si>
  <si>
    <t>https://link.springer.com/journal/43152</t>
  </si>
  <si>
    <t>Current Transplantation Reports</t>
  </si>
  <si>
    <t>2196-3029</t>
  </si>
  <si>
    <t>https://link.springer.com/journal/40472</t>
  </si>
  <si>
    <t>Current Trauma Reports</t>
  </si>
  <si>
    <t>2198-6096</t>
  </si>
  <si>
    <t>https://link.springer.com/journal/40719</t>
  </si>
  <si>
    <t>Current Treatment Options in Allergy</t>
  </si>
  <si>
    <t>2196-3053</t>
  </si>
  <si>
    <t>https://link.springer.com/journal/40521</t>
  </si>
  <si>
    <t>Current Treatment Options in Cardiovascular Medicine</t>
  </si>
  <si>
    <t>1534-3189</t>
  </si>
  <si>
    <t>https://link.springer.com/journal/11936</t>
  </si>
  <si>
    <t>Current Treatment Options in Gastroenterology</t>
  </si>
  <si>
    <t>1534-309X</t>
  </si>
  <si>
    <t>https://link.springer.com/journal/11938</t>
  </si>
  <si>
    <t>Current Treatment Options in Infectious Diseases</t>
  </si>
  <si>
    <t>1534-6250</t>
  </si>
  <si>
    <t>https://link.springer.com/journal/40506</t>
  </si>
  <si>
    <t>Current Treatment Options in Neurology</t>
  </si>
  <si>
    <t>1534-3138</t>
  </si>
  <si>
    <t>https://link.springer.com/journal/11940</t>
  </si>
  <si>
    <t>Current Treatment Options in Oncology</t>
  </si>
  <si>
    <t>1534-6277</t>
  </si>
  <si>
    <t>https://link.springer.com/journal/11864</t>
  </si>
  <si>
    <t>Current Treatment Options in Pediatrics</t>
  </si>
  <si>
    <t>2198-6088</t>
  </si>
  <si>
    <t>https://link.springer.com/journal/40746</t>
  </si>
  <si>
    <t>Current Treatment Options in Psychiatry</t>
  </si>
  <si>
    <t>2196-3061</t>
  </si>
  <si>
    <t>https://link.springer.com/journal/40501</t>
  </si>
  <si>
    <t>Current Treatment Options in Rheumatology</t>
  </si>
  <si>
    <t>2198-6002</t>
  </si>
  <si>
    <t>https://link.springer.com/journal/40674</t>
  </si>
  <si>
    <t>Current Tropical Medicine Reports</t>
  </si>
  <si>
    <t>2196-3045</t>
  </si>
  <si>
    <t>https://link.springer.com/journal/40475</t>
  </si>
  <si>
    <t>Current Urology Reports</t>
  </si>
  <si>
    <t>1534-6285</t>
  </si>
  <si>
    <t>https://link.springer.com/journal/11934</t>
  </si>
  <si>
    <t>Curriculum Perspectives</t>
  </si>
  <si>
    <t>2367-1793</t>
  </si>
  <si>
    <t>0159-7868</t>
  </si>
  <si>
    <t>https://link.springer.com/journal/41297</t>
  </si>
  <si>
    <t>Customer Needs and Solutions</t>
  </si>
  <si>
    <t>2196-2928</t>
  </si>
  <si>
    <t>2196-291X</t>
  </si>
  <si>
    <t>https://link.springer.com/journal/40547</t>
  </si>
  <si>
    <t>Cybernetics and Systems Analysis</t>
  </si>
  <si>
    <t>1573-8337</t>
  </si>
  <si>
    <t>1060-0396</t>
  </si>
  <si>
    <t>https://link.springer.com/journal/10559</t>
  </si>
  <si>
    <t>Cytology and Genetics</t>
  </si>
  <si>
    <t>1934-9440</t>
  </si>
  <si>
    <t>0095-4527</t>
  </si>
  <si>
    <t>https://link.springer.com/journal/11956</t>
  </si>
  <si>
    <t>Cytotechnology</t>
  </si>
  <si>
    <t>1573-0778</t>
  </si>
  <si>
    <t>0920-9069</t>
  </si>
  <si>
    <t>https://link.springer.com/journal/10616</t>
  </si>
  <si>
    <t>Czechoslovak Mathematical Journal</t>
  </si>
  <si>
    <t>1572-9141</t>
  </si>
  <si>
    <t>0011-4642</t>
  </si>
  <si>
    <t>https://link.springer.com/journal/10587</t>
  </si>
  <si>
    <t>Dao</t>
  </si>
  <si>
    <t>1569-7274</t>
  </si>
  <si>
    <t>1540-3009</t>
  </si>
  <si>
    <t>https://link.springer.com/journal/11712</t>
  </si>
  <si>
    <t>DARU Journal of Pharmaceutical Sciences</t>
  </si>
  <si>
    <t>2008-2231</t>
  </si>
  <si>
    <t>https://link.springer.com/journal/40199</t>
  </si>
  <si>
    <t>Data Mining and Knowledge Discovery</t>
  </si>
  <si>
    <t>1573-756X</t>
  </si>
  <si>
    <t>1384-5810</t>
  </si>
  <si>
    <t>https://link.springer.com/journal/10618</t>
  </si>
  <si>
    <t>Datenbank-Spektrum</t>
  </si>
  <si>
    <t>1610-1995</t>
  </si>
  <si>
    <t>1618-2162</t>
  </si>
  <si>
    <t>https://link.springer.com/journal/13222</t>
  </si>
  <si>
    <t>Datenschutz und Datensicherheit - DuD</t>
  </si>
  <si>
    <t>1862-2607</t>
  </si>
  <si>
    <t>1614-0702</t>
  </si>
  <si>
    <t>https://link.springer.com/journal/11623</t>
  </si>
  <si>
    <t>De Economist</t>
  </si>
  <si>
    <t>1572-9982</t>
  </si>
  <si>
    <t>0013-063X</t>
  </si>
  <si>
    <t>https://link.springer.com/journal/10645</t>
  </si>
  <si>
    <t>DECISION</t>
  </si>
  <si>
    <t>2197-1722</t>
  </si>
  <si>
    <t>0304-0941</t>
  </si>
  <si>
    <t>https://link.springer.com/journal/40622</t>
  </si>
  <si>
    <t>Decisions in Economics and Finance</t>
  </si>
  <si>
    <t>1129-6569</t>
  </si>
  <si>
    <t>1593-8883</t>
  </si>
  <si>
    <t>https://link.springer.com/journal/10203</t>
  </si>
  <si>
    <t>Die Anaesthesiologie</t>
  </si>
  <si>
    <t>2731-6866</t>
  </si>
  <si>
    <t>2731-6858</t>
  </si>
  <si>
    <t>https://link.springer.com/journal/101</t>
  </si>
  <si>
    <t>Die Chirurgie</t>
  </si>
  <si>
    <t>2731-698X</t>
  </si>
  <si>
    <t>2731-6971</t>
  </si>
  <si>
    <t>https://link.springer.com/journal/104</t>
  </si>
  <si>
    <t>Die Diabetologie</t>
  </si>
  <si>
    <t>2731-7455</t>
  </si>
  <si>
    <t>2731-7447</t>
  </si>
  <si>
    <t>https://link.springer.com/journal/11428</t>
  </si>
  <si>
    <t>Der Freie Zahnarzt</t>
  </si>
  <si>
    <t>2190-3824</t>
  </si>
  <si>
    <t>0340-1766</t>
  </si>
  <si>
    <t>https://link.springer.com/journal/12614</t>
  </si>
  <si>
    <t>Die Gastroenterologie</t>
  </si>
  <si>
    <t>2731-7439</t>
  </si>
  <si>
    <t>2731-7420</t>
  </si>
  <si>
    <t>https://link.springer.com/journal/11377</t>
  </si>
  <si>
    <t>Die Gynäkologie</t>
  </si>
  <si>
    <t>2731-7110</t>
  </si>
  <si>
    <t>2731-7102</t>
  </si>
  <si>
    <t>https://link.springer.com/journal/129</t>
  </si>
  <si>
    <t>Die Dermatologie</t>
  </si>
  <si>
    <t>2731-7013</t>
  </si>
  <si>
    <t>2731-7005</t>
  </si>
  <si>
    <t>https://link.springer.com/journal/105</t>
  </si>
  <si>
    <t>Die Innere Medizin</t>
  </si>
  <si>
    <t>2731-7099</t>
  </si>
  <si>
    <t>2731-7080</t>
  </si>
  <si>
    <t>https://link.springer.com/journal/108</t>
  </si>
  <si>
    <t>der junge zahnarzt</t>
  </si>
  <si>
    <t>1869-5752</t>
  </si>
  <si>
    <t>1869-5744</t>
  </si>
  <si>
    <t>https://link.springer.com/journal/13279</t>
  </si>
  <si>
    <t>Die Kardiologie</t>
  </si>
  <si>
    <t>2731-7137</t>
  </si>
  <si>
    <t>2731-7129</t>
  </si>
  <si>
    <t>https://link.springer.com/journal/12181</t>
  </si>
  <si>
    <t>Die MKG-Chirurgie</t>
  </si>
  <si>
    <t>2731-7498</t>
  </si>
  <si>
    <t>2731-748X</t>
  </si>
  <si>
    <t>https://link.springer.com/journal/12285</t>
  </si>
  <si>
    <t>Die Nephrologie</t>
  </si>
  <si>
    <t>2731-7471</t>
  </si>
  <si>
    <t>2731-7463</t>
  </si>
  <si>
    <t>https://link.springer.com/journal/11560</t>
  </si>
  <si>
    <t>Der Nervenarzt</t>
  </si>
  <si>
    <t>1433-0407</t>
  </si>
  <si>
    <t>0028-2804</t>
  </si>
  <si>
    <t>https://link.springer.com/journal/115</t>
  </si>
  <si>
    <t>Die Onkologie</t>
  </si>
  <si>
    <t>2731-7234</t>
  </si>
  <si>
    <t>2731-7226</t>
  </si>
  <si>
    <t>https://link.springer.com/journal/761</t>
  </si>
  <si>
    <t>Die Ophthalmologie</t>
  </si>
  <si>
    <t>2731-7218</t>
  </si>
  <si>
    <t>2731-720X</t>
  </si>
  <si>
    <t>https://link.springer.com/journal/347</t>
  </si>
  <si>
    <t>Die Orthopädie</t>
  </si>
  <si>
    <t>2731-7153</t>
  </si>
  <si>
    <t>2731-7145</t>
  </si>
  <si>
    <t>https://link.springer.com/journal/132</t>
  </si>
  <si>
    <t>Die Pathologie</t>
  </si>
  <si>
    <t>2731-7196</t>
  </si>
  <si>
    <t>2731-7188</t>
  </si>
  <si>
    <t>https://link.springer.com/journal/292</t>
  </si>
  <si>
    <t>Zeitschrift für Pneumologie</t>
  </si>
  <si>
    <t>2731-7412</t>
  </si>
  <si>
    <t>2731-7404</t>
  </si>
  <si>
    <t>https://link.springer.com/journal/10405</t>
  </si>
  <si>
    <t>Die Radiologie</t>
  </si>
  <si>
    <t>2731-7056</t>
  </si>
  <si>
    <t>2731-7048</t>
  </si>
  <si>
    <t>https://link.springer.com/journal/117</t>
  </si>
  <si>
    <t>Der Schmerz</t>
  </si>
  <si>
    <t>1432-2129</t>
  </si>
  <si>
    <t>0932-433X</t>
  </si>
  <si>
    <t>https://link.springer.com/journal/482</t>
  </si>
  <si>
    <t>Die Unfallchirurgie</t>
  </si>
  <si>
    <t>2731-703X</t>
  </si>
  <si>
    <t>2731-7021</t>
  </si>
  <si>
    <t>https://link.springer.com/journal/113</t>
  </si>
  <si>
    <t>Die Urologie</t>
  </si>
  <si>
    <t>2731-7072</t>
  </si>
  <si>
    <t>2731-7064</t>
  </si>
  <si>
    <t>https://link.springer.com/journal/120</t>
  </si>
  <si>
    <t>Design Automation for Embedded Systems</t>
  </si>
  <si>
    <t>1572-8080</t>
  </si>
  <si>
    <t>0929-5585</t>
  </si>
  <si>
    <t>https://link.springer.com/journal/10617</t>
  </si>
  <si>
    <t>Designs, Codes and Cryptography</t>
  </si>
  <si>
    <t>1573-7586</t>
  </si>
  <si>
    <t>0925-1022</t>
  </si>
  <si>
    <t>https://link.springer.com/journal/10623</t>
  </si>
  <si>
    <t>Deutsche Vierteljahrsschrift für Literaturwissenschaft und Geistesgeschichte</t>
  </si>
  <si>
    <t>2365-9521</t>
  </si>
  <si>
    <t>0012-0936</t>
  </si>
  <si>
    <t>https://link.springer.com/journal/41245</t>
  </si>
  <si>
    <t>J.B. Metzler</t>
  </si>
  <si>
    <t>Deutsche Zeitschrift für Akupunktur</t>
  </si>
  <si>
    <t>1439-4359</t>
  </si>
  <si>
    <t>0415-6412</t>
  </si>
  <si>
    <t>https://link.springer.com/journal/42212</t>
  </si>
  <si>
    <t>Development Genes and Evolution</t>
  </si>
  <si>
    <t>1432-041X</t>
  </si>
  <si>
    <t>0949-944X</t>
  </si>
  <si>
    <t>https://link.springer.com/journal/427</t>
  </si>
  <si>
    <t>Diabetologia</t>
  </si>
  <si>
    <t>1432-0428</t>
  </si>
  <si>
    <t>0012-186X</t>
  </si>
  <si>
    <t>https://link.springer.com/journal/125</t>
  </si>
  <si>
    <t>Diabetology International</t>
  </si>
  <si>
    <t>2190-1686</t>
  </si>
  <si>
    <t>2190-1678</t>
  </si>
  <si>
    <t>https://link.springer.com/journal/13340</t>
  </si>
  <si>
    <t>Dialectical Anthropology</t>
  </si>
  <si>
    <t>1573-0786</t>
  </si>
  <si>
    <t>0304-4092</t>
  </si>
  <si>
    <t>https://link.springer.com/journal/10624</t>
  </si>
  <si>
    <t>Differential Equations</t>
  </si>
  <si>
    <t>1608-3083</t>
  </si>
  <si>
    <t>0012-2661</t>
  </si>
  <si>
    <t>https://link.springer.com/journal/10625</t>
  </si>
  <si>
    <t>Differential Equations and Dynamical Systems</t>
  </si>
  <si>
    <t>0974-6870</t>
  </si>
  <si>
    <t>0971-3514</t>
  </si>
  <si>
    <t>https://link.springer.com/journal/12591</t>
  </si>
  <si>
    <t>Digestive Diseases and Sciences</t>
  </si>
  <si>
    <t>1573-2568</t>
  </si>
  <si>
    <t>0163-2116</t>
  </si>
  <si>
    <t>https://link.springer.com/journal/10620</t>
  </si>
  <si>
    <t>Digital Experiences in Mathematics Education</t>
  </si>
  <si>
    <t>2199-3254</t>
  </si>
  <si>
    <t>2199-3246</t>
  </si>
  <si>
    <t>https://link.springer.com/journal/40751</t>
  </si>
  <si>
    <t>Digital Finance</t>
  </si>
  <si>
    <t>2524-6186</t>
  </si>
  <si>
    <t>https://link.springer.com/journal/42521</t>
  </si>
  <si>
    <t>Digital Society</t>
  </si>
  <si>
    <t>2731-4669</t>
  </si>
  <si>
    <t>https://link.springer.com/journal/44206</t>
  </si>
  <si>
    <t>Discrete &amp; Computational Geometry</t>
  </si>
  <si>
    <t>1432-0444</t>
  </si>
  <si>
    <t>0179-5376</t>
  </si>
  <si>
    <t>https://link.springer.com/journal/454</t>
  </si>
  <si>
    <t>Discrete Event Dynamic Systems</t>
  </si>
  <si>
    <t>1573-7594</t>
  </si>
  <si>
    <t>0924-6703</t>
  </si>
  <si>
    <t>https://link.springer.com/journal/10626</t>
  </si>
  <si>
    <t>Distributed and Parallel Databases</t>
  </si>
  <si>
    <t>1573-7578</t>
  </si>
  <si>
    <t>0926-8782</t>
  </si>
  <si>
    <t>https://link.springer.com/journal/10619</t>
  </si>
  <si>
    <t>Distributed Computing</t>
  </si>
  <si>
    <t>1432-0452</t>
  </si>
  <si>
    <t>0178-2770</t>
  </si>
  <si>
    <t>https://link.springer.com/journal/446</t>
  </si>
  <si>
    <t>DNP – Die Neurologie &amp; Psychiatrie</t>
  </si>
  <si>
    <t>2731-8176</t>
  </si>
  <si>
    <t>2731-8168</t>
  </si>
  <si>
    <t>https://link.springer.com/journal/15202</t>
  </si>
  <si>
    <t>Documenta Ophthalmologica</t>
  </si>
  <si>
    <t>1573-2622</t>
  </si>
  <si>
    <t>0012-4486</t>
  </si>
  <si>
    <t>https://link.springer.com/journal/10633</t>
  </si>
  <si>
    <t>Doklady Biochemistry and Biophysics</t>
  </si>
  <si>
    <t>1608-3091</t>
  </si>
  <si>
    <t>1607-6729</t>
  </si>
  <si>
    <t>https://link.springer.com/journal/10628</t>
  </si>
  <si>
    <t>Doklady Biological Sciences</t>
  </si>
  <si>
    <t>1608-3105</t>
  </si>
  <si>
    <t>0012-4966</t>
  </si>
  <si>
    <t>https://link.springer.com/journal/10630</t>
  </si>
  <si>
    <t>Doklady Chemistry</t>
  </si>
  <si>
    <t>1608-3113</t>
  </si>
  <si>
    <t>0012-5008</t>
  </si>
  <si>
    <t>https://link.springer.com/journal/10631</t>
  </si>
  <si>
    <t>Doklady Earth Sciences</t>
  </si>
  <si>
    <t>1531-8354</t>
  </si>
  <si>
    <t>1028-334X</t>
  </si>
  <si>
    <t>https://link.springer.com/journal/11471</t>
  </si>
  <si>
    <t>Doklady Mathematics</t>
  </si>
  <si>
    <t>1531-8362</t>
  </si>
  <si>
    <t>1064-5624</t>
  </si>
  <si>
    <t>https://link.springer.com/journal/11472</t>
  </si>
  <si>
    <t>Doklady Physical Chemistry</t>
  </si>
  <si>
    <t>1608-3121</t>
  </si>
  <si>
    <t>0012-5016</t>
  </si>
  <si>
    <t>https://link.springer.com/journal/10634</t>
  </si>
  <si>
    <t>Doklady Physics</t>
  </si>
  <si>
    <t>1562-6903</t>
  </si>
  <si>
    <t>1028-3358</t>
  </si>
  <si>
    <t>https://link.springer.com/journal/11446</t>
  </si>
  <si>
    <t>Drug Delivery and Translational Research</t>
  </si>
  <si>
    <t>2190-3948</t>
  </si>
  <si>
    <t>2190-393X</t>
  </si>
  <si>
    <t>https://link.springer.com/journal/13346</t>
  </si>
  <si>
    <t>Dynamic Games and Applications</t>
  </si>
  <si>
    <t>2153-0793</t>
  </si>
  <si>
    <t>2153-0785</t>
  </si>
  <si>
    <t>https://link.springer.com/journal/13235</t>
  </si>
  <si>
    <t>Dysphagia</t>
  </si>
  <si>
    <t>1432-0460</t>
  </si>
  <si>
    <t>0179-051X</t>
  </si>
  <si>
    <t>https://link.springer.com/journal/455</t>
  </si>
  <si>
    <t>e &amp; i Elektrotechnik und Informationstechnik</t>
  </si>
  <si>
    <t>1613-7620</t>
  </si>
  <si>
    <t>0932-383X</t>
  </si>
  <si>
    <t>https://link.springer.com/journal/502</t>
  </si>
  <si>
    <t>Early Childhood Education Journal</t>
  </si>
  <si>
    <t>1573-1707</t>
  </si>
  <si>
    <t>1082-3301</t>
  </si>
  <si>
    <t>https://link.springer.com/journal/10643</t>
  </si>
  <si>
    <t>Earth Science Informatics</t>
  </si>
  <si>
    <t>1865-0481</t>
  </si>
  <si>
    <t>1865-0473</t>
  </si>
  <si>
    <t>https://link.springer.com/journal/12145</t>
  </si>
  <si>
    <t>Earth Systems and Environment</t>
  </si>
  <si>
    <t>2509-9434</t>
  </si>
  <si>
    <t>2509-9426</t>
  </si>
  <si>
    <t>https://link.springer.com/journal/41748</t>
  </si>
  <si>
    <t>Earth, Moon, and Planets</t>
  </si>
  <si>
    <t>1573-0794</t>
  </si>
  <si>
    <t>0167-9295</t>
  </si>
  <si>
    <t>https://link.springer.com/journal/11038</t>
  </si>
  <si>
    <t>Earthquake Engineering and Engineering Vibration</t>
  </si>
  <si>
    <t>1993-503X</t>
  </si>
  <si>
    <t>1671-3664</t>
  </si>
  <si>
    <t>https://link.springer.com/journal/11803</t>
  </si>
  <si>
    <t>Institute of Engineering Mechanics, China Earthquake Administration, co-published with Springer</t>
  </si>
  <si>
    <t>East Asia</t>
  </si>
  <si>
    <t>1874-6284</t>
  </si>
  <si>
    <t>1096-6838</t>
  </si>
  <si>
    <t>https://link.springer.com/journal/12140</t>
  </si>
  <si>
    <t>EcoHealth</t>
  </si>
  <si>
    <t>1612-9210</t>
  </si>
  <si>
    <t>1612-9202</t>
  </si>
  <si>
    <t>https://link.springer.com/journal/10393</t>
  </si>
  <si>
    <t>Economia Politica</t>
  </si>
  <si>
    <t>1973-820X</t>
  </si>
  <si>
    <t>1120-2890</t>
  </si>
  <si>
    <t>https://link.springer.com/journal/40888</t>
  </si>
  <si>
    <t>Economic Botany</t>
  </si>
  <si>
    <t>1874-9364</t>
  </si>
  <si>
    <t>0013-0001</t>
  </si>
  <si>
    <t>https://link.springer.com/journal/12231</t>
  </si>
  <si>
    <t>Economic Change and Restructuring</t>
  </si>
  <si>
    <t>1574-0277</t>
  </si>
  <si>
    <t>1573-9414</t>
  </si>
  <si>
    <t>https://link.springer.com/journal/10644</t>
  </si>
  <si>
    <t>Economic Theory</t>
  </si>
  <si>
    <t>1432-0479</t>
  </si>
  <si>
    <t>0938-2259</t>
  </si>
  <si>
    <t>https://link.springer.com/journal/199</t>
  </si>
  <si>
    <t>Economic Theory Bulletin</t>
  </si>
  <si>
    <t>2196-1093</t>
  </si>
  <si>
    <t>https://link.springer.com/journal/40505</t>
  </si>
  <si>
    <t>Economics of Disasters and Climate Change</t>
  </si>
  <si>
    <t>2511-1299</t>
  </si>
  <si>
    <t>2511-1280</t>
  </si>
  <si>
    <t>https://link.springer.com/journal/41885</t>
  </si>
  <si>
    <t>Economics of Governance</t>
  </si>
  <si>
    <t>1435-8131</t>
  </si>
  <si>
    <t>1435-6104</t>
  </si>
  <si>
    <t>https://link.springer.com/journal/10101</t>
  </si>
  <si>
    <t>Ecosystems</t>
  </si>
  <si>
    <t>1435-0629</t>
  </si>
  <si>
    <t>1432-9840</t>
  </si>
  <si>
    <t>https://link.springer.com/journal/10021</t>
  </si>
  <si>
    <t>Ecotoxicology</t>
  </si>
  <si>
    <t>1573-3017</t>
  </si>
  <si>
    <t>0963-9292</t>
  </si>
  <si>
    <t>https://link.springer.com/journal/10646</t>
  </si>
  <si>
    <t>Education and Information Technologies</t>
  </si>
  <si>
    <t>1573-7608</t>
  </si>
  <si>
    <t>1360-2357</t>
  </si>
  <si>
    <t>https://link.springer.com/journal/10639</t>
  </si>
  <si>
    <t>Education and Treatment of Children</t>
  </si>
  <si>
    <t>1934-8924</t>
  </si>
  <si>
    <t>0748-8491</t>
  </si>
  <si>
    <t>https://link.springer.com/journal/43494</t>
  </si>
  <si>
    <t>Educational Assessment, Evaluation and Accountability</t>
  </si>
  <si>
    <t>1874-8600</t>
  </si>
  <si>
    <t>1874-8597</t>
  </si>
  <si>
    <t>https://link.springer.com/journal/11092</t>
  </si>
  <si>
    <t>Educational Psychology Review</t>
  </si>
  <si>
    <t>1573-336X</t>
  </si>
  <si>
    <t>1040-726X</t>
  </si>
  <si>
    <t>https://link.springer.com/journal/10648</t>
  </si>
  <si>
    <t>Educational Research for Policy and Practice</t>
  </si>
  <si>
    <t>1573-1723</t>
  </si>
  <si>
    <t>1570-2081</t>
  </si>
  <si>
    <t>https://link.springer.com/journal/10671</t>
  </si>
  <si>
    <t>Educational Studies in Mathematics</t>
  </si>
  <si>
    <t>1573-0816</t>
  </si>
  <si>
    <t>0013-1954</t>
  </si>
  <si>
    <t>https://link.springer.com/journal/10649</t>
  </si>
  <si>
    <t>Educational technology research and development</t>
  </si>
  <si>
    <t>1556-6501</t>
  </si>
  <si>
    <t>1042-1629</t>
  </si>
  <si>
    <t>https://link.springer.com/journal/11423</t>
  </si>
  <si>
    <t>Electrical Engineering</t>
  </si>
  <si>
    <t>1432-0487</t>
  </si>
  <si>
    <t>0948-7921</t>
  </si>
  <si>
    <t>https://link.springer.com/journal/202</t>
  </si>
  <si>
    <t>Electrocatalysis</t>
  </si>
  <si>
    <t>1868-5994</t>
  </si>
  <si>
    <t>1868-2529</t>
  </si>
  <si>
    <t>https://link.springer.com/journal/12678</t>
  </si>
  <si>
    <t>Electrochemical Energy Reviews</t>
  </si>
  <si>
    <t>2520-8136</t>
  </si>
  <si>
    <t>2520-8489</t>
  </si>
  <si>
    <t>https://link.springer.com/journal/41918</t>
  </si>
  <si>
    <t>Electronic Commerce Research</t>
  </si>
  <si>
    <t>1572-9362</t>
  </si>
  <si>
    <t>1389-5753</t>
  </si>
  <si>
    <t>https://link.springer.com/journal/10660</t>
  </si>
  <si>
    <t>Electronic Markets</t>
  </si>
  <si>
    <t>1422-8890</t>
  </si>
  <si>
    <t>1019-6781</t>
  </si>
  <si>
    <t>https://link.springer.com/journal/12525</t>
  </si>
  <si>
    <t>Electronic Materials Letters</t>
  </si>
  <si>
    <t>2093-6788</t>
  </si>
  <si>
    <t>1738-8090</t>
  </si>
  <si>
    <t>https://link.springer.com/journal/13391</t>
  </si>
  <si>
    <t>The Korean Institute of Metals and Materials, co-published with Springer</t>
  </si>
  <si>
    <t>Emergency Radiology</t>
  </si>
  <si>
    <t>1438-1435</t>
  </si>
  <si>
    <t>https://link.springer.com/journal/10140</t>
  </si>
  <si>
    <t>Emergent Materials</t>
  </si>
  <si>
    <t>2522-574X</t>
  </si>
  <si>
    <t>2522-5731</t>
  </si>
  <si>
    <t>https://link.springer.com/journal/42247</t>
  </si>
  <si>
    <t>Emission Control Science and Technology</t>
  </si>
  <si>
    <t>2199-3637</t>
  </si>
  <si>
    <t>2199-3629</t>
  </si>
  <si>
    <t>https://link.springer.com/journal/40825</t>
  </si>
  <si>
    <t>Empirica</t>
  </si>
  <si>
    <t>1573-6911</t>
  </si>
  <si>
    <t>0340-8744</t>
  </si>
  <si>
    <t>https://link.springer.com/journal/10663</t>
  </si>
  <si>
    <t>Empirical Economics</t>
  </si>
  <si>
    <t>1435-8921</t>
  </si>
  <si>
    <t>0377-7332</t>
  </si>
  <si>
    <t>https://link.springer.com/journal/181</t>
  </si>
  <si>
    <t>Empirical Software Engineering</t>
  </si>
  <si>
    <t>1573-7616</t>
  </si>
  <si>
    <t>1382-3256</t>
  </si>
  <si>
    <t>https://link.springer.com/journal/10664</t>
  </si>
  <si>
    <t>Employee Responsibilities and Rights Journal</t>
  </si>
  <si>
    <t>1573-3378</t>
  </si>
  <si>
    <t>0892-7545</t>
  </si>
  <si>
    <t>https://link.springer.com/journal/10672</t>
  </si>
  <si>
    <t>Endocrine</t>
  </si>
  <si>
    <t>1559-0100</t>
  </si>
  <si>
    <t>https://link.springer.com/journal/12020</t>
  </si>
  <si>
    <t>Endocrine Pathology</t>
  </si>
  <si>
    <t>1559-0097</t>
  </si>
  <si>
    <t>1046-3976</t>
  </si>
  <si>
    <t>https://link.springer.com/journal/12022</t>
  </si>
  <si>
    <t>Energy Efficiency</t>
  </si>
  <si>
    <t>1570-6478</t>
  </si>
  <si>
    <t>1570-646X</t>
  </si>
  <si>
    <t>https://link.springer.com/journal/12053</t>
  </si>
  <si>
    <t>Energy Systems</t>
  </si>
  <si>
    <t>1868-3975</t>
  </si>
  <si>
    <t>1868-3967</t>
  </si>
  <si>
    <t>https://link.springer.com/journal/12667</t>
  </si>
  <si>
    <t>Energy, Ecology and Environment</t>
  </si>
  <si>
    <t>2363-8338</t>
  </si>
  <si>
    <t>https://link.springer.com/journal/40974</t>
  </si>
  <si>
    <t>Joint Center on Global Change and Earth System Science of the University of Maryland and Beijing Normal University, co-published with Springer</t>
  </si>
  <si>
    <t>Engineering with Computers</t>
  </si>
  <si>
    <t>1435-5663</t>
  </si>
  <si>
    <t>0177-0667</t>
  </si>
  <si>
    <t>https://link.springer.com/journal/366</t>
  </si>
  <si>
    <t>English Teaching &amp; Learning</t>
  </si>
  <si>
    <t>2522-8560</t>
  </si>
  <si>
    <t>1023-7267</t>
  </si>
  <si>
    <t>https://link.springer.com/journal/42321</t>
  </si>
  <si>
    <t>Entomological Review</t>
  </si>
  <si>
    <t>1555-6689</t>
  </si>
  <si>
    <t>0013-8738</t>
  </si>
  <si>
    <t>https://link.springer.com/journal/11474</t>
  </si>
  <si>
    <t>Entrepreneurship Education</t>
  </si>
  <si>
    <t>2520-8152</t>
  </si>
  <si>
    <t>2520-8144</t>
  </si>
  <si>
    <t>https://link.springer.com/journal/41959</t>
  </si>
  <si>
    <t>Environment Systems and Decisions</t>
  </si>
  <si>
    <t>2194-5411</t>
  </si>
  <si>
    <t>2194-5403</t>
  </si>
  <si>
    <t>https://link.springer.com/journal/10669</t>
  </si>
  <si>
    <t>Environment, Development and Sustainability</t>
  </si>
  <si>
    <t>1573-2975</t>
  </si>
  <si>
    <t>1387-585X</t>
  </si>
  <si>
    <t>https://link.springer.com/journal/10668</t>
  </si>
  <si>
    <t>Environmental and Ecological Statistics</t>
  </si>
  <si>
    <t>1573-3009</t>
  </si>
  <si>
    <t>1352-8505</t>
  </si>
  <si>
    <t>https://link.springer.com/journal/10651</t>
  </si>
  <si>
    <t>Environmental and Resource Economics</t>
  </si>
  <si>
    <t>1573-1502</t>
  </si>
  <si>
    <t>0924-6460</t>
  </si>
  <si>
    <t>https://link.springer.com/journal/10640</t>
  </si>
  <si>
    <t>Environmental Biology of Fishes</t>
  </si>
  <si>
    <t>1573-5133</t>
  </si>
  <si>
    <t>0378-1909</t>
  </si>
  <si>
    <t>https://link.springer.com/journal/10641</t>
  </si>
  <si>
    <t>Environmental Chemistry Letters</t>
  </si>
  <si>
    <t>1610-3661</t>
  </si>
  <si>
    <t>1610-3653</t>
  </si>
  <si>
    <t>https://link.springer.com/journal/10311</t>
  </si>
  <si>
    <t>Environmental Earth Sciences</t>
  </si>
  <si>
    <t>1866-6299</t>
  </si>
  <si>
    <t>1866-6280</t>
  </si>
  <si>
    <t>https://link.springer.com/journal/12665</t>
  </si>
  <si>
    <t>Environmental Economics and Policy Studies</t>
  </si>
  <si>
    <t>1867-383X</t>
  </si>
  <si>
    <t>1432-847X</t>
  </si>
  <si>
    <t>https://link.springer.com/journal/10018</t>
  </si>
  <si>
    <t>Environmental Fluid Mechanics</t>
  </si>
  <si>
    <t>1573-1510</t>
  </si>
  <si>
    <t>1567-7419</t>
  </si>
  <si>
    <t>https://link.springer.com/journal/10652</t>
  </si>
  <si>
    <t>Environmental Geochemistry and Health</t>
  </si>
  <si>
    <t>1573-2983</t>
  </si>
  <si>
    <t>0269-4042</t>
  </si>
  <si>
    <t>https://link.springer.com/journal/10653</t>
  </si>
  <si>
    <t>Environmental Management</t>
  </si>
  <si>
    <t>1432-1009</t>
  </si>
  <si>
    <t>0364-152X</t>
  </si>
  <si>
    <t>https://link.springer.com/journal/267</t>
  </si>
  <si>
    <t>Environmental Modeling &amp; Assessment</t>
  </si>
  <si>
    <t>1573-2967</t>
  </si>
  <si>
    <t>1420-2026</t>
  </si>
  <si>
    <t>https://link.springer.com/journal/10666</t>
  </si>
  <si>
    <t>Environmental Monitoring and Assessment</t>
  </si>
  <si>
    <t>1573-2959</t>
  </si>
  <si>
    <t>0167-6369</t>
  </si>
  <si>
    <t>https://link.springer.com/journal/10661</t>
  </si>
  <si>
    <t>Environmental Processes</t>
  </si>
  <si>
    <t>2198-7505</t>
  </si>
  <si>
    <t>2198-7491</t>
  </si>
  <si>
    <t>https://link.springer.com/journal/40710</t>
  </si>
  <si>
    <t>Environmental Science and Pollution Research</t>
  </si>
  <si>
    <t>1614-7499</t>
  </si>
  <si>
    <t>0944-1344</t>
  </si>
  <si>
    <t>https://link.springer.com/journal/11356</t>
  </si>
  <si>
    <t>Environmental Sustainability</t>
  </si>
  <si>
    <t>2523-8922</t>
  </si>
  <si>
    <t>https://link.springer.com/journal/42398</t>
  </si>
  <si>
    <t>EPMA Journal</t>
  </si>
  <si>
    <t>1878-5085</t>
  </si>
  <si>
    <t>https://link.springer.com/journal/13167</t>
  </si>
  <si>
    <t>ERA Forum</t>
  </si>
  <si>
    <t>1863-9038</t>
  </si>
  <si>
    <t>1612-3093</t>
  </si>
  <si>
    <t>https://link.springer.com/journal/12027</t>
  </si>
  <si>
    <t>Erkenntnis</t>
  </si>
  <si>
    <t>1572-8420</t>
  </si>
  <si>
    <t>0165-0106</t>
  </si>
  <si>
    <t>https://link.springer.com/journal/10670</t>
  </si>
  <si>
    <t>Erwerbs-Obstbau</t>
  </si>
  <si>
    <t>1439-0302</t>
  </si>
  <si>
    <t>0014-0309</t>
  </si>
  <si>
    <t>https://link.springer.com/journal/10341</t>
  </si>
  <si>
    <t>Esophagus</t>
  </si>
  <si>
    <t>1612-9067</t>
  </si>
  <si>
    <t>1612-9059</t>
  </si>
  <si>
    <t>https://link.springer.com/journal/10388</t>
  </si>
  <si>
    <t>Estuaries and Coasts</t>
  </si>
  <si>
    <t>1559-2731</t>
  </si>
  <si>
    <t>1559-2723</t>
  </si>
  <si>
    <t>https://link.springer.com/journal/12237</t>
  </si>
  <si>
    <t>Ethical Theory and Moral Practice</t>
  </si>
  <si>
    <t>1572-8447</t>
  </si>
  <si>
    <t>1386-2820</t>
  </si>
  <si>
    <t>https://link.springer.com/journal/10677</t>
  </si>
  <si>
    <t>Ethics and Information Technology</t>
  </si>
  <si>
    <t>1572-8439</t>
  </si>
  <si>
    <t>1388-1957</t>
  </si>
  <si>
    <t>https://link.springer.com/journal/10676</t>
  </si>
  <si>
    <t>Ethik in der Medizin</t>
  </si>
  <si>
    <t>1437-1618</t>
  </si>
  <si>
    <t>0935-7335</t>
  </si>
  <si>
    <t>https://link.springer.com/journal/481</t>
  </si>
  <si>
    <t>Euphytica</t>
  </si>
  <si>
    <t>1573-5060</t>
  </si>
  <si>
    <t>0014-2336</t>
  </si>
  <si>
    <t>https://link.springer.com/journal/10681</t>
  </si>
  <si>
    <t>Eurasian Business Review</t>
  </si>
  <si>
    <t>2147-4281</t>
  </si>
  <si>
    <t>https://link.springer.com/journal/40821</t>
  </si>
  <si>
    <t>Eurasian Economic Review</t>
  </si>
  <si>
    <t>2147-429X</t>
  </si>
  <si>
    <t>https://link.springer.com/journal/40822</t>
  </si>
  <si>
    <t>Eurasian Soil Science</t>
  </si>
  <si>
    <t>1556-195X</t>
  </si>
  <si>
    <t>1064-2293</t>
  </si>
  <si>
    <t>https://link.springer.com/journal/11475</t>
  </si>
  <si>
    <t>Euro-Mediterranean Journal for Environmental Integration</t>
  </si>
  <si>
    <t>2365-7448</t>
  </si>
  <si>
    <t>2365-6433</t>
  </si>
  <si>
    <t>https://link.springer.com/journal/41207</t>
  </si>
  <si>
    <t>European Actuarial Journal</t>
  </si>
  <si>
    <t>2190-9741</t>
  </si>
  <si>
    <t>2190-9733</t>
  </si>
  <si>
    <t>https://link.springer.com/journal/13385</t>
  </si>
  <si>
    <t>European Archives of Oto-Rhino-Laryngology</t>
  </si>
  <si>
    <t>1434-4726</t>
  </si>
  <si>
    <t>0937-4477</t>
  </si>
  <si>
    <t>https://link.springer.com/journal/405</t>
  </si>
  <si>
    <t>European Archives of Paediatric Dentistry</t>
  </si>
  <si>
    <t>1996-9805</t>
  </si>
  <si>
    <t>1818-6300</t>
  </si>
  <si>
    <t>https://link.springer.com/journal/40368</t>
  </si>
  <si>
    <t>European Archives of Psychiatry and Clinical Neuroscience</t>
  </si>
  <si>
    <t>1433-8491</t>
  </si>
  <si>
    <t>0940-1334</t>
  </si>
  <si>
    <t>https://link.springer.com/journal/406</t>
  </si>
  <si>
    <t>European Biophysics Journal</t>
  </si>
  <si>
    <t>1432-1017</t>
  </si>
  <si>
    <t>0175-7571</t>
  </si>
  <si>
    <t>https://link.springer.com/journal/249</t>
  </si>
  <si>
    <t>European Business Organization Law Review</t>
  </si>
  <si>
    <t>1741-6205</t>
  </si>
  <si>
    <t>1566-7529</t>
  </si>
  <si>
    <t>https://link.springer.com/journal/40804</t>
  </si>
  <si>
    <t>European Child &amp; Adolescent Psychiatry</t>
  </si>
  <si>
    <t>1435-165X</t>
  </si>
  <si>
    <t>1018-8827</t>
  </si>
  <si>
    <t>https://link.springer.com/journal/787</t>
  </si>
  <si>
    <t>European Cytokine Network</t>
  </si>
  <si>
    <t>1952-4005</t>
  </si>
  <si>
    <t>https://link.springer.com/journal/40698</t>
  </si>
  <si>
    <t>John Libbey Eurotext</t>
  </si>
  <si>
    <t>European Food Research and Technology</t>
  </si>
  <si>
    <t>1438-2385</t>
  </si>
  <si>
    <t>1438-2377</t>
  </si>
  <si>
    <t>https://link.springer.com/journal/217</t>
  </si>
  <si>
    <t>European Geriatric Medicine</t>
  </si>
  <si>
    <t>1878-7657</t>
  </si>
  <si>
    <t>https://link.springer.com/journal/41999</t>
  </si>
  <si>
    <t>European Journal for Philosophy of Science</t>
  </si>
  <si>
    <t>1879-4920</t>
  </si>
  <si>
    <t>1879-4912</t>
  </si>
  <si>
    <t>https://link.springer.com/journal/13194</t>
  </si>
  <si>
    <t>European Journal for Security Research</t>
  </si>
  <si>
    <t>2365-1695</t>
  </si>
  <si>
    <t>2365-0931</t>
  </si>
  <si>
    <t>https://link.springer.com/journal/41125</t>
  </si>
  <si>
    <t>European Journal of Applied Physiology</t>
  </si>
  <si>
    <t>1439-6327</t>
  </si>
  <si>
    <t>1439-6319</t>
  </si>
  <si>
    <t>https://link.springer.com/journal/421</t>
  </si>
  <si>
    <t>European Journal of Clinical Microbiology &amp; Infectious Diseases</t>
  </si>
  <si>
    <t>1435-4373</t>
  </si>
  <si>
    <t>0934-9723</t>
  </si>
  <si>
    <t>https://link.springer.com/journal/10096</t>
  </si>
  <si>
    <t>European Journal of Clinical Pharmacology</t>
  </si>
  <si>
    <t>1432-1041</t>
  </si>
  <si>
    <t>0031-6970</t>
  </si>
  <si>
    <t>https://link.springer.com/journal/228</t>
  </si>
  <si>
    <t>European Journal of Dermatology</t>
  </si>
  <si>
    <t>1952-4013</t>
  </si>
  <si>
    <t>https://link.springer.com/journal/40699</t>
  </si>
  <si>
    <t>European Journal of Epidemiology</t>
  </si>
  <si>
    <t>1573-7284</t>
  </si>
  <si>
    <t>0393-2990</t>
  </si>
  <si>
    <t>https://link.springer.com/journal/10654</t>
  </si>
  <si>
    <t>European Journal of Forest Research</t>
  </si>
  <si>
    <t>1612-4677</t>
  </si>
  <si>
    <t>1612-4669</t>
  </si>
  <si>
    <t>https://link.springer.com/journal/10342</t>
  </si>
  <si>
    <t>European Journal of Law and Economics</t>
  </si>
  <si>
    <t>1572-9990</t>
  </si>
  <si>
    <t>0929-1261</t>
  </si>
  <si>
    <t>https://link.springer.com/journal/10657</t>
  </si>
  <si>
    <t>European Journal of Mathematics</t>
  </si>
  <si>
    <t>2199-6768</t>
  </si>
  <si>
    <t>2199-675X</t>
  </si>
  <si>
    <t>https://link.springer.com/journal/40879</t>
  </si>
  <si>
    <t>European Journal of Nuclear Medicine and Molecular Imaging</t>
  </si>
  <si>
    <t>1619-7089</t>
  </si>
  <si>
    <t>1619-7070</t>
  </si>
  <si>
    <t>https://link.springer.com/journal/259</t>
  </si>
  <si>
    <t>European Journal of Nutrition</t>
  </si>
  <si>
    <t>1436-6215</t>
  </si>
  <si>
    <t>1436-6207</t>
  </si>
  <si>
    <t>https://link.springer.com/journal/394</t>
  </si>
  <si>
    <t>European Journal of Orthopaedic Surgery &amp; Traumatology</t>
  </si>
  <si>
    <t>1432-1068</t>
  </si>
  <si>
    <t>https://link.springer.com/journal/590</t>
  </si>
  <si>
    <t>European Journal of Pediatrics</t>
  </si>
  <si>
    <t>1432-1076</t>
  </si>
  <si>
    <t>https://link.springer.com/journal/431</t>
  </si>
  <si>
    <t>European Journal of Plant Pathology</t>
  </si>
  <si>
    <t>1573-8469</t>
  </si>
  <si>
    <t>0929-1873</t>
  </si>
  <si>
    <t>https://link.springer.com/journal/10658</t>
  </si>
  <si>
    <t>European Journal of Plastic Surgery</t>
  </si>
  <si>
    <t>1435-0130</t>
  </si>
  <si>
    <t>https://link.springer.com/journal/238</t>
  </si>
  <si>
    <t>European Journal of Psychology of Education</t>
  </si>
  <si>
    <t>1878-5174</t>
  </si>
  <si>
    <t>0256-2928</t>
  </si>
  <si>
    <t>https://link.springer.com/journal/10212</t>
  </si>
  <si>
    <t>European Journal of Trauma and Emergency Surgery</t>
  </si>
  <si>
    <t>1863-9941</t>
  </si>
  <si>
    <t>1863-9933</t>
  </si>
  <si>
    <t>https://link.springer.com/journal/68</t>
  </si>
  <si>
    <t>European Journal of Wildlife Research</t>
  </si>
  <si>
    <t>1439-0574</t>
  </si>
  <si>
    <t>1612-4642</t>
  </si>
  <si>
    <t>https://link.springer.com/journal/10344</t>
  </si>
  <si>
    <t>European Journal of Wood and Wood Products</t>
  </si>
  <si>
    <t>1436-736X</t>
  </si>
  <si>
    <t>0018-3768</t>
  </si>
  <si>
    <t>https://link.springer.com/journal/107</t>
  </si>
  <si>
    <t>European Journal on Criminal Policy and Research</t>
  </si>
  <si>
    <t>1572-9869</t>
  </si>
  <si>
    <t>0928-1371</t>
  </si>
  <si>
    <t>https://link.springer.com/journal/10610</t>
  </si>
  <si>
    <t>European Radiology</t>
  </si>
  <si>
    <t>1432-1084</t>
  </si>
  <si>
    <t>https://link.springer.com/journal/330</t>
  </si>
  <si>
    <t>European Spine Journal</t>
  </si>
  <si>
    <t>1432-0932</t>
  </si>
  <si>
    <t>0940-6719</t>
  </si>
  <si>
    <t>https://link.springer.com/journal/586</t>
  </si>
  <si>
    <t>European Surgery</t>
  </si>
  <si>
    <t>1682-4016</t>
  </si>
  <si>
    <t>1682-8631</t>
  </si>
  <si>
    <t>https://link.springer.com/journal/10353</t>
  </si>
  <si>
    <t>Evolutionary and Institutional Economics Review</t>
  </si>
  <si>
    <t>2188-2096</t>
  </si>
  <si>
    <t>1349-4961</t>
  </si>
  <si>
    <t>https://link.springer.com/journal/40844</t>
  </si>
  <si>
    <t>Evolutionary Biology</t>
  </si>
  <si>
    <t>1934-2845</t>
  </si>
  <si>
    <t>0071-3260</t>
  </si>
  <si>
    <t>https://link.springer.com/journal/11692</t>
  </si>
  <si>
    <t>Evolutionary Ecology</t>
  </si>
  <si>
    <t>1573-8477</t>
  </si>
  <si>
    <t>0269-7653</t>
  </si>
  <si>
    <t>https://link.springer.com/journal/10682</t>
  </si>
  <si>
    <t>Evolutionary Intelligence</t>
  </si>
  <si>
    <t>1864-5917</t>
  </si>
  <si>
    <t>https://link.springer.com/journal/12065</t>
  </si>
  <si>
    <t>Evolutionary Psychological Science</t>
  </si>
  <si>
    <t>2198-9885</t>
  </si>
  <si>
    <t>https://link.springer.com/journal/40806</t>
  </si>
  <si>
    <t>Evolving Systems</t>
  </si>
  <si>
    <t>1868-6486</t>
  </si>
  <si>
    <t>1868-6478</t>
  </si>
  <si>
    <t>https://link.springer.com/journal/12530</t>
  </si>
  <si>
    <t>Experimental and Applied Acarology</t>
  </si>
  <si>
    <t>1572-9702</t>
  </si>
  <si>
    <t>0168-8162</t>
  </si>
  <si>
    <t>https://link.springer.com/journal/10493</t>
  </si>
  <si>
    <t>Experimental and Computational Multiphase Flow</t>
  </si>
  <si>
    <t>2661-8877</t>
  </si>
  <si>
    <t>2661-8869</t>
  </si>
  <si>
    <t>https://link.springer.com/journal/42757</t>
  </si>
  <si>
    <t>Experimental Astronomy</t>
  </si>
  <si>
    <t>1572-9508</t>
  </si>
  <si>
    <t>0922-6435</t>
  </si>
  <si>
    <t>https://link.springer.com/journal/10686</t>
  </si>
  <si>
    <t>Experimental Brain Research</t>
  </si>
  <si>
    <t>1432-1106</t>
  </si>
  <si>
    <t>0014-4819</t>
  </si>
  <si>
    <t>https://link.springer.com/journal/221</t>
  </si>
  <si>
    <t>Experimental Economics</t>
  </si>
  <si>
    <t>1573-6938</t>
  </si>
  <si>
    <t>1386-4157</t>
  </si>
  <si>
    <t>https://link.springer.com/journal/10683</t>
  </si>
  <si>
    <t>Experimental Mechanics</t>
  </si>
  <si>
    <t>1741-2765</t>
  </si>
  <si>
    <t>0014-4851</t>
  </si>
  <si>
    <t>https://link.springer.com/journal/11340</t>
  </si>
  <si>
    <t>Experimental Techniques</t>
  </si>
  <si>
    <t>1747-1567</t>
  </si>
  <si>
    <t>0732-8818</t>
  </si>
  <si>
    <t>https://link.springer.com/journal/40799</t>
  </si>
  <si>
    <t>Experiments in Fluids</t>
  </si>
  <si>
    <t>1432-1114</t>
  </si>
  <si>
    <t>0723-4864</t>
  </si>
  <si>
    <t>https://link.springer.com/journal/348</t>
  </si>
  <si>
    <t>Exposure and Health</t>
  </si>
  <si>
    <t>2451-9685</t>
  </si>
  <si>
    <t>https://link.springer.com/journal/12403</t>
  </si>
  <si>
    <t>Extremes</t>
  </si>
  <si>
    <t>1572-915X</t>
  </si>
  <si>
    <t>1386-1999</t>
  </si>
  <si>
    <t>https://link.springer.com/journal/10687</t>
  </si>
  <si>
    <t>Extremophiles</t>
  </si>
  <si>
    <t>1433-4909</t>
  </si>
  <si>
    <t>1431-0651</t>
  </si>
  <si>
    <t>https://link.springer.com/journal/792</t>
  </si>
  <si>
    <t>Facies</t>
  </si>
  <si>
    <t>1612-4820</t>
  </si>
  <si>
    <t>0172-9179</t>
  </si>
  <si>
    <t>https://link.springer.com/journal/10347</t>
  </si>
  <si>
    <t>Familial Cancer</t>
  </si>
  <si>
    <t>1573-7292</t>
  </si>
  <si>
    <t>1389-9600</t>
  </si>
  <si>
    <t>https://link.springer.com/journal/10689</t>
  </si>
  <si>
    <t>Feminist Legal Studies</t>
  </si>
  <si>
    <t>1572-8455</t>
  </si>
  <si>
    <t>0966-3622</t>
  </si>
  <si>
    <t>https://link.springer.com/journal/10691</t>
  </si>
  <si>
    <t>Few-Body Systems</t>
  </si>
  <si>
    <t>1432-5411</t>
  </si>
  <si>
    <t>https://link.springer.com/journal/601</t>
  </si>
  <si>
    <t>Fibers and Polymers</t>
  </si>
  <si>
    <t>1875-0052</t>
  </si>
  <si>
    <t>1229-9197</t>
  </si>
  <si>
    <t>https://link.springer.com/journal/12221</t>
  </si>
  <si>
    <t>The Korean Fiber Society, co-published with Springer</t>
  </si>
  <si>
    <t>Fibre Chemistry</t>
  </si>
  <si>
    <t>1573-8493</t>
  </si>
  <si>
    <t>0015-0541</t>
  </si>
  <si>
    <t>https://link.springer.com/journal/10692</t>
  </si>
  <si>
    <t>Finance and Stochastics</t>
  </si>
  <si>
    <t>1432-1122</t>
  </si>
  <si>
    <t>0949-2984</t>
  </si>
  <si>
    <t>https://link.springer.com/journal/780</t>
  </si>
  <si>
    <t>Financial Markets and Portfolio Management</t>
  </si>
  <si>
    <t>2373-8529</t>
  </si>
  <si>
    <t>1934-4554</t>
  </si>
  <si>
    <t>https://link.springer.com/journal/11408</t>
  </si>
  <si>
    <t>Fire Technology</t>
  </si>
  <si>
    <t>1572-8099</t>
  </si>
  <si>
    <t>0015-2684</t>
  </si>
  <si>
    <t>https://link.springer.com/journal/10694</t>
  </si>
  <si>
    <t>Fish Physiology and Biochemistry</t>
  </si>
  <si>
    <t>1573-5168</t>
  </si>
  <si>
    <t>0920-1742</t>
  </si>
  <si>
    <t>https://link.springer.com/journal/10695</t>
  </si>
  <si>
    <t>Fisheries Science</t>
  </si>
  <si>
    <t>1444-2906</t>
  </si>
  <si>
    <t>0919-9268</t>
  </si>
  <si>
    <t>https://link.springer.com/journal/12562</t>
  </si>
  <si>
    <t>Flexible Services and Manufacturing Journal</t>
  </si>
  <si>
    <t>1936-6590</t>
  </si>
  <si>
    <t>1936-6582</t>
  </si>
  <si>
    <t>https://link.springer.com/journal/10696</t>
  </si>
  <si>
    <t>Flow, Turbulence and Combustion</t>
  </si>
  <si>
    <t>1573-1987</t>
  </si>
  <si>
    <t>1386-6184</t>
  </si>
  <si>
    <t>https://link.springer.com/journal/10494</t>
  </si>
  <si>
    <t>Fluid Dynamics</t>
  </si>
  <si>
    <t>1573-8507</t>
  </si>
  <si>
    <t>0015-4628</t>
  </si>
  <si>
    <t>https://link.springer.com/journal/10697</t>
  </si>
  <si>
    <t>Folia Geobotanica</t>
  </si>
  <si>
    <t>1874-9348</t>
  </si>
  <si>
    <t>1211-9520</t>
  </si>
  <si>
    <t>https://link.springer.com/journal/12224</t>
  </si>
  <si>
    <t>Folia Microbiologica</t>
  </si>
  <si>
    <t>1874-9356</t>
  </si>
  <si>
    <t>0015-5632</t>
  </si>
  <si>
    <t>https://link.springer.com/journal/12223</t>
  </si>
  <si>
    <t>Food Analytical Methods</t>
  </si>
  <si>
    <t>1936-976X</t>
  </si>
  <si>
    <t>https://link.springer.com/journal/12161</t>
  </si>
  <si>
    <t>Food and Bioprocess Technology</t>
  </si>
  <si>
    <t>1935-5149</t>
  </si>
  <si>
    <t>https://link.springer.com/journal/11947</t>
  </si>
  <si>
    <t>Food and Environmental Virology</t>
  </si>
  <si>
    <t>1867-0342</t>
  </si>
  <si>
    <t>https://link.springer.com/journal/12560</t>
  </si>
  <si>
    <t>Food Biophysics</t>
  </si>
  <si>
    <t>1557-1866</t>
  </si>
  <si>
    <t>1557-1858</t>
  </si>
  <si>
    <t>https://link.springer.com/journal/11483</t>
  </si>
  <si>
    <t>Food Engineering Reviews</t>
  </si>
  <si>
    <t>1866-7929</t>
  </si>
  <si>
    <t>https://link.springer.com/journal/12393</t>
  </si>
  <si>
    <t>Food Ethics</t>
  </si>
  <si>
    <t>2364-6861</t>
  </si>
  <si>
    <t>2364-6853</t>
  </si>
  <si>
    <t>https://link.springer.com/journal/41055</t>
  </si>
  <si>
    <t>Food Science and Biotechnology</t>
  </si>
  <si>
    <t>2092-6456</t>
  </si>
  <si>
    <t>1226-7708</t>
  </si>
  <si>
    <t>https://link.springer.com/journal/10068</t>
  </si>
  <si>
    <t>The Korean Society of Food Science and Technology, co-published with Springer</t>
  </si>
  <si>
    <t>Food Security</t>
  </si>
  <si>
    <t>1876-4525</t>
  </si>
  <si>
    <t>1876-4517</t>
  </si>
  <si>
    <t>https://link.springer.com/journal/12571</t>
  </si>
  <si>
    <t>Forensic Science, Medicine and Pathology</t>
  </si>
  <si>
    <t>1556-2891</t>
  </si>
  <si>
    <t>https://link.springer.com/journal/12024</t>
  </si>
  <si>
    <t>Forensic Toxicology</t>
  </si>
  <si>
    <t>1860-8973</t>
  </si>
  <si>
    <t>1860-8965</t>
  </si>
  <si>
    <t>https://link.springer.com/journal/11419</t>
  </si>
  <si>
    <t>Forensische Psychiatrie, Psychologie, Kriminologie</t>
  </si>
  <si>
    <t>1862-7080</t>
  </si>
  <si>
    <t>1862-7072</t>
  </si>
  <si>
    <t>https://link.springer.com/journal/11757</t>
  </si>
  <si>
    <t>Formal Methods in System Design</t>
  </si>
  <si>
    <t>1572-8102</t>
  </si>
  <si>
    <t>0925-9856</t>
  </si>
  <si>
    <t>https://link.springer.com/journal/10703</t>
  </si>
  <si>
    <t>Forschung im Ingenieurwesen</t>
  </si>
  <si>
    <t>1434-0860</t>
  </si>
  <si>
    <t>0015-7899</t>
  </si>
  <si>
    <t>https://link.springer.com/journal/10010</t>
  </si>
  <si>
    <t>Forum</t>
  </si>
  <si>
    <t>2190-9784</t>
  </si>
  <si>
    <t>0947-0255</t>
  </si>
  <si>
    <t>https://link.springer.com/journal/12312</t>
  </si>
  <si>
    <t>Forum der Psychoanalyse</t>
  </si>
  <si>
    <t>1437-0751</t>
  </si>
  <si>
    <t>0178-7667</t>
  </si>
  <si>
    <t>https://link.springer.com/journal/451</t>
  </si>
  <si>
    <t>Foundations of Chemistry</t>
  </si>
  <si>
    <t>1572-8463</t>
  </si>
  <si>
    <t>1386-4238</t>
  </si>
  <si>
    <t>https://link.springer.com/journal/10698</t>
  </si>
  <si>
    <t>Foundations of Computational Mathematics</t>
  </si>
  <si>
    <t>1615-3383</t>
  </si>
  <si>
    <t>1615-3375</t>
  </si>
  <si>
    <t>https://link.springer.com/journal/10208</t>
  </si>
  <si>
    <t>Foundations of Physics</t>
  </si>
  <si>
    <t>1572-9516</t>
  </si>
  <si>
    <t>https://link.springer.com/journal/10701</t>
  </si>
  <si>
    <t>Foundations of Science</t>
  </si>
  <si>
    <t>1572-8471</t>
  </si>
  <si>
    <t>1233-1821</t>
  </si>
  <si>
    <t>https://link.springer.com/journal/10699</t>
  </si>
  <si>
    <t>Frontiers in Energy</t>
  </si>
  <si>
    <t>2095-1698</t>
  </si>
  <si>
    <t>2095-1701</t>
  </si>
  <si>
    <t>https://link.springer.com/journal/11708</t>
  </si>
  <si>
    <t>Higher Education Press, co-published with Springer</t>
  </si>
  <si>
    <t>Frontiers of Chemical Science and Engineering</t>
  </si>
  <si>
    <t>2095-0187</t>
  </si>
  <si>
    <t>2095-0179</t>
  </si>
  <si>
    <t>https://link.springer.com/journal/11705</t>
  </si>
  <si>
    <t>Frontiers of Computer Science</t>
  </si>
  <si>
    <t>2095-2236</t>
  </si>
  <si>
    <t>2095-2228</t>
  </si>
  <si>
    <t>https://link.springer.com/journal/11704</t>
  </si>
  <si>
    <t>Frontiers of Earth Science</t>
  </si>
  <si>
    <t>2095-0209</t>
  </si>
  <si>
    <t>2095-0195</t>
  </si>
  <si>
    <t>https://link.springer.com/journal/11707</t>
  </si>
  <si>
    <t>Frontiers of Engineering Management</t>
  </si>
  <si>
    <t>2096-0255</t>
  </si>
  <si>
    <t>2095-7513</t>
  </si>
  <si>
    <t>https://link.springer.com/journal/42524</t>
  </si>
  <si>
    <t>Frontiers of Environmental Science &amp; Engineering</t>
  </si>
  <si>
    <t>2095-221X</t>
  </si>
  <si>
    <t>2095-2201</t>
  </si>
  <si>
    <t>https://link.springer.com/journal/11783</t>
  </si>
  <si>
    <t>Frontiers of Information Technology &amp; Electronic Engineering</t>
  </si>
  <si>
    <t>2095-9230</t>
  </si>
  <si>
    <t>2095-9184</t>
  </si>
  <si>
    <t>https://link.springer.com/journal/11714</t>
  </si>
  <si>
    <t>Frontiers of Materials Science</t>
  </si>
  <si>
    <t>2095-0268</t>
  </si>
  <si>
    <t>2095-025X</t>
  </si>
  <si>
    <t>https://link.springer.com/journal/11706</t>
  </si>
  <si>
    <t>Frontiers of Mathematics in China</t>
  </si>
  <si>
    <t>1673-3576</t>
  </si>
  <si>
    <t>1673-3452</t>
  </si>
  <si>
    <t>https://link.springer.com/journal/11464</t>
  </si>
  <si>
    <t>Frontiers of Mechanical Engineering</t>
  </si>
  <si>
    <t>2095-0241</t>
  </si>
  <si>
    <t>2095-0233</t>
  </si>
  <si>
    <t>https://link.springer.com/journal/11465</t>
  </si>
  <si>
    <t>Frontiers of Medicine</t>
  </si>
  <si>
    <t>2095-0225</t>
  </si>
  <si>
    <t>2095-0217</t>
  </si>
  <si>
    <t>https://link.springer.com/journal/11684</t>
  </si>
  <si>
    <t>Frontiers of Physics</t>
  </si>
  <si>
    <t>2095-0470</t>
  </si>
  <si>
    <t>2095-0462</t>
  </si>
  <si>
    <t>https://link.springer.com/journal/11467</t>
  </si>
  <si>
    <t>Frontiers of Structural and Civil Engineering</t>
  </si>
  <si>
    <t>2095-2449</t>
  </si>
  <si>
    <t>2095-2430</t>
  </si>
  <si>
    <t>https://link.springer.com/journal/11709</t>
  </si>
  <si>
    <t>Fudan Journal of the Humanities and Social Sciences</t>
  </si>
  <si>
    <t>2198-2600</t>
  </si>
  <si>
    <t>1674-0750</t>
  </si>
  <si>
    <t>https://link.springer.com/journal/40647</t>
  </si>
  <si>
    <t>Functional &amp; Integrative Genomics</t>
  </si>
  <si>
    <t>1438-7948</t>
  </si>
  <si>
    <t>https://link.springer.com/journal/10142</t>
  </si>
  <si>
    <t>Functional Analysis and Its Applications</t>
  </si>
  <si>
    <t>1573-8485</t>
  </si>
  <si>
    <t>0016-2663</t>
  </si>
  <si>
    <t>https://link.springer.com/journal/10688</t>
  </si>
  <si>
    <t>Fungal Diversity</t>
  </si>
  <si>
    <t>1878-9129</t>
  </si>
  <si>
    <t>1560-2745</t>
  </si>
  <si>
    <t>https://link.springer.com/journal/13225</t>
  </si>
  <si>
    <t>Fuzzy Optimization and Decision Making</t>
  </si>
  <si>
    <t>1573-2908</t>
  </si>
  <si>
    <t>1568-4539</t>
  </si>
  <si>
    <t>https://link.springer.com/journal/10700</t>
  </si>
  <si>
    <t>Gastric Cancer</t>
  </si>
  <si>
    <t>1436-3305</t>
  </si>
  <si>
    <t>1436-3291</t>
  </si>
  <si>
    <t>https://link.springer.com/journal/10120</t>
  </si>
  <si>
    <t>Gastro-News</t>
  </si>
  <si>
    <t>2520-8667</t>
  </si>
  <si>
    <t>1869-1005</t>
  </si>
  <si>
    <t>https://link.springer.com/journal/15036</t>
  </si>
  <si>
    <t>Gefässchirurgie</t>
  </si>
  <si>
    <t>1434-3932</t>
  </si>
  <si>
    <t>0948-7034</t>
  </si>
  <si>
    <t>https://link.springer.com/journal/772</t>
  </si>
  <si>
    <t>GEM - International Journal on Geomathematics</t>
  </si>
  <si>
    <t>1869-2680</t>
  </si>
  <si>
    <t>1869-2672</t>
  </si>
  <si>
    <t>https://link.springer.com/journal/13137</t>
  </si>
  <si>
    <t>Gender Issues</t>
  </si>
  <si>
    <t>1936-4717</t>
  </si>
  <si>
    <t>1098-092X</t>
  </si>
  <si>
    <t>https://link.springer.com/journal/12147</t>
  </si>
  <si>
    <t>General Relativity and Gravitation</t>
  </si>
  <si>
    <t>1572-9532</t>
  </si>
  <si>
    <t>https://link.springer.com/journal/10714</t>
  </si>
  <si>
    <t>General Thoracic and Cardiovascular Surgery</t>
  </si>
  <si>
    <t>1863-6713</t>
  </si>
  <si>
    <t>1863-6705</t>
  </si>
  <si>
    <t>https://link.springer.com/journal/11748</t>
  </si>
  <si>
    <t>Genes &amp; Genomics</t>
  </si>
  <si>
    <t>2092-9293</t>
  </si>
  <si>
    <t>https://link.springer.com/journal/13258</t>
  </si>
  <si>
    <t>The Genetics Society of Korea, co-published with Springer</t>
  </si>
  <si>
    <t>Genetic Programming and Evolvable Machines</t>
  </si>
  <si>
    <t>1573-7632</t>
  </si>
  <si>
    <t>1389-2576</t>
  </si>
  <si>
    <t>https://link.springer.com/journal/10710</t>
  </si>
  <si>
    <t>Genetic Resources and Crop Evolution</t>
  </si>
  <si>
    <t>1573-5109</t>
  </si>
  <si>
    <t>0925-9864</t>
  </si>
  <si>
    <t>https://link.springer.com/journal/10722</t>
  </si>
  <si>
    <t>Genetica</t>
  </si>
  <si>
    <t>1573-6857</t>
  </si>
  <si>
    <t>0016-6707</t>
  </si>
  <si>
    <t>https://link.springer.com/journal/10709</t>
  </si>
  <si>
    <t>Genome Instability &amp; Disease</t>
  </si>
  <si>
    <t>2524-7662</t>
  </si>
  <si>
    <t>https://link.springer.com/journal/42764</t>
  </si>
  <si>
    <t>Geochemistry International</t>
  </si>
  <si>
    <t>1556-1968</t>
  </si>
  <si>
    <t>0016-7029</t>
  </si>
  <si>
    <t>https://link.springer.com/journal/11476</t>
  </si>
  <si>
    <t>Geography and Natural Resources</t>
  </si>
  <si>
    <t>1875-371X</t>
  </si>
  <si>
    <t>1875-3728</t>
  </si>
  <si>
    <t>https://link.springer.com/journal/13541</t>
  </si>
  <si>
    <t>Geoheritage</t>
  </si>
  <si>
    <t>1867-2485</t>
  </si>
  <si>
    <t>1867-2477</t>
  </si>
  <si>
    <t>https://link.springer.com/journal/12371</t>
  </si>
  <si>
    <t>GeoInformatica</t>
  </si>
  <si>
    <t>1573-7624</t>
  </si>
  <si>
    <t>1384-6175</t>
  </si>
  <si>
    <t>https://link.springer.com/journal/10707</t>
  </si>
  <si>
    <t>GeoJournal</t>
  </si>
  <si>
    <t>1572-9893</t>
  </si>
  <si>
    <t>0343-2521</t>
  </si>
  <si>
    <t>https://link.springer.com/journal/10708</t>
  </si>
  <si>
    <t>Geology of Ore Deposits</t>
  </si>
  <si>
    <t>1555-6476</t>
  </si>
  <si>
    <t>1075-7015</t>
  </si>
  <si>
    <t>https://link.springer.com/journal/11477</t>
  </si>
  <si>
    <t>Geomagnetism and Aeronomy</t>
  </si>
  <si>
    <t>1555-645X</t>
  </si>
  <si>
    <t>0016-7932</t>
  </si>
  <si>
    <t>https://link.springer.com/journal/11478</t>
  </si>
  <si>
    <t>Geo-Marine Letters</t>
  </si>
  <si>
    <t>1432-1157</t>
  </si>
  <si>
    <t>0276-0460</t>
  </si>
  <si>
    <t>https://link.springer.com/journal/367</t>
  </si>
  <si>
    <t>Geometriae Dedicata</t>
  </si>
  <si>
    <t>1572-9168</t>
  </si>
  <si>
    <t>0046-5755</t>
  </si>
  <si>
    <t>https://link.springer.com/journal/10711</t>
  </si>
  <si>
    <t>Geometric and Functional Analysis</t>
  </si>
  <si>
    <t>1420-8970</t>
  </si>
  <si>
    <t>1016-443X</t>
  </si>
  <si>
    <t>https://link.springer.com/journal/39</t>
  </si>
  <si>
    <t>Geosciences Journal</t>
  </si>
  <si>
    <t>1598-7477</t>
  </si>
  <si>
    <t>1226-4806</t>
  </si>
  <si>
    <t>https://link.springer.com/journal/12303</t>
  </si>
  <si>
    <t>The Geological Society of Korea, co-published with Springer</t>
  </si>
  <si>
    <t>Geotechnical and Geological Engineering</t>
  </si>
  <si>
    <t>1573-1529</t>
  </si>
  <si>
    <t>0960-3182</t>
  </si>
  <si>
    <t>https://link.springer.com/journal/10706</t>
  </si>
  <si>
    <t>Geotectonics</t>
  </si>
  <si>
    <t>1556-1976</t>
  </si>
  <si>
    <t>0016-8521</t>
  </si>
  <si>
    <t>https://link.springer.com/journal/11479</t>
  </si>
  <si>
    <t>German Journal of Exercise and Sport Research</t>
  </si>
  <si>
    <t>2509-3150</t>
  </si>
  <si>
    <t>2509-3142</t>
  </si>
  <si>
    <t>https://link.springer.com/journal/12662</t>
  </si>
  <si>
    <t>GeroScience</t>
  </si>
  <si>
    <t>2509-2723</t>
  </si>
  <si>
    <t>2509-2715</t>
  </si>
  <si>
    <t>https://link.springer.com/journal/11357</t>
  </si>
  <si>
    <t>Gesunde Pflanzen</t>
  </si>
  <si>
    <t>1439-0345</t>
  </si>
  <si>
    <t>0367-4223</t>
  </si>
  <si>
    <t>https://link.springer.com/journal/10343</t>
  </si>
  <si>
    <t>Glass and Ceramics</t>
  </si>
  <si>
    <t>1573-8515</t>
  </si>
  <si>
    <t>0361-7610</t>
  </si>
  <si>
    <t>https://link.springer.com/journal/10717</t>
  </si>
  <si>
    <t>Glass Physics and Chemistry</t>
  </si>
  <si>
    <t>1608-313X</t>
  </si>
  <si>
    <t>1087-6596</t>
  </si>
  <si>
    <t>https://link.springer.com/journal/10720</t>
  </si>
  <si>
    <t>Glass Structures &amp; Engineering</t>
  </si>
  <si>
    <t>2363-5150</t>
  </si>
  <si>
    <t>2363-5142</t>
  </si>
  <si>
    <t>https://link.springer.com/journal/40940</t>
  </si>
  <si>
    <t>Global Implementation Research and Applications</t>
  </si>
  <si>
    <t>2662-9275</t>
  </si>
  <si>
    <t>https://link.springer.com/journal/43477</t>
  </si>
  <si>
    <t>Global Journal of Flexible Systems Management</t>
  </si>
  <si>
    <t>0974-0198</t>
  </si>
  <si>
    <t>0972-2696</t>
  </si>
  <si>
    <t>https://link.springer.com/journal/40171</t>
  </si>
  <si>
    <t>Global Public Policy and Governance</t>
  </si>
  <si>
    <t>2730-6305</t>
  </si>
  <si>
    <t>2730-6291</t>
  </si>
  <si>
    <t>https://link.springer.com/journal/43508</t>
  </si>
  <si>
    <t>Global Social Welfare</t>
  </si>
  <si>
    <t>2196-8799</t>
  </si>
  <si>
    <t>https://link.springer.com/journal/40609</t>
  </si>
  <si>
    <t>Global Surgical Education - Journal of the Association for Surgical Education</t>
  </si>
  <si>
    <t>2731-4588</t>
  </si>
  <si>
    <t>https://link.springer.com/journal/44186</t>
  </si>
  <si>
    <t>Glycoconjugate Journal</t>
  </si>
  <si>
    <t>1573-4986</t>
  </si>
  <si>
    <t>0282-0080</t>
  </si>
  <si>
    <t>https://link.springer.com/journal/10719</t>
  </si>
  <si>
    <t>Gold Bulletin</t>
  </si>
  <si>
    <t>2190-7579</t>
  </si>
  <si>
    <t>2364-821X</t>
  </si>
  <si>
    <t>https://link.springer.com/journal/13404</t>
  </si>
  <si>
    <t>GPS Solutions</t>
  </si>
  <si>
    <t>1521-1886</t>
  </si>
  <si>
    <t>1080-5370</t>
  </si>
  <si>
    <t>https://link.springer.com/journal/10291</t>
  </si>
  <si>
    <t>Graefe's Archive for Clinical and Experimental Ophthalmology</t>
  </si>
  <si>
    <t>1435-702X</t>
  </si>
  <si>
    <t>0721-832X</t>
  </si>
  <si>
    <t>https://link.springer.com/journal/417</t>
  </si>
  <si>
    <t>Granular Computing</t>
  </si>
  <si>
    <t>2364-4974</t>
  </si>
  <si>
    <t>2364-4966</t>
  </si>
  <si>
    <t>https://link.springer.com/journal/41066</t>
  </si>
  <si>
    <t>Granular Matter</t>
  </si>
  <si>
    <t>1434-7636</t>
  </si>
  <si>
    <t>1434-5021</t>
  </si>
  <si>
    <t>https://link.springer.com/journal/10035</t>
  </si>
  <si>
    <t>Graphene and 2D Materials</t>
  </si>
  <si>
    <t>2731-6513</t>
  </si>
  <si>
    <t>2731-6505</t>
  </si>
  <si>
    <t>https://link.springer.com/journal/41127</t>
  </si>
  <si>
    <t>Graphs and Combinatorics</t>
  </si>
  <si>
    <t>1435-5914</t>
  </si>
  <si>
    <t>0911-0119</t>
  </si>
  <si>
    <t>https://link.springer.com/journal/373</t>
  </si>
  <si>
    <t>Gravitation and Cosmology</t>
  </si>
  <si>
    <t>1995-0721</t>
  </si>
  <si>
    <t>0202-2893</t>
  </si>
  <si>
    <t>https://link.springer.com/journal/12267</t>
  </si>
  <si>
    <t>Group Decision and Negotiation</t>
  </si>
  <si>
    <t>1572-9907</t>
  </si>
  <si>
    <t>0926-2644</t>
  </si>
  <si>
    <t>https://link.springer.com/journal/10726</t>
  </si>
  <si>
    <t>Grundwasser</t>
  </si>
  <si>
    <t>1432-1165</t>
  </si>
  <si>
    <t>1430-483X</t>
  </si>
  <si>
    <t>https://link.springer.com/journal/767</t>
  </si>
  <si>
    <t>Gruppe. Interaktion. Organisation. Zeitschrift für Angewandte Organisationspsychologie (GIO)</t>
  </si>
  <si>
    <t>2366-6218</t>
  </si>
  <si>
    <t>2366-6145</t>
  </si>
  <si>
    <t>https://link.springer.com/journal/11612</t>
  </si>
  <si>
    <t>gynäkologie + geburtshilfe</t>
  </si>
  <si>
    <t>2196-6435</t>
  </si>
  <si>
    <t>1439-3557</t>
  </si>
  <si>
    <t>https://link.springer.com/journal/15013</t>
  </si>
  <si>
    <t>Gynäkologische Endokrinologie</t>
  </si>
  <si>
    <t>1610-2908</t>
  </si>
  <si>
    <t>1610-2894</t>
  </si>
  <si>
    <t>https://link.springer.com/journal/10304</t>
  </si>
  <si>
    <t>Gyroscopy and Navigation</t>
  </si>
  <si>
    <t>2075-1109</t>
  </si>
  <si>
    <t>2075-1087</t>
  </si>
  <si>
    <t>https://link.springer.com/journal/13140</t>
  </si>
  <si>
    <t>Hague Journal on the Rule of Law</t>
  </si>
  <si>
    <t>1876-4053</t>
  </si>
  <si>
    <t>1876-4045</t>
  </si>
  <si>
    <t>https://link.springer.com/journal/40803</t>
  </si>
  <si>
    <t>hautnah</t>
  </si>
  <si>
    <t>2192-6484</t>
  </si>
  <si>
    <t>1866-2250</t>
  </si>
  <si>
    <t>https://link.springer.com/journal/12326</t>
  </si>
  <si>
    <t>hautnah dermatologie</t>
  </si>
  <si>
    <t>2196-6451</t>
  </si>
  <si>
    <t>0938-0221</t>
  </si>
  <si>
    <t>https://link.springer.com/journal/15012</t>
  </si>
  <si>
    <t>Head and Neck Pathology</t>
  </si>
  <si>
    <t>1936-0568</t>
  </si>
  <si>
    <t>https://link.springer.com/journal/12105</t>
  </si>
  <si>
    <t>Health and Technology</t>
  </si>
  <si>
    <t>2190-7196</t>
  </si>
  <si>
    <t>2190-7188</t>
  </si>
  <si>
    <t>https://link.springer.com/journal/12553</t>
  </si>
  <si>
    <t>Health Care Analysis</t>
  </si>
  <si>
    <t>1573-3394</t>
  </si>
  <si>
    <t>1065-3058</t>
  </si>
  <si>
    <t>https://link.springer.com/journal/10728</t>
  </si>
  <si>
    <t>Health Care Management Science</t>
  </si>
  <si>
    <t>1572-9389</t>
  </si>
  <si>
    <t>1386-9620</t>
  </si>
  <si>
    <t>https://link.springer.com/journal/10729</t>
  </si>
  <si>
    <t>Health Information Science and Systems</t>
  </si>
  <si>
    <t>2047-2501</t>
  </si>
  <si>
    <t>https://link.springer.com/journal/13755</t>
  </si>
  <si>
    <t>Health Services and Outcomes Research Methodology</t>
  </si>
  <si>
    <t>1572-9400</t>
  </si>
  <si>
    <t>1387-3741</t>
  </si>
  <si>
    <t>https://link.springer.com/journal/10742</t>
  </si>
  <si>
    <t>Heart and Vessels</t>
  </si>
  <si>
    <t>1615-2573</t>
  </si>
  <si>
    <t>0910-8327</t>
  </si>
  <si>
    <t>https://link.springer.com/journal/380</t>
  </si>
  <si>
    <t>Heart Failure Reviews</t>
  </si>
  <si>
    <t>1573-7322</t>
  </si>
  <si>
    <t>https://link.springer.com/journal/10741</t>
  </si>
  <si>
    <t>Heat and Mass Transfer</t>
  </si>
  <si>
    <t>1432-1181</t>
  </si>
  <si>
    <t>0947-7411</t>
  </si>
  <si>
    <t>https://link.springer.com/journal/231</t>
  </si>
  <si>
    <t>Hebammen Wissen</t>
  </si>
  <si>
    <t>2730-7255</t>
  </si>
  <si>
    <t>2730-7247</t>
  </si>
  <si>
    <t>https://link.springer.com/journal/43877</t>
  </si>
  <si>
    <t>HEC Forum</t>
  </si>
  <si>
    <t>1572-8498</t>
  </si>
  <si>
    <t>0956-2737</t>
  </si>
  <si>
    <t>https://link.springer.com/journal/10730</t>
  </si>
  <si>
    <t>Heilberufe</t>
  </si>
  <si>
    <t>1867-1535</t>
  </si>
  <si>
    <t>0017-9604</t>
  </si>
  <si>
    <t>https://link.springer.com/journal/58</t>
  </si>
  <si>
    <t>HeilberufeScience</t>
  </si>
  <si>
    <t>2190-2100</t>
  </si>
  <si>
    <t>https://link.springer.com/journal/16024</t>
  </si>
  <si>
    <t>Hepatology International</t>
  </si>
  <si>
    <t>1936-0541</t>
  </si>
  <si>
    <t>1936-0533</t>
  </si>
  <si>
    <t>https://link.springer.com/journal/12072</t>
  </si>
  <si>
    <t>Herald of the Russian Academy of Sciences</t>
  </si>
  <si>
    <t>1555-6492</t>
  </si>
  <si>
    <t>1019-3316</t>
  </si>
  <si>
    <t>https://link.springer.com/journal/11480</t>
  </si>
  <si>
    <t>Hernia</t>
  </si>
  <si>
    <t>1248-9204</t>
  </si>
  <si>
    <t>https://link.springer.com/journal/10029</t>
  </si>
  <si>
    <t>Herz</t>
  </si>
  <si>
    <t>1615-6692</t>
  </si>
  <si>
    <t>0340-9937</t>
  </si>
  <si>
    <t>https://link.springer.com/journal/59</t>
  </si>
  <si>
    <t>Herzschrittmachertherapie + Elektrophysiologie</t>
  </si>
  <si>
    <t>1435-1544</t>
  </si>
  <si>
    <t>0938-7412</t>
  </si>
  <si>
    <t>https://link.springer.com/journal/399</t>
  </si>
  <si>
    <t>High Energy Chemistry</t>
  </si>
  <si>
    <t>1608-3148</t>
  </si>
  <si>
    <t>0018-1439</t>
  </si>
  <si>
    <t>https://link.springer.com/journal/10733</t>
  </si>
  <si>
    <t>High Entropy Alloys &amp; Materials</t>
  </si>
  <si>
    <t>2731-5827</t>
  </si>
  <si>
    <t>2731-5819</t>
  </si>
  <si>
    <t>https://link.springer.com/journal/44210</t>
  </si>
  <si>
    <t>High Temperature</t>
  </si>
  <si>
    <t>1608-3156</t>
  </si>
  <si>
    <t>0018-151X</t>
  </si>
  <si>
    <t>https://link.springer.com/journal/10740</t>
  </si>
  <si>
    <t>Higher Education</t>
  </si>
  <si>
    <t>1573-174X</t>
  </si>
  <si>
    <t>0018-1560</t>
  </si>
  <si>
    <t>https://link.springer.com/journal/10734</t>
  </si>
  <si>
    <t>Histochemistry and Cell Biology</t>
  </si>
  <si>
    <t>1432-119X</t>
  </si>
  <si>
    <t>0948-6143</t>
  </si>
  <si>
    <t>https://link.springer.com/journal/418</t>
  </si>
  <si>
    <t>Historical Archaeology</t>
  </si>
  <si>
    <t>2328-1103</t>
  </si>
  <si>
    <t>0440-9213</t>
  </si>
  <si>
    <t>https://link.springer.com/journal/41636</t>
  </si>
  <si>
    <t>History and Philosophy of the Life Sciences</t>
  </si>
  <si>
    <t>1742-6316</t>
  </si>
  <si>
    <t>0391-9714</t>
  </si>
  <si>
    <t>https://link.springer.com/journal/40656</t>
  </si>
  <si>
    <t>HMD Praxis der Wirtschaftsinformatik</t>
  </si>
  <si>
    <t>2198-2775</t>
  </si>
  <si>
    <t>1436-3011</t>
  </si>
  <si>
    <t>https://link.springer.com/journal/40702</t>
  </si>
  <si>
    <t>HNO</t>
  </si>
  <si>
    <t>1433-0458</t>
  </si>
  <si>
    <t>0017-6192</t>
  </si>
  <si>
    <t>https://link.springer.com/journal/106</t>
  </si>
  <si>
    <t>HNO Nachrichten</t>
  </si>
  <si>
    <t>2198-6533</t>
  </si>
  <si>
    <t>0177-1000</t>
  </si>
  <si>
    <t>https://link.springer.com/journal/60</t>
  </si>
  <si>
    <t>Homo Oeconomicus</t>
  </si>
  <si>
    <t>2366-6161</t>
  </si>
  <si>
    <t>https://link.springer.com/journal/41412</t>
  </si>
  <si>
    <t>Hormones</t>
  </si>
  <si>
    <t>2520-8721</t>
  </si>
  <si>
    <t>https://link.springer.com/journal/42000</t>
  </si>
  <si>
    <t>Horticulture, Environment, and Biotechnology</t>
  </si>
  <si>
    <t>2211-3460</t>
  </si>
  <si>
    <t>2211-3452</t>
  </si>
  <si>
    <t>https://link.springer.com/journal/13580</t>
  </si>
  <si>
    <t>Human Arenas</t>
  </si>
  <si>
    <t>2522-5804</t>
  </si>
  <si>
    <t>2522-5790</t>
  </si>
  <si>
    <t>https://link.springer.com/journal/42087</t>
  </si>
  <si>
    <t>Human Cell</t>
  </si>
  <si>
    <t>1749-0774</t>
  </si>
  <si>
    <t>https://link.springer.com/journal/13577</t>
  </si>
  <si>
    <t>Human Ecology</t>
  </si>
  <si>
    <t>1572-9915</t>
  </si>
  <si>
    <t>0300-7839</t>
  </si>
  <si>
    <t>https://link.springer.com/journal/10745</t>
  </si>
  <si>
    <t>Human Factors and Mechanical Engineering for Defense and Safety</t>
  </si>
  <si>
    <t>2367-2544</t>
  </si>
  <si>
    <t>2509-8004</t>
  </si>
  <si>
    <t>https://link.springer.com/journal/41314</t>
  </si>
  <si>
    <t>Human Genetics</t>
  </si>
  <si>
    <t>1432-1203</t>
  </si>
  <si>
    <t>0340-6717</t>
  </si>
  <si>
    <t>https://link.springer.com/journal/439</t>
  </si>
  <si>
    <t>Human Nature</t>
  </si>
  <si>
    <t>1936-4776</t>
  </si>
  <si>
    <t>1045-6767</t>
  </si>
  <si>
    <t>https://link.springer.com/journal/12110</t>
  </si>
  <si>
    <t>Human Physiology</t>
  </si>
  <si>
    <t>1608-3164</t>
  </si>
  <si>
    <t>0362-1197</t>
  </si>
  <si>
    <t>https://link.springer.com/journal/10747</t>
  </si>
  <si>
    <t>Human Rights Review</t>
  </si>
  <si>
    <t>1874-6306</t>
  </si>
  <si>
    <t>1524-8879</t>
  </si>
  <si>
    <t>https://link.springer.com/journal/12142</t>
  </si>
  <si>
    <t>Human Studies</t>
  </si>
  <si>
    <t>1572-851X</t>
  </si>
  <si>
    <t>0163-8548</t>
  </si>
  <si>
    <t>https://link.springer.com/journal/10746</t>
  </si>
  <si>
    <t>Human-Intelligent Systems Integration</t>
  </si>
  <si>
    <t>2524-4884</t>
  </si>
  <si>
    <t>2524-4876</t>
  </si>
  <si>
    <t>https://link.springer.com/journal/42454</t>
  </si>
  <si>
    <t>Humanistic Management Journal</t>
  </si>
  <si>
    <t>2366-6048</t>
  </si>
  <si>
    <t>2366-603X</t>
  </si>
  <si>
    <t>https://link.springer.com/journal/41463</t>
  </si>
  <si>
    <t>Husserl Studies</t>
  </si>
  <si>
    <t>1572-8501</t>
  </si>
  <si>
    <t>0167-9848</t>
  </si>
  <si>
    <t>https://link.springer.com/journal/10743</t>
  </si>
  <si>
    <t>Hydrobiologia</t>
  </si>
  <si>
    <t>1573-5117</t>
  </si>
  <si>
    <t>0018-8158</t>
  </si>
  <si>
    <t>https://link.springer.com/journal/10750</t>
  </si>
  <si>
    <t>Hydrogeology Journal</t>
  </si>
  <si>
    <t>1435-0157</t>
  </si>
  <si>
    <t>1431-2174</t>
  </si>
  <si>
    <t>https://link.springer.com/journal/10040</t>
  </si>
  <si>
    <t>Hyperfine Interactions</t>
  </si>
  <si>
    <t>1572-9540</t>
  </si>
  <si>
    <t>https://link.springer.com/journal/10751</t>
  </si>
  <si>
    <t>Ichthyological Research</t>
  </si>
  <si>
    <t>1616-3915</t>
  </si>
  <si>
    <t>1341-8998</t>
  </si>
  <si>
    <t>https://link.springer.com/journal/10228</t>
  </si>
  <si>
    <t>IIC - International Review of Intellectual Property and Competition Law</t>
  </si>
  <si>
    <t>2195-0237</t>
  </si>
  <si>
    <t>0018-9855</t>
  </si>
  <si>
    <t>https://link.springer.com/journal/40319</t>
  </si>
  <si>
    <t>Im Fokus Onkologie</t>
  </si>
  <si>
    <t>2192-5674</t>
  </si>
  <si>
    <t>1435-7402</t>
  </si>
  <si>
    <t>https://link.springer.com/journal/15015</t>
  </si>
  <si>
    <t>Immunogenetics</t>
  </si>
  <si>
    <t>1432-1211</t>
  </si>
  <si>
    <t>0093-7711</t>
  </si>
  <si>
    <t>https://link.springer.com/journal/251</t>
  </si>
  <si>
    <t>Immunologic Research</t>
  </si>
  <si>
    <t>1559-0755</t>
  </si>
  <si>
    <t>0257-277X</t>
  </si>
  <si>
    <t>https://link.springer.com/journal/12026</t>
  </si>
  <si>
    <t>In Silico Pharmacology</t>
  </si>
  <si>
    <t>2193-9616</t>
  </si>
  <si>
    <t>https://link.springer.com/journal/40203</t>
  </si>
  <si>
    <t>In Vitro Cellular &amp; Developmental Biology - Animal</t>
  </si>
  <si>
    <t>1543-706X</t>
  </si>
  <si>
    <t>1071-2690</t>
  </si>
  <si>
    <t>https://link.springer.com/journal/11626</t>
  </si>
  <si>
    <t>In Vitro Cellular &amp; Developmental Biology - Plant</t>
  </si>
  <si>
    <t>1475-2689</t>
  </si>
  <si>
    <t>1054-5476</t>
  </si>
  <si>
    <t>https://link.springer.com/journal/11627</t>
  </si>
  <si>
    <t>In vitro models</t>
  </si>
  <si>
    <t>2731-3441</t>
  </si>
  <si>
    <t>https://link.springer.com/journal/44164</t>
  </si>
  <si>
    <t>Indian Economic Review</t>
  </si>
  <si>
    <t>2520-1778</t>
  </si>
  <si>
    <t>0019-4670</t>
  </si>
  <si>
    <t>https://link.springer.com/journal/41775</t>
  </si>
  <si>
    <t>Indian Geotechnical Journal</t>
  </si>
  <si>
    <t>2277-3347</t>
  </si>
  <si>
    <t>0971-9555</t>
  </si>
  <si>
    <t>https://link.springer.com/journal/40098</t>
  </si>
  <si>
    <t>Indian Journal of Clinical Biochemistry</t>
  </si>
  <si>
    <t>0974-0422</t>
  </si>
  <si>
    <t>0970-1915</t>
  </si>
  <si>
    <t>https://link.springer.com/journal/12291</t>
  </si>
  <si>
    <t>Indian Journal of Gastroenterology</t>
  </si>
  <si>
    <t>0975-0711</t>
  </si>
  <si>
    <t>0254-8860</t>
  </si>
  <si>
    <t>https://link.springer.com/journal/12664</t>
  </si>
  <si>
    <t>Indian Journal of Gynecologic Oncology</t>
  </si>
  <si>
    <t>2363-8400</t>
  </si>
  <si>
    <t>2363-8397</t>
  </si>
  <si>
    <t>https://link.springer.com/journal/40944</t>
  </si>
  <si>
    <t>Indian Journal of Hematology and Blood Transfusion</t>
  </si>
  <si>
    <t>0974-0449</t>
  </si>
  <si>
    <t>0971-4502</t>
  </si>
  <si>
    <t>https://link.springer.com/journal/12288</t>
  </si>
  <si>
    <t>Indian Journal of Microbiology</t>
  </si>
  <si>
    <t>0973-7715</t>
  </si>
  <si>
    <t>0046-8991</t>
  </si>
  <si>
    <t>https://link.springer.com/journal/12088</t>
  </si>
  <si>
    <t>Indian Journal of Orthopaedics</t>
  </si>
  <si>
    <t>1998-3727</t>
  </si>
  <si>
    <t>0019-5413</t>
  </si>
  <si>
    <t>https://link.springer.com/journal/43465</t>
  </si>
  <si>
    <t>Indian Journal of Otolaryngology and Head &amp; Neck Surgery</t>
  </si>
  <si>
    <t>0973-7707</t>
  </si>
  <si>
    <t>2231-3796</t>
  </si>
  <si>
    <t>https://link.springer.com/journal/12070</t>
  </si>
  <si>
    <t>Indian Journal of Pediatrics</t>
  </si>
  <si>
    <t>0973-7693</t>
  </si>
  <si>
    <t>0019-5456</t>
  </si>
  <si>
    <t>https://link.springer.com/journal/12098</t>
  </si>
  <si>
    <t>Indian Journal of Physics</t>
  </si>
  <si>
    <t>0974-9845</t>
  </si>
  <si>
    <t>0973-1458</t>
  </si>
  <si>
    <t>https://link.springer.com/journal/12648</t>
  </si>
  <si>
    <t>Indian Journal of Pure and Applied Mathematics</t>
  </si>
  <si>
    <t>0975-7465</t>
  </si>
  <si>
    <t>0019-5588</t>
  </si>
  <si>
    <t>https://link.springer.com/journal/13226</t>
  </si>
  <si>
    <t>Indian National Science Academy, co-published with Springer</t>
  </si>
  <si>
    <t>Indian Journal of Surgery</t>
  </si>
  <si>
    <t>0973-9793</t>
  </si>
  <si>
    <t>0972-2068</t>
  </si>
  <si>
    <t>https://link.springer.com/journal/12262</t>
  </si>
  <si>
    <t>Indian Journal of Surgical Oncology</t>
  </si>
  <si>
    <t>0976-6952</t>
  </si>
  <si>
    <t>0975-7651</t>
  </si>
  <si>
    <t>https://link.springer.com/journal/13193</t>
  </si>
  <si>
    <t>Indian Journal of Thoracic and Cardiovascular Surgery</t>
  </si>
  <si>
    <t>0973-7723</t>
  </si>
  <si>
    <t>0970-9134</t>
  </si>
  <si>
    <t>https://link.springer.com/journal/12055</t>
  </si>
  <si>
    <t>Indian Pediatrics</t>
  </si>
  <si>
    <t>0974-7559</t>
  </si>
  <si>
    <t>0019-6061</t>
  </si>
  <si>
    <t>https://link.springer.com/journal/13312</t>
  </si>
  <si>
    <t>Indian Phytopathology</t>
  </si>
  <si>
    <t>2248-9800</t>
  </si>
  <si>
    <t>0367-973X</t>
  </si>
  <si>
    <t>https://link.springer.com/journal/42360</t>
  </si>
  <si>
    <t>Infection</t>
  </si>
  <si>
    <t>1439-0973</t>
  </si>
  <si>
    <t>0300-8126</t>
  </si>
  <si>
    <t>https://link.springer.com/journal/15010</t>
  </si>
  <si>
    <t>Inflammation</t>
  </si>
  <si>
    <t>1573-2576</t>
  </si>
  <si>
    <t>0360-3997</t>
  </si>
  <si>
    <t>https://link.springer.com/journal/10753</t>
  </si>
  <si>
    <t>Inflammation Research</t>
  </si>
  <si>
    <t>1420-908X</t>
  </si>
  <si>
    <t>1023-3830</t>
  </si>
  <si>
    <t>https://link.springer.com/journal/11</t>
  </si>
  <si>
    <t>Inflammopharmacology</t>
  </si>
  <si>
    <t>1568-5608</t>
  </si>
  <si>
    <t>0925-4692</t>
  </si>
  <si>
    <t>https://link.springer.com/journal/10787</t>
  </si>
  <si>
    <t>Info Diabetologie</t>
  </si>
  <si>
    <t>2196-6362</t>
  </si>
  <si>
    <t>1865-5459</t>
  </si>
  <si>
    <t>https://link.springer.com/journal/15034</t>
  </si>
  <si>
    <t>InFo Hämatologie + Onkologie</t>
  </si>
  <si>
    <t>2662-1762</t>
  </si>
  <si>
    <t>2662-1754</t>
  </si>
  <si>
    <t>https://link.springer.com/journal/15004</t>
  </si>
  <si>
    <t>InFo Neurologie + Psychiatrie</t>
  </si>
  <si>
    <t>2195-5166</t>
  </si>
  <si>
    <t>1437-062X</t>
  </si>
  <si>
    <t>https://link.springer.com/journal/15005</t>
  </si>
  <si>
    <t>Informatik Spektrum</t>
  </si>
  <si>
    <t>1432-122X</t>
  </si>
  <si>
    <t>0170-6012</t>
  </si>
  <si>
    <t>https://link.springer.com/journal/287</t>
  </si>
  <si>
    <t>Information Geometry</t>
  </si>
  <si>
    <t>2511-249X</t>
  </si>
  <si>
    <t>2511-2481</t>
  </si>
  <si>
    <t>https://link.springer.com/journal/41884</t>
  </si>
  <si>
    <t>Information Retrieval Journal</t>
  </si>
  <si>
    <t>1573-7659</t>
  </si>
  <si>
    <t>1386-4564</t>
  </si>
  <si>
    <t>https://link.springer.com/journal/10791</t>
  </si>
  <si>
    <t>Information Systems and e-Business Management</t>
  </si>
  <si>
    <t>1617-9854</t>
  </si>
  <si>
    <t>1617-9846</t>
  </si>
  <si>
    <t>https://link.springer.com/journal/10257</t>
  </si>
  <si>
    <t>Information Systems Frontiers</t>
  </si>
  <si>
    <t>1572-9419</t>
  </si>
  <si>
    <t>1387-3326</t>
  </si>
  <si>
    <t>https://link.springer.com/journal/10796</t>
  </si>
  <si>
    <t>Information Technology &amp; Tourism</t>
  </si>
  <si>
    <t>1943-4294</t>
  </si>
  <si>
    <t>1098-3058</t>
  </si>
  <si>
    <t>https://link.springer.com/journal/40558</t>
  </si>
  <si>
    <t>Information Technology and Management</t>
  </si>
  <si>
    <t>1573-7667</t>
  </si>
  <si>
    <t>1385-951X</t>
  </si>
  <si>
    <t>https://link.springer.com/journal/10799</t>
  </si>
  <si>
    <t>Inland Water Biology</t>
  </si>
  <si>
    <t>1995-0837</t>
  </si>
  <si>
    <t>1995-0829</t>
  </si>
  <si>
    <t>https://link.springer.com/journal/12212</t>
  </si>
  <si>
    <t>Innovations in Systems and Software Engineering</t>
  </si>
  <si>
    <t>1614-5054</t>
  </si>
  <si>
    <t>1614-5046</t>
  </si>
  <si>
    <t>https://link.springer.com/journal/11334</t>
  </si>
  <si>
    <t>Innovative Higher Education</t>
  </si>
  <si>
    <t>1573-1758</t>
  </si>
  <si>
    <t>0742-5627</t>
  </si>
  <si>
    <t>https://link.springer.com/journal/10755</t>
  </si>
  <si>
    <t>Innovative Infrastructure Solutions</t>
  </si>
  <si>
    <t>2364-4184</t>
  </si>
  <si>
    <t>https://link.springer.com/journal/41062</t>
  </si>
  <si>
    <t>Inorganic Materials</t>
  </si>
  <si>
    <t>1608-3172</t>
  </si>
  <si>
    <t>0020-1685</t>
  </si>
  <si>
    <t>https://link.springer.com/journal/10789</t>
  </si>
  <si>
    <t>Inorganic Materials: Applied Research</t>
  </si>
  <si>
    <t>2075-115X</t>
  </si>
  <si>
    <t>2075-1133</t>
  </si>
  <si>
    <t>https://link.springer.com/journal/13188</t>
  </si>
  <si>
    <t>Insectes Sociaux</t>
  </si>
  <si>
    <t>1420-9098</t>
  </si>
  <si>
    <t>0020-1812</t>
  </si>
  <si>
    <t>https://link.springer.com/journal/40</t>
  </si>
  <si>
    <t>Instructional Science</t>
  </si>
  <si>
    <t>1573-1952</t>
  </si>
  <si>
    <t>0020-4277</t>
  </si>
  <si>
    <t>https://link.springer.com/journal/11251</t>
  </si>
  <si>
    <t>Instruments and Experimental Techniques</t>
  </si>
  <si>
    <t>1608-3180</t>
  </si>
  <si>
    <t>0020-4412</t>
  </si>
  <si>
    <t>https://link.springer.com/journal/10786</t>
  </si>
  <si>
    <t>Integral Equations and Operator Theory</t>
  </si>
  <si>
    <t>1420-8989</t>
  </si>
  <si>
    <t>0378-620X</t>
  </si>
  <si>
    <t>https://link.springer.com/journal/20</t>
  </si>
  <si>
    <t>Integrating Materials and Manufacturing Innovation</t>
  </si>
  <si>
    <t>2193-9772</t>
  </si>
  <si>
    <t>https://link.springer.com/journal/40192</t>
  </si>
  <si>
    <t>Integrative Psychological and Behavioral Science</t>
  </si>
  <si>
    <t>1936-3567</t>
  </si>
  <si>
    <t>1932-4502</t>
  </si>
  <si>
    <t>https://link.springer.com/journal/12124</t>
  </si>
  <si>
    <t>Intelligent Service Robotics</t>
  </si>
  <si>
    <t>1861-2784</t>
  </si>
  <si>
    <t>https://link.springer.com/journal/11370</t>
  </si>
  <si>
    <t>Intensive Care Medicine</t>
  </si>
  <si>
    <t>1432-1238</t>
  </si>
  <si>
    <t>0342-4642</t>
  </si>
  <si>
    <t>https://link.springer.com/journal/134</t>
  </si>
  <si>
    <t>Interceram - International Ceramic Review</t>
  </si>
  <si>
    <t>2523-8957</t>
  </si>
  <si>
    <t>0020-5214</t>
  </si>
  <si>
    <t>https://link.springer.com/journal/42411</t>
  </si>
  <si>
    <t>Interchange</t>
  </si>
  <si>
    <t>1573-1790</t>
  </si>
  <si>
    <t>0826-4805</t>
  </si>
  <si>
    <t>https://link.springer.com/journal/10780</t>
  </si>
  <si>
    <t>Interdisciplinary Sciences: Computational Life Sciences</t>
  </si>
  <si>
    <t>1867-1462</t>
  </si>
  <si>
    <t>1913-2751</t>
  </si>
  <si>
    <t>https://link.springer.com/journal/12539</t>
  </si>
  <si>
    <t>Internal and Emergency Medicine</t>
  </si>
  <si>
    <t>1970-9366</t>
  </si>
  <si>
    <t>https://link.springer.com/journal/11739</t>
  </si>
  <si>
    <t>International Advances in Economic Research</t>
  </si>
  <si>
    <t>1573-966X</t>
  </si>
  <si>
    <t>1083-0898</t>
  </si>
  <si>
    <t>https://link.springer.com/journal/11294</t>
  </si>
  <si>
    <t>International Applied Mechanics</t>
  </si>
  <si>
    <t>1573-8582</t>
  </si>
  <si>
    <t>1063-7095</t>
  </si>
  <si>
    <t>https://link.springer.com/journal/10778</t>
  </si>
  <si>
    <t>International Archives of Occupational and Environmental Health</t>
  </si>
  <si>
    <t>1432-1246</t>
  </si>
  <si>
    <t>0340-0131</t>
  </si>
  <si>
    <t>https://link.springer.com/journal/420</t>
  </si>
  <si>
    <t>International Cancer Conference Journal</t>
  </si>
  <si>
    <t>2192-3183</t>
  </si>
  <si>
    <t>https://link.springer.com/journal/13691</t>
  </si>
  <si>
    <t>International Communication of Chinese Culture</t>
  </si>
  <si>
    <t>2197-4241</t>
  </si>
  <si>
    <t>2197-4233</t>
  </si>
  <si>
    <t>https://link.springer.com/journal/40636</t>
  </si>
  <si>
    <t>International Criminology</t>
  </si>
  <si>
    <t>2662-9976</t>
  </si>
  <si>
    <t>2662-9968</t>
  </si>
  <si>
    <t>https://link.springer.com/journal/43576</t>
  </si>
  <si>
    <t>International Cybersecurity Law Review</t>
  </si>
  <si>
    <t>2662-9739</t>
  </si>
  <si>
    <t>2662-9720</t>
  </si>
  <si>
    <t>https://link.springer.com/journal/43439</t>
  </si>
  <si>
    <t>International Economics and Economic Policy</t>
  </si>
  <si>
    <t>1612-4812</t>
  </si>
  <si>
    <t>1612-4804</t>
  </si>
  <si>
    <t>https://link.springer.com/journal/10368</t>
  </si>
  <si>
    <t>International Entrepreneurship and Management Journal</t>
  </si>
  <si>
    <t>1555-1938</t>
  </si>
  <si>
    <t>1554-7191</t>
  </si>
  <si>
    <t>https://link.springer.com/journal/11365</t>
  </si>
  <si>
    <t>International Environmental Agreements: Politics, Law and Economics</t>
  </si>
  <si>
    <t>1573-1553</t>
  </si>
  <si>
    <t>1567-9764</t>
  </si>
  <si>
    <t>https://link.springer.com/journal/10784</t>
  </si>
  <si>
    <t>International Journal for Educational and Vocational Guidance</t>
  </si>
  <si>
    <t>1573-1782</t>
  </si>
  <si>
    <t>1873-0388</t>
  </si>
  <si>
    <t>https://link.springer.com/journal/10775</t>
  </si>
  <si>
    <t>International Journal for Philosophy of Religion</t>
  </si>
  <si>
    <t>1572-8684</t>
  </si>
  <si>
    <t>0020-7047</t>
  </si>
  <si>
    <t>https://link.springer.com/journal/11153</t>
  </si>
  <si>
    <t>International Journal for the Advancement of Counselling</t>
  </si>
  <si>
    <t>1573-3246</t>
  </si>
  <si>
    <t>0165-0653</t>
  </si>
  <si>
    <t>https://link.springer.com/journal/10447</t>
  </si>
  <si>
    <t>International Journal for the Semiotics of Law - Revue internationale de Sémiotique juridique</t>
  </si>
  <si>
    <t>1572-8722</t>
  </si>
  <si>
    <t>0952-8059</t>
  </si>
  <si>
    <t>https://link.springer.com/journal/11196</t>
  </si>
  <si>
    <t>International Journal of Advances in Engineering Sciences and Applied Mathematics</t>
  </si>
  <si>
    <t>0975-5616</t>
  </si>
  <si>
    <t>0975-0770</t>
  </si>
  <si>
    <t>https://link.springer.com/journal/12572</t>
  </si>
  <si>
    <t>International Journal of Aeronautical and Space Sciences</t>
  </si>
  <si>
    <t>2093-2480</t>
  </si>
  <si>
    <t>https://link.springer.com/journal/42405</t>
  </si>
  <si>
    <t>The Korean Society for Aeronautical &amp; Space Sciences, co-published with Springer</t>
  </si>
  <si>
    <t>International Journal of Applied and Computational Mathematics</t>
  </si>
  <si>
    <t>2199-5796</t>
  </si>
  <si>
    <t>2349-5103</t>
  </si>
  <si>
    <t>https://link.springer.com/journal/40819</t>
  </si>
  <si>
    <t>International Journal of Applied Positive Psychology</t>
  </si>
  <si>
    <t>2364-5059</t>
  </si>
  <si>
    <t>2364-5040</t>
  </si>
  <si>
    <t>https://link.springer.com/journal/41042</t>
  </si>
  <si>
    <t>International Journal of Artificial Intelligence in Education</t>
  </si>
  <si>
    <t>1560-4306</t>
  </si>
  <si>
    <t>https://link.springer.com/journal/40593</t>
  </si>
  <si>
    <t>International Journal of Automotive Technology</t>
  </si>
  <si>
    <t>1976-3832</t>
  </si>
  <si>
    <t>1229-9138</t>
  </si>
  <si>
    <t>https://link.springer.com/journal/12239</t>
  </si>
  <si>
    <t>The Korean Society of Automotive Engineers, co-published with Springer</t>
  </si>
  <si>
    <t>International Journal of Behavioral Medicine</t>
  </si>
  <si>
    <t>1532-7558</t>
  </si>
  <si>
    <t>1070-5503</t>
  </si>
  <si>
    <t>https://link.springer.com/journal/12529</t>
  </si>
  <si>
    <t>International Journal of Biometeorology</t>
  </si>
  <si>
    <t>1432-1254</t>
  </si>
  <si>
    <t>0020-7128</t>
  </si>
  <si>
    <t>https://link.springer.com/journal/484</t>
  </si>
  <si>
    <t>International Journal of Bullying Prevention</t>
  </si>
  <si>
    <t>2523-3661</t>
  </si>
  <si>
    <t>2523-3653</t>
  </si>
  <si>
    <t>https://link.springer.com/journal/42380</t>
  </si>
  <si>
    <t>International Journal of Civil Engineering</t>
  </si>
  <si>
    <t>2383-3874</t>
  </si>
  <si>
    <t>1735-0522</t>
  </si>
  <si>
    <t>https://link.springer.com/journal/40999</t>
  </si>
  <si>
    <t>International Journal of Clinical Oncology</t>
  </si>
  <si>
    <t>1437-7772</t>
  </si>
  <si>
    <t>1341-9625</t>
  </si>
  <si>
    <t>https://link.springer.com/journal/10147</t>
  </si>
  <si>
    <t>International Journal of Clinical Pharmacy</t>
  </si>
  <si>
    <t>2210-7711</t>
  </si>
  <si>
    <t>2210-7703</t>
  </si>
  <si>
    <t>https://link.springer.com/journal/11096</t>
  </si>
  <si>
    <t>International Journal of Cognitive Therapy</t>
  </si>
  <si>
    <t>1937-1217</t>
  </si>
  <si>
    <t>https://link.springer.com/journal/41811</t>
  </si>
  <si>
    <t>International Journal of Colorectal Disease</t>
  </si>
  <si>
    <t>1432-1262</t>
  </si>
  <si>
    <t>https://link.springer.com/journal/384</t>
  </si>
  <si>
    <t>International Journal of Community Well-Being</t>
  </si>
  <si>
    <t>2524-5309</t>
  </si>
  <si>
    <t>2524-5295</t>
  </si>
  <si>
    <t>https://link.springer.com/journal/42413</t>
  </si>
  <si>
    <t>International Journal of Computer Assisted Radiology and Surgery</t>
  </si>
  <si>
    <t>1861-6429</t>
  </si>
  <si>
    <t>https://link.springer.com/journal/11548</t>
  </si>
  <si>
    <t>International Journal of Computer Vision</t>
  </si>
  <si>
    <t>1573-1405</t>
  </si>
  <si>
    <t>0920-5691</t>
  </si>
  <si>
    <t>https://link.springer.com/journal/11263</t>
  </si>
  <si>
    <t>International Journal of Computer-Supported Collaborative Learning</t>
  </si>
  <si>
    <t>1556-1615</t>
  </si>
  <si>
    <t>1556-1607</t>
  </si>
  <si>
    <t>https://link.springer.com/journal/11412</t>
  </si>
  <si>
    <t>International Journal of Control, Automation and Systems</t>
  </si>
  <si>
    <t>2005-4092</t>
  </si>
  <si>
    <t>1598-6446</t>
  </si>
  <si>
    <t>https://link.springer.com/journal/12555</t>
  </si>
  <si>
    <t>Institute of Control, Robotics and Systems and The Korean Institute of Electrical Engineers, co-published with Springer</t>
  </si>
  <si>
    <t>International Journal of Data Science and Analytics</t>
  </si>
  <si>
    <t>2364-4168</t>
  </si>
  <si>
    <t>2364-415X</t>
  </si>
  <si>
    <t>https://link.springer.com/journal/41060</t>
  </si>
  <si>
    <t>International Journal of Diabetes in Developing Countries</t>
  </si>
  <si>
    <t>1998-3832</t>
  </si>
  <si>
    <t>0973-3930</t>
  </si>
  <si>
    <t>https://link.springer.com/journal/13410</t>
  </si>
  <si>
    <t>International Journal of Digital Humanities</t>
  </si>
  <si>
    <t>2524-7840</t>
  </si>
  <si>
    <t>https://link.springer.com/journal/42803</t>
  </si>
  <si>
    <t>International Journal of Dynamics and Control</t>
  </si>
  <si>
    <t>2195-2698</t>
  </si>
  <si>
    <t>2195-268X</t>
  </si>
  <si>
    <t>https://link.springer.com/journal/40435</t>
  </si>
  <si>
    <t>International Journal of Early Childhood</t>
  </si>
  <si>
    <t>1878-4658</t>
  </si>
  <si>
    <t>0020-7187</t>
  </si>
  <si>
    <t>https://link.springer.com/journal/13158</t>
  </si>
  <si>
    <t>International Journal of Earth Sciences</t>
  </si>
  <si>
    <t>1437-3262</t>
  </si>
  <si>
    <t>https://link.springer.com/journal/531</t>
  </si>
  <si>
    <t>International Journal of Economic Policy Studies</t>
  </si>
  <si>
    <t>1881-4387</t>
  </si>
  <si>
    <t>2524-4892</t>
  </si>
  <si>
    <t>https://link.springer.com/journal/42495</t>
  </si>
  <si>
    <t>International Journal of Energy and Environmental Engineering</t>
  </si>
  <si>
    <t>2251-6832</t>
  </si>
  <si>
    <t>https://link.springer.com/journal/40095</t>
  </si>
  <si>
    <t>International Journal of Energy and Water Resources</t>
  </si>
  <si>
    <t>2522-0101</t>
  </si>
  <si>
    <t>2538-3604</t>
  </si>
  <si>
    <t>https://link.springer.com/journal/42108</t>
  </si>
  <si>
    <t>International Journal of Environmental Research</t>
  </si>
  <si>
    <t>2008-2304</t>
  </si>
  <si>
    <t>1735-6865</t>
  </si>
  <si>
    <t>https://link.springer.com/journal/41742</t>
  </si>
  <si>
    <t>International Journal of Environmental Science and Technology</t>
  </si>
  <si>
    <t>1735-2630</t>
  </si>
  <si>
    <t>1735-1472</t>
  </si>
  <si>
    <t>https://link.springer.com/journal/13762</t>
  </si>
  <si>
    <t>International Journal of Ethics Education</t>
  </si>
  <si>
    <t>2364-0006</t>
  </si>
  <si>
    <t>2363-9997</t>
  </si>
  <si>
    <t>https://link.springer.com/journal/40889</t>
  </si>
  <si>
    <t>International Journal of Fracture</t>
  </si>
  <si>
    <t>1573-2673</t>
  </si>
  <si>
    <t>0376-9429</t>
  </si>
  <si>
    <t>https://link.springer.com/journal/10704</t>
  </si>
  <si>
    <t>International Journal of Fuzzy Systems</t>
  </si>
  <si>
    <t>2199-3211</t>
  </si>
  <si>
    <t>1562-2479</t>
  </si>
  <si>
    <t>https://link.springer.com/journal/40815</t>
  </si>
  <si>
    <t>International Journal of Game Theory</t>
  </si>
  <si>
    <t>1432-1270</t>
  </si>
  <si>
    <t>0020-7276</t>
  </si>
  <si>
    <t>https://link.springer.com/journal/182</t>
  </si>
  <si>
    <t>International Journal of Geosynthetics and Ground Engineering</t>
  </si>
  <si>
    <t>2199-9279</t>
  </si>
  <si>
    <t>2199-9260</t>
  </si>
  <si>
    <t>https://link.springer.com/journal/40891</t>
  </si>
  <si>
    <t>International Journal of Global Business and Competitiveness</t>
  </si>
  <si>
    <t>0976-1888</t>
  </si>
  <si>
    <t>https://link.springer.com/journal/42943</t>
  </si>
  <si>
    <t>International Journal of Health Economics and Management</t>
  </si>
  <si>
    <t>2199-9031</t>
  </si>
  <si>
    <t>2199-9023</t>
  </si>
  <si>
    <t>https://link.springer.com/journal/10754</t>
  </si>
  <si>
    <t>International Journal of Hematology</t>
  </si>
  <si>
    <t>1865-3774</t>
  </si>
  <si>
    <t>0925-5710</t>
  </si>
  <si>
    <t>https://link.springer.com/journal/12185</t>
  </si>
  <si>
    <t>International Journal of Hindu Studies</t>
  </si>
  <si>
    <t>1574-9282</t>
  </si>
  <si>
    <t>1022-4556</t>
  </si>
  <si>
    <t>https://link.springer.com/journal/11407</t>
  </si>
  <si>
    <t>Religion and Philosophy</t>
  </si>
  <si>
    <t>International Journal of Historical Archaeology</t>
  </si>
  <si>
    <t>1573-7748</t>
  </si>
  <si>
    <t>1092-7697</t>
  </si>
  <si>
    <t>https://link.springer.com/journal/10761</t>
  </si>
  <si>
    <t>International Journal of Information Security</t>
  </si>
  <si>
    <t>1615-5270</t>
  </si>
  <si>
    <t>1615-5262</t>
  </si>
  <si>
    <t>https://link.springer.com/journal/10207</t>
  </si>
  <si>
    <t>International Journal of Information Technology</t>
  </si>
  <si>
    <t>2511-2112</t>
  </si>
  <si>
    <t>2511-2104</t>
  </si>
  <si>
    <t>https://link.springer.com/journal/41870</t>
  </si>
  <si>
    <t>International Journal of Intelligent Robotics and Applications</t>
  </si>
  <si>
    <t>2366-598X</t>
  </si>
  <si>
    <t>2366-5971</t>
  </si>
  <si>
    <t>https://link.springer.com/journal/41315</t>
  </si>
  <si>
    <t>International Journal of Intelligent Transportation Systems Research</t>
  </si>
  <si>
    <t>1868-8659</t>
  </si>
  <si>
    <t>1348-8503</t>
  </si>
  <si>
    <t>https://link.springer.com/journal/13177</t>
  </si>
  <si>
    <t>International Journal of Latin American Religions</t>
  </si>
  <si>
    <t>2509-9965</t>
  </si>
  <si>
    <t>2509-9957</t>
  </si>
  <si>
    <t>https://link.springer.com/journal/41603</t>
  </si>
  <si>
    <t>International Journal of Legal Medicine</t>
  </si>
  <si>
    <t>1437-1596</t>
  </si>
  <si>
    <t>0937-9827</t>
  </si>
  <si>
    <t>https://link.springer.com/journal/414</t>
  </si>
  <si>
    <t>International Journal of Machine Learning and Cybernetics</t>
  </si>
  <si>
    <t>1868-808X</t>
  </si>
  <si>
    <t>1868-8071</t>
  </si>
  <si>
    <t>https://link.springer.com/journal/13042</t>
  </si>
  <si>
    <t>International Journal of Material Forming</t>
  </si>
  <si>
    <t>1960-6214</t>
  </si>
  <si>
    <t>1960-6206</t>
  </si>
  <si>
    <t>https://link.springer.com/journal/12289</t>
  </si>
  <si>
    <t>International Journal of Mechanics and Materials in Design</t>
  </si>
  <si>
    <t>1573-8841</t>
  </si>
  <si>
    <t>1569-1713</t>
  </si>
  <si>
    <t>https://link.springer.com/journal/10999</t>
  </si>
  <si>
    <t>International Journal of Mental Health and Addiction</t>
  </si>
  <si>
    <t>1557-1882</t>
  </si>
  <si>
    <t>1557-1874</t>
  </si>
  <si>
    <t>https://link.springer.com/journal/11469</t>
  </si>
  <si>
    <t>International Journal of Metalcasting</t>
  </si>
  <si>
    <t>2163-3193</t>
  </si>
  <si>
    <t>1939-5981</t>
  </si>
  <si>
    <t>https://link.springer.com/journal/40962</t>
  </si>
  <si>
    <t>International Journal of Minerals, Metallurgy and Materials</t>
  </si>
  <si>
    <t>1869-103X</t>
  </si>
  <si>
    <t>1674-4799</t>
  </si>
  <si>
    <t>https://link.springer.com/journal/12613</t>
  </si>
  <si>
    <t>University of Science and Technology Beijing, co-published with Springer</t>
  </si>
  <si>
    <t>International Journal of Multimedia Information Retrieval</t>
  </si>
  <si>
    <t>2192-662X</t>
  </si>
  <si>
    <t>2192-6611</t>
  </si>
  <si>
    <t>https://link.springer.com/journal/13735</t>
  </si>
  <si>
    <t>International Journal of Parallel Programming</t>
  </si>
  <si>
    <t>1573-7640</t>
  </si>
  <si>
    <t>0885-7458</t>
  </si>
  <si>
    <t>https://link.springer.com/journal/10766</t>
  </si>
  <si>
    <t>International Journal of Pavement Research and Technology</t>
  </si>
  <si>
    <t>1997-1400</t>
  </si>
  <si>
    <t>1996-6814</t>
  </si>
  <si>
    <t>https://link.springer.com/journal/42947</t>
  </si>
  <si>
    <t>International Journal of Peptide Research and Therapeutics</t>
  </si>
  <si>
    <t>1573-3904</t>
  </si>
  <si>
    <t>https://link.springer.com/journal/10989</t>
  </si>
  <si>
    <t>International Journal of Plant Production</t>
  </si>
  <si>
    <t>1735-8043</t>
  </si>
  <si>
    <t>1735-6814</t>
  </si>
  <si>
    <t>https://link.springer.com/journal/42106</t>
  </si>
  <si>
    <t>International Journal of Politics, Culture, and Society</t>
  </si>
  <si>
    <t>1573-3416</t>
  </si>
  <si>
    <t>0891-4486</t>
  </si>
  <si>
    <t>https://link.springer.com/journal/10767</t>
  </si>
  <si>
    <t>International Journal of Precision Engineering and Manufacturing</t>
  </si>
  <si>
    <t>2005-4602</t>
  </si>
  <si>
    <t>2234-7593</t>
  </si>
  <si>
    <t>https://link.springer.com/journal/12541</t>
  </si>
  <si>
    <t>Korean Society for Precision Engineering, co-published with Springer</t>
  </si>
  <si>
    <t>International Journal of Precision Engineering and Manufacturing-Green Technology</t>
  </si>
  <si>
    <t>2198-0810</t>
  </si>
  <si>
    <t>2288-6206</t>
  </si>
  <si>
    <t>https://link.springer.com/journal/40684</t>
  </si>
  <si>
    <t>International Journal of Primatology</t>
  </si>
  <si>
    <t>1573-8604</t>
  </si>
  <si>
    <t>0164-0291</t>
  </si>
  <si>
    <t>https://link.springer.com/journal/10764</t>
  </si>
  <si>
    <t>International Journal of Research in Undergraduate Mathematics Education</t>
  </si>
  <si>
    <t>2198-9753</t>
  </si>
  <si>
    <t>2198-9745</t>
  </si>
  <si>
    <t>https://link.springer.com/journal/40753</t>
  </si>
  <si>
    <t>International Journal of Science and Mathematics Education</t>
  </si>
  <si>
    <t>1573-1774</t>
  </si>
  <si>
    <t>1571-0068</t>
  </si>
  <si>
    <t>https://link.springer.com/journal/10763</t>
  </si>
  <si>
    <t>International Journal of Self-Propagating High-Temperature Synthesis</t>
  </si>
  <si>
    <t>1934-788X</t>
  </si>
  <si>
    <t>1061-3862</t>
  </si>
  <si>
    <t>https://link.springer.com/journal/12003</t>
  </si>
  <si>
    <t>International Journal of Social Robotics</t>
  </si>
  <si>
    <t>1875-4805</t>
  </si>
  <si>
    <t>1875-4791</t>
  </si>
  <si>
    <t>https://link.springer.com/journal/12369</t>
  </si>
  <si>
    <t>International Journal of Speech Technology</t>
  </si>
  <si>
    <t>1572-8110</t>
  </si>
  <si>
    <t>1381-2416</t>
  </si>
  <si>
    <t>https://link.springer.com/journal/10772</t>
  </si>
  <si>
    <t>International Journal of Steel Structures</t>
  </si>
  <si>
    <t>2093-6311</t>
  </si>
  <si>
    <t>1598-2351</t>
  </si>
  <si>
    <t>https://link.springer.com/journal/13296</t>
  </si>
  <si>
    <t>Korean Society of Steel Construction, co-published with Springer</t>
  </si>
  <si>
    <t>International Journal of System Assurance Engineering and Management</t>
  </si>
  <si>
    <t>0976-4348</t>
  </si>
  <si>
    <t>0975-6809</t>
  </si>
  <si>
    <t>https://link.springer.com/journal/13198</t>
  </si>
  <si>
    <t>International Journal of Technology and Design Education</t>
  </si>
  <si>
    <t>1573-1804</t>
  </si>
  <si>
    <t>0957-7572</t>
  </si>
  <si>
    <t>https://link.springer.com/journal/10798</t>
  </si>
  <si>
    <t>International Journal of the Classical Tradition</t>
  </si>
  <si>
    <t>1874-6292</t>
  </si>
  <si>
    <t>1073-0508</t>
  </si>
  <si>
    <t>https://link.springer.com/journal/12138</t>
  </si>
  <si>
    <t>International Journal of the Sociology of Leisure</t>
  </si>
  <si>
    <t>2520-8691</t>
  </si>
  <si>
    <t>2520-8683</t>
  </si>
  <si>
    <t>https://link.springer.com/journal/41978</t>
  </si>
  <si>
    <t>International Journal of Theoretical Physics</t>
  </si>
  <si>
    <t>1572-9575</t>
  </si>
  <si>
    <t>https://link.springer.com/journal/10773</t>
  </si>
  <si>
    <t>International Journal of Thermophysics</t>
  </si>
  <si>
    <t>1572-9567</t>
  </si>
  <si>
    <t>0195-928X</t>
  </si>
  <si>
    <t>https://link.springer.com/journal/10765</t>
  </si>
  <si>
    <t>International Journal of Tropical Insect Science</t>
  </si>
  <si>
    <t>1742-7592</t>
  </si>
  <si>
    <t>https://link.springer.com/journal/42690</t>
  </si>
  <si>
    <t>International Journal of Wireless Information Networks</t>
  </si>
  <si>
    <t>1572-8129</t>
  </si>
  <si>
    <t>1068-9605</t>
  </si>
  <si>
    <t>https://link.springer.com/journal/10776</t>
  </si>
  <si>
    <t>International Journal on Digital Libraries</t>
  </si>
  <si>
    <t>1432-1300</t>
  </si>
  <si>
    <t>1432-5012</t>
  </si>
  <si>
    <t>https://link.springer.com/journal/799</t>
  </si>
  <si>
    <t>International Journal on Document Analysis and Recognition (IJDAR)</t>
  </si>
  <si>
    <t>1433-2825</t>
  </si>
  <si>
    <t>1433-2833</t>
  </si>
  <si>
    <t>https://link.springer.com/journal/10032</t>
  </si>
  <si>
    <t>International Journal on Interactive Design and Manufacturing (IJIDeM)</t>
  </si>
  <si>
    <t>1955-2505</t>
  </si>
  <si>
    <t>https://link.springer.com/journal/12008</t>
  </si>
  <si>
    <t>International Journal on Software Tools for Technology Transfer</t>
  </si>
  <si>
    <t>1433-2787</t>
  </si>
  <si>
    <t>1433-2779</t>
  </si>
  <si>
    <t>https://link.springer.com/journal/10009</t>
  </si>
  <si>
    <t>International Microbiology</t>
  </si>
  <si>
    <t>1618-1905</t>
  </si>
  <si>
    <t>https://link.springer.com/journal/10123</t>
  </si>
  <si>
    <t>International Nano Letters</t>
  </si>
  <si>
    <t>2228-5326</t>
  </si>
  <si>
    <t>https://link.springer.com/journal/40089</t>
  </si>
  <si>
    <t>International Ophthalmology</t>
  </si>
  <si>
    <t>1573-2630</t>
  </si>
  <si>
    <t>https://link.springer.com/journal/10792</t>
  </si>
  <si>
    <t>International Orthopaedics</t>
  </si>
  <si>
    <t>1432-5195</t>
  </si>
  <si>
    <t>0341-2695</t>
  </si>
  <si>
    <t>https://link.springer.com/journal/264</t>
  </si>
  <si>
    <t>International Review of Economics</t>
  </si>
  <si>
    <t>1863-4613</t>
  </si>
  <si>
    <t>1865-1704</t>
  </si>
  <si>
    <t>https://link.springer.com/journal/12232</t>
  </si>
  <si>
    <t>International Review of Education</t>
  </si>
  <si>
    <t>1573-0638</t>
  </si>
  <si>
    <t>0020-8566</t>
  </si>
  <si>
    <t>https://link.springer.com/journal/11159</t>
  </si>
  <si>
    <t>International Review on Public and Nonprofit Marketing</t>
  </si>
  <si>
    <t>1865-1992</t>
  </si>
  <si>
    <t>https://link.springer.com/journal/12208</t>
  </si>
  <si>
    <t>International Tax and Public Finance</t>
  </si>
  <si>
    <t>1573-6970</t>
  </si>
  <si>
    <t>0927-5940</t>
  </si>
  <si>
    <t>https://link.springer.com/journal/10797</t>
  </si>
  <si>
    <t>International Urogynecology Journal</t>
  </si>
  <si>
    <t>1433-3023</t>
  </si>
  <si>
    <t>0937-3462</t>
  </si>
  <si>
    <t>https://link.springer.com/journal/192</t>
  </si>
  <si>
    <t>International Urology and Nephrology</t>
  </si>
  <si>
    <t>1573-2584</t>
  </si>
  <si>
    <t>https://link.springer.com/journal/11255</t>
  </si>
  <si>
    <t>Inventiones mathematicae</t>
  </si>
  <si>
    <t>1432-1297</t>
  </si>
  <si>
    <t>0020-9910</t>
  </si>
  <si>
    <t>https://link.springer.com/journal/222</t>
  </si>
  <si>
    <t>Investigational New Drugs</t>
  </si>
  <si>
    <t>1573-0646</t>
  </si>
  <si>
    <t>https://link.springer.com/journal/10637</t>
  </si>
  <si>
    <t>Ionics</t>
  </si>
  <si>
    <t>1862-0760</t>
  </si>
  <si>
    <t>0947-7047</t>
  </si>
  <si>
    <t>https://link.springer.com/journal/11581</t>
  </si>
  <si>
    <t>Iran Journal of Computer Science</t>
  </si>
  <si>
    <t>2520-8446</t>
  </si>
  <si>
    <t>2520-8438</t>
  </si>
  <si>
    <t>https://link.springer.com/journal/42044</t>
  </si>
  <si>
    <t>Iranian Journal of Science</t>
  </si>
  <si>
    <t>2731-8109</t>
  </si>
  <si>
    <t>2731-8095</t>
  </si>
  <si>
    <t>https://link.springer.com/journal/40995</t>
  </si>
  <si>
    <t>Iranian Journal of Science and Technology, Transactions of Civil Engineering</t>
  </si>
  <si>
    <t>2364-1843</t>
  </si>
  <si>
    <t>2228-6160</t>
  </si>
  <si>
    <t>https://link.springer.com/journal/40996</t>
  </si>
  <si>
    <t>Iranian Journal of Science and Technology, Transactions of Electrical Engineering</t>
  </si>
  <si>
    <t>2364-1827</t>
  </si>
  <si>
    <t>2228-6179</t>
  </si>
  <si>
    <t>https://link.springer.com/journal/40998</t>
  </si>
  <si>
    <t>Iranian Journal of Science and Technology, Transactions of Mechanical Engineering</t>
  </si>
  <si>
    <t>2364-1835</t>
  </si>
  <si>
    <t>2228-6187</t>
  </si>
  <si>
    <t>https://link.springer.com/journal/40997</t>
  </si>
  <si>
    <t>Iranian Polymer Journal</t>
  </si>
  <si>
    <t>1735-5265</t>
  </si>
  <si>
    <t>1026-1265</t>
  </si>
  <si>
    <t>https://link.springer.com/journal/13726</t>
  </si>
  <si>
    <t>Irish Journal of Medical Science (1971 -)</t>
  </si>
  <si>
    <t>1863-4362</t>
  </si>
  <si>
    <t>0021-1265</t>
  </si>
  <si>
    <t>https://link.springer.com/journal/11845</t>
  </si>
  <si>
    <t>Irrigation Science</t>
  </si>
  <si>
    <t>1432-1319</t>
  </si>
  <si>
    <t>0342-7188</t>
  </si>
  <si>
    <t>https://link.springer.com/journal/271</t>
  </si>
  <si>
    <t>Israel Journal of Mathematics</t>
  </si>
  <si>
    <t>1565-8511</t>
  </si>
  <si>
    <t>0021-2172</t>
  </si>
  <si>
    <t>https://link.springer.com/journal/11856</t>
  </si>
  <si>
    <t>Hebrew University Magnes Press</t>
  </si>
  <si>
    <t>ISSS Journal of Micro and Smart Systems</t>
  </si>
  <si>
    <t>2509-7997</t>
  </si>
  <si>
    <t>2509-7989</t>
  </si>
  <si>
    <t>https://link.springer.com/journal/41683</t>
  </si>
  <si>
    <t>IST International Surface Technology</t>
  </si>
  <si>
    <t>2192-8703</t>
  </si>
  <si>
    <t>1865-4827</t>
  </si>
  <si>
    <t>https://link.springer.com/journal/35724</t>
  </si>
  <si>
    <t>Italian Economic Journal</t>
  </si>
  <si>
    <t>2199-3238</t>
  </si>
  <si>
    <t>2199-322X</t>
  </si>
  <si>
    <t>https://link.springer.com/journal/40797</t>
  </si>
  <si>
    <t>Italian Journal of Marketing</t>
  </si>
  <si>
    <t>2662-3331</t>
  </si>
  <si>
    <t>2662-3323</t>
  </si>
  <si>
    <t>https://link.springer.com/journal/43039</t>
  </si>
  <si>
    <t>Izvestiya, Atmospheric and Oceanic Physics</t>
  </si>
  <si>
    <t>1555-628X</t>
  </si>
  <si>
    <t>0001-4338</t>
  </si>
  <si>
    <t>https://link.springer.com/journal/11485</t>
  </si>
  <si>
    <t>Izvestiya, Physics of the Solid Earth</t>
  </si>
  <si>
    <t>1555-6506</t>
  </si>
  <si>
    <t>1069-3513</t>
  </si>
  <si>
    <t>https://link.springer.com/journal/11486</t>
  </si>
  <si>
    <t>Jahresbericht der Deutschen Mathematiker-Vereinigung</t>
  </si>
  <si>
    <t>1869-7135</t>
  </si>
  <si>
    <t>0012-0456</t>
  </si>
  <si>
    <t>https://link.springer.com/journal/13291</t>
  </si>
  <si>
    <t>Japan Journal of Industrial and Applied Mathematics</t>
  </si>
  <si>
    <t>1868-937X</t>
  </si>
  <si>
    <t>0916-7005</t>
  </si>
  <si>
    <t>https://link.springer.com/journal/13160</t>
  </si>
  <si>
    <t>Japanese Journal of Ophthalmology</t>
  </si>
  <si>
    <t>1613-2246</t>
  </si>
  <si>
    <t>0021-5155</t>
  </si>
  <si>
    <t>https://link.springer.com/journal/10384</t>
  </si>
  <si>
    <t>Japanese Journal of Radiology</t>
  </si>
  <si>
    <t>1867-108X</t>
  </si>
  <si>
    <t>1867-1071</t>
  </si>
  <si>
    <t>https://link.springer.com/journal/11604</t>
  </si>
  <si>
    <t>Japanese Journal of Statistics and Data Science</t>
  </si>
  <si>
    <t>2520-8764</t>
  </si>
  <si>
    <t>2520-8756</t>
  </si>
  <si>
    <t>https://link.springer.com/journal/42081</t>
  </si>
  <si>
    <t>JBIC Journal of Biological Inorganic Chemistry</t>
  </si>
  <si>
    <t>1432-1327</t>
  </si>
  <si>
    <t>https://link.springer.com/journal/775</t>
  </si>
  <si>
    <t>JETP Letters</t>
  </si>
  <si>
    <t>1090-6487</t>
  </si>
  <si>
    <t>0021-3640</t>
  </si>
  <si>
    <t>https://link.springer.com/journal/11448</t>
  </si>
  <si>
    <t>Jewish History</t>
  </si>
  <si>
    <t>1572-8579</t>
  </si>
  <si>
    <t>0334-701X</t>
  </si>
  <si>
    <t>https://link.springer.com/journal/10835</t>
  </si>
  <si>
    <t>History</t>
  </si>
  <si>
    <t>Jindal Global Law Review</t>
  </si>
  <si>
    <t>2364-4869</t>
  </si>
  <si>
    <t>0975-2498</t>
  </si>
  <si>
    <t>https://link.springer.com/journal/41020</t>
  </si>
  <si>
    <t>JMST Advances</t>
  </si>
  <si>
    <t>2524-7913</t>
  </si>
  <si>
    <t>2524-7905</t>
  </si>
  <si>
    <t>https://link.springer.com/journal/42791</t>
  </si>
  <si>
    <t>Korean Society of Mechanical Engineers, co-published with Springer</t>
  </si>
  <si>
    <t>JOM</t>
  </si>
  <si>
    <t>1543-1851</t>
  </si>
  <si>
    <t>1047-4838</t>
  </si>
  <si>
    <t>https://link.springer.com/journal/11837</t>
  </si>
  <si>
    <t>JOT Journal für Oberflächentechnik</t>
  </si>
  <si>
    <t>2192-869X</t>
  </si>
  <si>
    <t>0940-8789</t>
  </si>
  <si>
    <t>https://link.springer.com/journal/35144</t>
  </si>
  <si>
    <t>Journal d'Analyse Mathématique</t>
  </si>
  <si>
    <t>1565-8538</t>
  </si>
  <si>
    <t>0021-7670</t>
  </si>
  <si>
    <t>https://link.springer.com/journal/11854</t>
  </si>
  <si>
    <t>Journal for General Philosophy of Science</t>
  </si>
  <si>
    <t>1572-8587</t>
  </si>
  <si>
    <t>0925-4560</t>
  </si>
  <si>
    <t>https://link.springer.com/journal/10838</t>
  </si>
  <si>
    <t>Journal for STEM Education Research</t>
  </si>
  <si>
    <t>2520-8713</t>
  </si>
  <si>
    <t>2520-8705</t>
  </si>
  <si>
    <t>https://link.springer.com/journal/41979</t>
  </si>
  <si>
    <t>Journal für Gastroenterologische und Hepatologische Erkrankungen</t>
  </si>
  <si>
    <t>1728-6271</t>
  </si>
  <si>
    <t>1728-6263</t>
  </si>
  <si>
    <t>https://link.springer.com/journal/41971</t>
  </si>
  <si>
    <t>Journal für Gynäkologische Endokrinologie/Österreich</t>
  </si>
  <si>
    <t>1996-1553</t>
  </si>
  <si>
    <t>1997-6690</t>
  </si>
  <si>
    <t>https://link.springer.com/journal/41974</t>
  </si>
  <si>
    <t>Journal für Gynäkologische Endokrinologie/Schweiz</t>
  </si>
  <si>
    <t>2520-8500</t>
  </si>
  <si>
    <t>1995-6924</t>
  </si>
  <si>
    <t>https://link.springer.com/journal/41975</t>
  </si>
  <si>
    <t>Journal für Klinische Endokrinologie und Stoffwechsel</t>
  </si>
  <si>
    <t>1998-7781</t>
  </si>
  <si>
    <t>1998-7773</t>
  </si>
  <si>
    <t>https://link.springer.com/journal/41969</t>
  </si>
  <si>
    <t>Journal für Mathematik-Didaktik</t>
  </si>
  <si>
    <t>1869-2699</t>
  </si>
  <si>
    <t>0173-5322</t>
  </si>
  <si>
    <t>https://link.springer.com/journal/13138</t>
  </si>
  <si>
    <t>Journal für Mineralstoffwechsel &amp; Muskuloskelettale Erkrankungen</t>
  </si>
  <si>
    <t>2412-8287</t>
  </si>
  <si>
    <t>2412-8260</t>
  </si>
  <si>
    <t>https://link.springer.com/journal/41970</t>
  </si>
  <si>
    <t>Journal für Urologie und Urogynäkologie/Österreich</t>
  </si>
  <si>
    <t>1680-9424</t>
  </si>
  <si>
    <t>1023-6090</t>
  </si>
  <si>
    <t>https://link.springer.com/journal/41972</t>
  </si>
  <si>
    <t>Journal of Academic Ethics</t>
  </si>
  <si>
    <t>1572-8544</t>
  </si>
  <si>
    <t>1570-1727</t>
  </si>
  <si>
    <t>https://link.springer.com/journal/10805</t>
  </si>
  <si>
    <t>Journal of Acupuncture and Tuina Science</t>
  </si>
  <si>
    <t>1993-0399</t>
  </si>
  <si>
    <t>1672-3597</t>
  </si>
  <si>
    <t>https://link.springer.com/journal/11726</t>
  </si>
  <si>
    <t>Journal of Adult Development</t>
  </si>
  <si>
    <t>1573-3440</t>
  </si>
  <si>
    <t>1068-0667</t>
  </si>
  <si>
    <t>https://link.springer.com/journal/10804</t>
  </si>
  <si>
    <t>Journal of African American Studies</t>
  </si>
  <si>
    <t>1936-4741</t>
  </si>
  <si>
    <t>1559-1646</t>
  </si>
  <si>
    <t>https://link.springer.com/journal/12111</t>
  </si>
  <si>
    <t>Journal of Agricultural and Environmental Ethics</t>
  </si>
  <si>
    <t>1573-322X</t>
  </si>
  <si>
    <t>1187-7863</t>
  </si>
  <si>
    <t>https://link.springer.com/journal/10806</t>
  </si>
  <si>
    <t>Journal of Agricultural, Biological and Environmental Statistics</t>
  </si>
  <si>
    <t>1537-2693</t>
  </si>
  <si>
    <t>1085-7117</t>
  </si>
  <si>
    <t>https://link.springer.com/journal/13253</t>
  </si>
  <si>
    <t>Journal of Algebraic Combinatorics</t>
  </si>
  <si>
    <t>1572-9192</t>
  </si>
  <si>
    <t>0925-9899</t>
  </si>
  <si>
    <t>https://link.springer.com/journal/10801</t>
  </si>
  <si>
    <t>Journal of Ambient Intelligence and Humanized Computing</t>
  </si>
  <si>
    <t>1868-5145</t>
  </si>
  <si>
    <t>1868-5137</t>
  </si>
  <si>
    <t>https://link.springer.com/journal/12652</t>
  </si>
  <si>
    <t>Journal of Analysis and Testing</t>
  </si>
  <si>
    <t>2509-4696</t>
  </si>
  <si>
    <t>2096-241X</t>
  </si>
  <si>
    <t>https://link.springer.com/journal/41664</t>
  </si>
  <si>
    <t>Nonferrous Metals Society of China, co-published with Springer</t>
  </si>
  <si>
    <t>Journal of Analytical Chemistry</t>
  </si>
  <si>
    <t>1608-3199</t>
  </si>
  <si>
    <t>1061-9348</t>
  </si>
  <si>
    <t>https://link.springer.com/journal/10809</t>
  </si>
  <si>
    <t>Journal of Anesthesia</t>
  </si>
  <si>
    <t>1438-8359</t>
  </si>
  <si>
    <t>0913-8668</t>
  </si>
  <si>
    <t>https://link.springer.com/journal/540</t>
  </si>
  <si>
    <t>Journal of Applied and Computational Topology</t>
  </si>
  <si>
    <t>2367-1734</t>
  </si>
  <si>
    <t>2367-1726</t>
  </si>
  <si>
    <t>https://link.springer.com/journal/41468</t>
  </si>
  <si>
    <t>Journal of Applied and Industrial Mathematics</t>
  </si>
  <si>
    <t>1990-4797</t>
  </si>
  <si>
    <t>1990-4789</t>
  </si>
  <si>
    <t>https://link.springer.com/journal/11754</t>
  </si>
  <si>
    <t>Journal of Applied Electrochemistry</t>
  </si>
  <si>
    <t>1572-8838</t>
  </si>
  <si>
    <t>0021-891X</t>
  </si>
  <si>
    <t>https://link.springer.com/journal/10800</t>
  </si>
  <si>
    <t>Journal of Applied Genetics</t>
  </si>
  <si>
    <t>2190-3883</t>
  </si>
  <si>
    <t>1234-1983</t>
  </si>
  <si>
    <t>https://link.springer.com/journal/13353</t>
  </si>
  <si>
    <t>Journal of Applied Mathematics and Computing</t>
  </si>
  <si>
    <t>1865-2085</t>
  </si>
  <si>
    <t>1598-5865</t>
  </si>
  <si>
    <t>https://link.springer.com/journal/12190</t>
  </si>
  <si>
    <t>Journal of Applied Mechanics and Technical Physics</t>
  </si>
  <si>
    <t>1573-8620</t>
  </si>
  <si>
    <t>0021-8944</t>
  </si>
  <si>
    <t>https://link.springer.com/journal/10808</t>
  </si>
  <si>
    <t>Journal of Applied Phycology</t>
  </si>
  <si>
    <t>1573-5176</t>
  </si>
  <si>
    <t>0921-8971</t>
  </si>
  <si>
    <t>https://link.springer.com/journal/10811</t>
  </si>
  <si>
    <t>Journal of Applied Spectroscopy</t>
  </si>
  <si>
    <t>1573-8647</t>
  </si>
  <si>
    <t>0021-9037</t>
  </si>
  <si>
    <t>https://link.springer.com/journal/10812</t>
  </si>
  <si>
    <t>Journal of Applied Youth Studies</t>
  </si>
  <si>
    <t>2204-9207</t>
  </si>
  <si>
    <t>2204-9193</t>
  </si>
  <si>
    <t>https://link.springer.com/journal/43151</t>
  </si>
  <si>
    <t>Journal of Archaeological Method and Theory</t>
  </si>
  <si>
    <t>1573-7764</t>
  </si>
  <si>
    <t>1072-5369</t>
  </si>
  <si>
    <t>https://link.springer.com/journal/10816</t>
  </si>
  <si>
    <t>Journal of Archaeological Research</t>
  </si>
  <si>
    <t>1573-7756</t>
  </si>
  <si>
    <t>1059-0161</t>
  </si>
  <si>
    <t>https://link.springer.com/journal/10814</t>
  </si>
  <si>
    <t>Journal of Arid Land</t>
  </si>
  <si>
    <t>2194-7783</t>
  </si>
  <si>
    <t>1674-6767</t>
  </si>
  <si>
    <t>https://link.springer.com/journal/40333</t>
  </si>
  <si>
    <t>Journal of Artificial Organs</t>
  </si>
  <si>
    <t>1619-0904</t>
  </si>
  <si>
    <t>1434-7229</t>
  </si>
  <si>
    <t>https://link.springer.com/journal/10047</t>
  </si>
  <si>
    <t>Journal of Assisted Reproduction and Genetics</t>
  </si>
  <si>
    <t>1573-7330</t>
  </si>
  <si>
    <t>1058-0468</t>
  </si>
  <si>
    <t>https://link.springer.com/journal/10815</t>
  </si>
  <si>
    <t>Journal of Astrophysics and Astronomy</t>
  </si>
  <si>
    <t>0973-7758</t>
  </si>
  <si>
    <t>https://link.springer.com/journal/12036</t>
  </si>
  <si>
    <t>Journal of Atmospheric Chemistry</t>
  </si>
  <si>
    <t>1573-0662</t>
  </si>
  <si>
    <t>0167-7764</t>
  </si>
  <si>
    <t>https://link.springer.com/journal/10874</t>
  </si>
  <si>
    <t>Journal of Autism and Developmental Disorders</t>
  </si>
  <si>
    <t>1573-3432</t>
  </si>
  <si>
    <t>0162-3257</t>
  </si>
  <si>
    <t>https://link.springer.com/journal/10803</t>
  </si>
  <si>
    <t>Journal of Automated Reasoning</t>
  </si>
  <si>
    <t>1573-0670</t>
  </si>
  <si>
    <t>0168-7433</t>
  </si>
  <si>
    <t>https://link.springer.com/journal/10817</t>
  </si>
  <si>
    <t>Journal of Banking and Financial Technology</t>
  </si>
  <si>
    <t>2524-7964</t>
  </si>
  <si>
    <t>2524-7956</t>
  </si>
  <si>
    <t>https://link.springer.com/journal/42786</t>
  </si>
  <si>
    <t>Journal of Behavioral Education</t>
  </si>
  <si>
    <t>1573-3513</t>
  </si>
  <si>
    <t>1053-0819</t>
  </si>
  <si>
    <t>https://link.springer.com/journal/10864</t>
  </si>
  <si>
    <t>Journal of Behavioral Medicine</t>
  </si>
  <si>
    <t>1573-3521</t>
  </si>
  <si>
    <t>0160-7715</t>
  </si>
  <si>
    <t>https://link.springer.com/journal/10865</t>
  </si>
  <si>
    <t>Journal of Big Data Analytics in Transportation</t>
  </si>
  <si>
    <t>2523-3564</t>
  </si>
  <si>
    <t>2523-3556</t>
  </si>
  <si>
    <t>https://link.springer.com/journal/42421</t>
  </si>
  <si>
    <t>Journal of Bio- and Tribo-Corrosion</t>
  </si>
  <si>
    <t>2198-4239</t>
  </si>
  <si>
    <t>2198-4220</t>
  </si>
  <si>
    <t>https://link.springer.com/journal/40735</t>
  </si>
  <si>
    <t>Journal of Bioeconomics</t>
  </si>
  <si>
    <t>1573-6989</t>
  </si>
  <si>
    <t>1387-6996</t>
  </si>
  <si>
    <t>https://link.springer.com/journal/10818</t>
  </si>
  <si>
    <t>Journal of Bioenergetics and Biomembranes</t>
  </si>
  <si>
    <t>1573-6881</t>
  </si>
  <si>
    <t>https://link.springer.com/journal/10863</t>
  </si>
  <si>
    <t>Journal of Bioethical Inquiry</t>
  </si>
  <si>
    <t>1872-4353</t>
  </si>
  <si>
    <t>1176-7529</t>
  </si>
  <si>
    <t>https://link.springer.com/journal/11673</t>
  </si>
  <si>
    <t>Journal of Biological Physics</t>
  </si>
  <si>
    <t>1573-0689</t>
  </si>
  <si>
    <t>0092-0606</t>
  </si>
  <si>
    <t>https://link.springer.com/journal/10867</t>
  </si>
  <si>
    <t>Journal of Biomolecular NMR</t>
  </si>
  <si>
    <t>1573-5001</t>
  </si>
  <si>
    <t>0925-2738</t>
  </si>
  <si>
    <t>https://link.springer.com/journal/10858</t>
  </si>
  <si>
    <t>Journal of Bionic Engineering</t>
  </si>
  <si>
    <t>2543-2141</t>
  </si>
  <si>
    <t>1672-6529</t>
  </si>
  <si>
    <t>https://link.springer.com/journal/42235</t>
  </si>
  <si>
    <t>Journal of Biosciences</t>
  </si>
  <si>
    <t>0973-7138</t>
  </si>
  <si>
    <t>https://link.springer.com/journal/12038</t>
  </si>
  <si>
    <t>Journal of Biosystems Engineering</t>
  </si>
  <si>
    <t>2234-1862</t>
  </si>
  <si>
    <t>1738-1266</t>
  </si>
  <si>
    <t>https://link.springer.com/journal/42853</t>
  </si>
  <si>
    <t>Journal of Bone and Mineral Metabolism</t>
  </si>
  <si>
    <t>1435-5604</t>
  </si>
  <si>
    <t>0914-8779</t>
  </si>
  <si>
    <t>https://link.springer.com/journal/774</t>
  </si>
  <si>
    <t>Journal of Building Pathology and Rehabilitation</t>
  </si>
  <si>
    <t>2365-3167</t>
  </si>
  <si>
    <t>2365-3159</t>
  </si>
  <si>
    <t>https://link.springer.com/journal/41024</t>
  </si>
  <si>
    <t>Journal of Business and Psychology</t>
  </si>
  <si>
    <t>1573-353X</t>
  </si>
  <si>
    <t>0889-3268</t>
  </si>
  <si>
    <t>https://link.springer.com/journal/10869</t>
  </si>
  <si>
    <t>Journal of Business Cycle Research</t>
  </si>
  <si>
    <t>2509-7970</t>
  </si>
  <si>
    <t>2509-7962</t>
  </si>
  <si>
    <t>https://link.springer.com/journal/41549</t>
  </si>
  <si>
    <t>Journal of Business Economics</t>
  </si>
  <si>
    <t>1861-8928</t>
  </si>
  <si>
    <t>0044-2372</t>
  </si>
  <si>
    <t>https://link.springer.com/journal/11573</t>
  </si>
  <si>
    <t>Journal of Business Ethics</t>
  </si>
  <si>
    <t>1573-0697</t>
  </si>
  <si>
    <t>0167-4544</t>
  </si>
  <si>
    <t>https://link.springer.com/journal/10551</t>
  </si>
  <si>
    <t>Journal of Cancer Education</t>
  </si>
  <si>
    <t>1543-0154</t>
  </si>
  <si>
    <t>0885-8195</t>
  </si>
  <si>
    <t>https://link.springer.com/journal/13187</t>
  </si>
  <si>
    <t>Journal of Cancer Research and Clinical Oncology</t>
  </si>
  <si>
    <t>1432-1335</t>
  </si>
  <si>
    <t>0171-5216</t>
  </si>
  <si>
    <t>https://link.springer.com/journal/432</t>
  </si>
  <si>
    <t>Journal of Cancer Survivorship</t>
  </si>
  <si>
    <t>1932-2267</t>
  </si>
  <si>
    <t>1932-2259</t>
  </si>
  <si>
    <t>https://link.springer.com/journal/11764</t>
  </si>
  <si>
    <t>Journal of Cardiovascular Translational Research</t>
  </si>
  <si>
    <t>1937-5395</t>
  </si>
  <si>
    <t>https://link.springer.com/journal/12265</t>
  </si>
  <si>
    <t>Journal of Cell Communication and Signaling</t>
  </si>
  <si>
    <t>1873-961X</t>
  </si>
  <si>
    <t>1873-9601</t>
  </si>
  <si>
    <t>https://link.springer.com/journal/12079</t>
  </si>
  <si>
    <t>Journal of Central South University</t>
  </si>
  <si>
    <t>2227-5223</t>
  </si>
  <si>
    <t>2095-2899</t>
  </si>
  <si>
    <t>https://link.springer.com/journal/11771</t>
  </si>
  <si>
    <t>Central South University, co-published with Springer</t>
  </si>
  <si>
    <t>Journal of Chemical Crystallography</t>
  </si>
  <si>
    <t>1572-8854</t>
  </si>
  <si>
    <t>1074-1542</t>
  </si>
  <si>
    <t>https://link.springer.com/journal/10870</t>
  </si>
  <si>
    <t>Journal of Chemical Ecology</t>
  </si>
  <si>
    <t>1573-1561</t>
  </si>
  <si>
    <t>0098-0331</t>
  </si>
  <si>
    <t>https://link.springer.com/journal/10886</t>
  </si>
  <si>
    <t>Journal of Chemical Sciences</t>
  </si>
  <si>
    <t>0973-7103</t>
  </si>
  <si>
    <t>https://link.springer.com/journal/12039</t>
  </si>
  <si>
    <t>Journal of Child &amp; Adolescent Trauma</t>
  </si>
  <si>
    <t>1936-153X</t>
  </si>
  <si>
    <t>1936-1521</t>
  </si>
  <si>
    <t>https://link.springer.com/journal/40653</t>
  </si>
  <si>
    <t>Journal of Child and Family Studies</t>
  </si>
  <si>
    <t>1573-2843</t>
  </si>
  <si>
    <t>1062-1024</t>
  </si>
  <si>
    <t>https://link.springer.com/journal/10826</t>
  </si>
  <si>
    <t>Journal of Chinese Political Science</t>
  </si>
  <si>
    <t>1874-6357</t>
  </si>
  <si>
    <t>1080-6954</t>
  </si>
  <si>
    <t>https://link.springer.com/journal/11366</t>
  </si>
  <si>
    <t>Journal of Civil Structural Health Monitoring</t>
  </si>
  <si>
    <t>2190-5479</t>
  </si>
  <si>
    <t>https://link.springer.com/journal/13349</t>
  </si>
  <si>
    <t>Journal of Classification</t>
  </si>
  <si>
    <t>1432-1343</t>
  </si>
  <si>
    <t>0176-4268</t>
  </si>
  <si>
    <t>https://link.springer.com/journal/357</t>
  </si>
  <si>
    <t>Journal of Clinical Immunology</t>
  </si>
  <si>
    <t>1573-2592</t>
  </si>
  <si>
    <t>0271-9142</t>
  </si>
  <si>
    <t>https://link.springer.com/journal/10875</t>
  </si>
  <si>
    <t>Journal of Clinical Monitoring and Computing</t>
  </si>
  <si>
    <t>1573-2614</t>
  </si>
  <si>
    <t>1387-1307</t>
  </si>
  <si>
    <t>https://link.springer.com/journal/10877</t>
  </si>
  <si>
    <t>Journal of Clinical Psychology in Medical Settings</t>
  </si>
  <si>
    <t>1573-3572</t>
  </si>
  <si>
    <t>1068-9583</t>
  </si>
  <si>
    <t>https://link.springer.com/journal/10880</t>
  </si>
  <si>
    <t>Journal of Cluster Science</t>
  </si>
  <si>
    <t>1572-8862</t>
  </si>
  <si>
    <t>https://link.springer.com/journal/10876</t>
  </si>
  <si>
    <t>Journal of Coastal Conservation</t>
  </si>
  <si>
    <t>1874-7841</t>
  </si>
  <si>
    <t>1400-0350</t>
  </si>
  <si>
    <t>https://link.springer.com/journal/11852</t>
  </si>
  <si>
    <t>Journal of Coatings Technology and Research</t>
  </si>
  <si>
    <t>1935-3804</t>
  </si>
  <si>
    <t>1547-0091</t>
  </si>
  <si>
    <t>https://link.springer.com/journal/11998</t>
  </si>
  <si>
    <t>Journal of Cognitive Enhancement</t>
  </si>
  <si>
    <t>2509-3304</t>
  </si>
  <si>
    <t>2509-3290</t>
  </si>
  <si>
    <t>https://link.springer.com/journal/41465</t>
  </si>
  <si>
    <t>Journal of Combinatorial Optimization</t>
  </si>
  <si>
    <t>1573-2886</t>
  </si>
  <si>
    <t>1382-6905</t>
  </si>
  <si>
    <t>https://link.springer.com/journal/10878</t>
  </si>
  <si>
    <t>Journal of Communications Technology and Electronics</t>
  </si>
  <si>
    <t>1555-6557</t>
  </si>
  <si>
    <t>1064-2269</t>
  </si>
  <si>
    <t>https://link.springer.com/journal/11487</t>
  </si>
  <si>
    <t>Journal of Community Genetics</t>
  </si>
  <si>
    <t>1868-6001</t>
  </si>
  <si>
    <t>https://link.springer.com/journal/12687</t>
  </si>
  <si>
    <t>Journal of Community Health</t>
  </si>
  <si>
    <t>1573-3610</t>
  </si>
  <si>
    <t>0094-5145</t>
  </si>
  <si>
    <t>https://link.springer.com/journal/10900</t>
  </si>
  <si>
    <t>Journal of Comparative Physiology A</t>
  </si>
  <si>
    <t>1432-1351</t>
  </si>
  <si>
    <t>0340-7594</t>
  </si>
  <si>
    <t>https://link.springer.com/journal/359</t>
  </si>
  <si>
    <t>Journal of Comparative Physiology B</t>
  </si>
  <si>
    <t>1432-136X</t>
  </si>
  <si>
    <t>0174-1578</t>
  </si>
  <si>
    <t>https://link.springer.com/journal/360</t>
  </si>
  <si>
    <t>Journal of Computational Electronics</t>
  </si>
  <si>
    <t>1572-8137</t>
  </si>
  <si>
    <t>1569-8025</t>
  </si>
  <si>
    <t>https://link.springer.com/journal/10825</t>
  </si>
  <si>
    <t>Journal of Computational Neuroscience</t>
  </si>
  <si>
    <t>1573-6873</t>
  </si>
  <si>
    <t>0929-5313</t>
  </si>
  <si>
    <t>https://link.springer.com/journal/10827</t>
  </si>
  <si>
    <t>Journal of Computational Social Science</t>
  </si>
  <si>
    <t>2432-2725</t>
  </si>
  <si>
    <t>2432-2717</t>
  </si>
  <si>
    <t>https://link.springer.com/journal/42001</t>
  </si>
  <si>
    <t>Journal of Computer and Systems Sciences International</t>
  </si>
  <si>
    <t>1555-6530</t>
  </si>
  <si>
    <t>1064-2307</t>
  </si>
  <si>
    <t>https://link.springer.com/journal/11488</t>
  </si>
  <si>
    <t>Journal of Computer Science and Technology</t>
  </si>
  <si>
    <t>1860-4749</t>
  </si>
  <si>
    <t>1000-9000</t>
  </si>
  <si>
    <t>https://link.springer.com/journal/11390</t>
  </si>
  <si>
    <t>Journal of Computer Virology and Hacking Techniques</t>
  </si>
  <si>
    <t>2263-8733</t>
  </si>
  <si>
    <t>https://link.springer.com/journal/11416</t>
  </si>
  <si>
    <t>Journal of Computer-Aided Molecular Design</t>
  </si>
  <si>
    <t>1573-4951</t>
  </si>
  <si>
    <t>0920-654X</t>
  </si>
  <si>
    <t>https://link.springer.com/journal/10822</t>
  </si>
  <si>
    <t>Journal of Computers in Education</t>
  </si>
  <si>
    <t>2197-9995</t>
  </si>
  <si>
    <t>2197-9987</t>
  </si>
  <si>
    <t>https://link.springer.com/journal/40692</t>
  </si>
  <si>
    <t>Journal of Computing in Higher Education</t>
  </si>
  <si>
    <t>1867-1233</t>
  </si>
  <si>
    <t>1042-1726</t>
  </si>
  <si>
    <t>https://link.springer.com/journal/12528</t>
  </si>
  <si>
    <t>Journal of Consumer Policy</t>
  </si>
  <si>
    <t>1573-0700</t>
  </si>
  <si>
    <t>0168-7034</t>
  </si>
  <si>
    <t>https://link.springer.com/journal/10603</t>
  </si>
  <si>
    <t>Journal of Consumer Protection and Food Safety</t>
  </si>
  <si>
    <t>1661-5867</t>
  </si>
  <si>
    <t>1661-5751</t>
  </si>
  <si>
    <t>https://link.springer.com/journal/3</t>
  </si>
  <si>
    <t>Journal of Contemporary Mathematical Analysis (Armenian Academy of Sciences)</t>
  </si>
  <si>
    <t>1934-9416</t>
  </si>
  <si>
    <t>1068-3623</t>
  </si>
  <si>
    <t>https://link.springer.com/journal/11957</t>
  </si>
  <si>
    <t>Journal of Contemporary Physics (Armenian Academy of Sciences)</t>
  </si>
  <si>
    <t>1934-9378</t>
  </si>
  <si>
    <t>1068-3372</t>
  </si>
  <si>
    <t>https://link.springer.com/journal/11958</t>
  </si>
  <si>
    <t>Journal of Contemporary Psychotherapy</t>
  </si>
  <si>
    <t>1573-3564</t>
  </si>
  <si>
    <t>0022-0116</t>
  </si>
  <si>
    <t>https://link.springer.com/journal/10879</t>
  </si>
  <si>
    <t>Journal of Control, Automation and Electrical Systems</t>
  </si>
  <si>
    <t>2195-3899</t>
  </si>
  <si>
    <t>2195-3880</t>
  </si>
  <si>
    <t>https://link.springer.com/journal/40313</t>
  </si>
  <si>
    <t>Journal of Crop Science and Biotechnology</t>
  </si>
  <si>
    <t>2005-8276</t>
  </si>
  <si>
    <t>https://link.springer.com/journal/12892</t>
  </si>
  <si>
    <t>Journal of Cross-Cultural Gerontology</t>
  </si>
  <si>
    <t>1573-0719</t>
  </si>
  <si>
    <t>0169-3816</t>
  </si>
  <si>
    <t>https://link.springer.com/journal/10823</t>
  </si>
  <si>
    <t>Journal of Cryptographic Engineering</t>
  </si>
  <si>
    <t>2190-8516</t>
  </si>
  <si>
    <t>2190-8508</t>
  </si>
  <si>
    <t>https://link.springer.com/journal/13389</t>
  </si>
  <si>
    <t>Journal of Cryptology</t>
  </si>
  <si>
    <t>1432-1378</t>
  </si>
  <si>
    <t>0933-2790</t>
  </si>
  <si>
    <t>https://link.springer.com/journal/145</t>
  </si>
  <si>
    <t>Journal of Cultural Cognitive Science</t>
  </si>
  <si>
    <t>2520-1018</t>
  </si>
  <si>
    <t>2520-100X</t>
  </si>
  <si>
    <t>https://link.springer.com/journal/41809</t>
  </si>
  <si>
    <t>Journal of Cultural Economics</t>
  </si>
  <si>
    <t>1573-6997</t>
  </si>
  <si>
    <t>0885-2545</t>
  </si>
  <si>
    <t>https://link.springer.com/journal/10824</t>
  </si>
  <si>
    <t>Journal of Data, Information and Management</t>
  </si>
  <si>
    <t>2524-6364</t>
  </si>
  <si>
    <t>2524-6356</t>
  </si>
  <si>
    <t>https://link.springer.com/journal/42488</t>
  </si>
  <si>
    <t>Journal of Developmental and Life-Course Criminology</t>
  </si>
  <si>
    <t>2199-465X</t>
  </si>
  <si>
    <t>2199-4641</t>
  </si>
  <si>
    <t>https://link.springer.com/journal/40865</t>
  </si>
  <si>
    <t>Journal of Developmental and Physical Disabilities</t>
  </si>
  <si>
    <t>1573-3580</t>
  </si>
  <si>
    <t>1056-263X</t>
  </si>
  <si>
    <t>https://link.springer.com/journal/10882</t>
  </si>
  <si>
    <t>Journal of Dharma Studies</t>
  </si>
  <si>
    <t>2522-0934</t>
  </si>
  <si>
    <t>2522-0926</t>
  </si>
  <si>
    <t>https://link.springer.com/journal/42240</t>
  </si>
  <si>
    <t>Journal of Diabetes &amp; Metabolic Disorders</t>
  </si>
  <si>
    <t>2251-6581</t>
  </si>
  <si>
    <t>https://link.springer.com/journal/40200</t>
  </si>
  <si>
    <t>Journal of Digital Imaging</t>
  </si>
  <si>
    <t>1618-727X</t>
  </si>
  <si>
    <t>https://link.springer.com/journal/10278</t>
  </si>
  <si>
    <t>Journal of Dynamic Behavior of Materials</t>
  </si>
  <si>
    <t>2199-7454</t>
  </si>
  <si>
    <t>2199-7446</t>
  </si>
  <si>
    <t>https://link.springer.com/journal/40870</t>
  </si>
  <si>
    <t>Journal of Dynamical and Control Systems</t>
  </si>
  <si>
    <t>1573-8698</t>
  </si>
  <si>
    <t>1079-2724</t>
  </si>
  <si>
    <t>https://link.springer.com/journal/10883</t>
  </si>
  <si>
    <t>Journal of Dynamics and Differential Equations</t>
  </si>
  <si>
    <t>1572-9222</t>
  </si>
  <si>
    <t>1040-7294</t>
  </si>
  <si>
    <t>https://link.springer.com/journal/10884</t>
  </si>
  <si>
    <t>Journal of Earth Science</t>
  </si>
  <si>
    <t>1867-111X</t>
  </si>
  <si>
    <t>1674-487X</t>
  </si>
  <si>
    <t>https://link.springer.com/journal/12583</t>
  </si>
  <si>
    <t>China University of Geosciences, co-published with Springer</t>
  </si>
  <si>
    <t>Journal of Earth System Science</t>
  </si>
  <si>
    <t>0973-774X</t>
  </si>
  <si>
    <t>https://link.springer.com/journal/12040</t>
  </si>
  <si>
    <t>Journal of East Asian Linguistics</t>
  </si>
  <si>
    <t>1572-8560</t>
  </si>
  <si>
    <t>0925-8558</t>
  </si>
  <si>
    <t>https://link.springer.com/journal/10831</t>
  </si>
  <si>
    <t>Journal of Echocardiography</t>
  </si>
  <si>
    <t>1880-344X</t>
  </si>
  <si>
    <t>1349-0222</t>
  </si>
  <si>
    <t>https://link.springer.com/journal/12574</t>
  </si>
  <si>
    <t>Journal of Economic Growth</t>
  </si>
  <si>
    <t>1573-7020</t>
  </si>
  <si>
    <t>1381-4338</t>
  </si>
  <si>
    <t>https://link.springer.com/journal/10887</t>
  </si>
  <si>
    <t>Journal of Economic Interaction and Coordination</t>
  </si>
  <si>
    <t>1860-7128</t>
  </si>
  <si>
    <t>1860-711X</t>
  </si>
  <si>
    <t>https://link.springer.com/journal/11403</t>
  </si>
  <si>
    <t>Journal of Economics</t>
  </si>
  <si>
    <t>1617-7134</t>
  </si>
  <si>
    <t>0931-8658</t>
  </si>
  <si>
    <t>https://link.springer.com/journal/712</t>
  </si>
  <si>
    <t>Journal of Economics and Finance</t>
  </si>
  <si>
    <t>1938-9744</t>
  </si>
  <si>
    <t>1055-0925</t>
  </si>
  <si>
    <t>https://link.springer.com/journal/12197</t>
  </si>
  <si>
    <t>Journal of Economics, Race, and Policy</t>
  </si>
  <si>
    <t>2520-842X</t>
  </si>
  <si>
    <t>2520-8411</t>
  </si>
  <si>
    <t>https://link.springer.com/journal/41996</t>
  </si>
  <si>
    <t>Journal of Educational Change</t>
  </si>
  <si>
    <t>1573-1812</t>
  </si>
  <si>
    <t>1389-2843</t>
  </si>
  <si>
    <t>https://link.springer.com/journal/10833</t>
  </si>
  <si>
    <t>Journal of Elasticity</t>
  </si>
  <si>
    <t>1573-2681</t>
  </si>
  <si>
    <t>0374-3535</t>
  </si>
  <si>
    <t>https://link.springer.com/journal/10659</t>
  </si>
  <si>
    <t>Journal of Electrical Engineering &amp; Technology</t>
  </si>
  <si>
    <t>2093-7423</t>
  </si>
  <si>
    <t>1975-0102</t>
  </si>
  <si>
    <t>https://link.springer.com/journal/42835</t>
  </si>
  <si>
    <t>Journal of Electroceramics</t>
  </si>
  <si>
    <t>1573-8663</t>
  </si>
  <si>
    <t>1385-3449</t>
  </si>
  <si>
    <t>https://link.springer.com/journal/10832</t>
  </si>
  <si>
    <t>Journal of Electronic Materials</t>
  </si>
  <si>
    <t>1543-186X</t>
  </si>
  <si>
    <t>0361-5235</t>
  </si>
  <si>
    <t>https://link.springer.com/journal/11664</t>
  </si>
  <si>
    <t>Journal of Electronic Testing</t>
  </si>
  <si>
    <t>1573-0727</t>
  </si>
  <si>
    <t>0923-8174</t>
  </si>
  <si>
    <t>https://link.springer.com/journal/10836</t>
  </si>
  <si>
    <t>Journal of Elliptic and Parabolic Equations</t>
  </si>
  <si>
    <t>2296-9039</t>
  </si>
  <si>
    <t>2296-9020</t>
  </si>
  <si>
    <t>https://link.springer.com/journal/41808</t>
  </si>
  <si>
    <t>Journal of Endocrinological Investigation</t>
  </si>
  <si>
    <t>1720-8386</t>
  </si>
  <si>
    <t>https://link.springer.com/journal/40618</t>
  </si>
  <si>
    <t>Journal of Engineering Mathematics</t>
  </si>
  <si>
    <t>1573-2703</t>
  </si>
  <si>
    <t>0022-0833</t>
  </si>
  <si>
    <t>https://link.springer.com/journal/10665</t>
  </si>
  <si>
    <t>Journal of Engineering Physics and Thermophysics</t>
  </si>
  <si>
    <t>1573-871X</t>
  </si>
  <si>
    <t>1062-0125</t>
  </si>
  <si>
    <t>https://link.springer.com/journal/10891</t>
  </si>
  <si>
    <t>Journal of Engineering Thermophysics</t>
  </si>
  <si>
    <t>1990-5432</t>
  </si>
  <si>
    <t>1810-2328</t>
  </si>
  <si>
    <t>https://link.springer.com/journal/11823</t>
  </si>
  <si>
    <t>Journal of Environmental Health Science and Engineering</t>
  </si>
  <si>
    <t>2052-336X</t>
  </si>
  <si>
    <t>https://link.springer.com/journal/40201</t>
  </si>
  <si>
    <t>Journal of Environmental Studies and Sciences</t>
  </si>
  <si>
    <t>2190-6491</t>
  </si>
  <si>
    <t>2190-6483</t>
  </si>
  <si>
    <t>https://link.springer.com/journal/13412</t>
  </si>
  <si>
    <t>Journal of Ethology</t>
  </si>
  <si>
    <t>1439-5444</t>
  </si>
  <si>
    <t>0289-0771</t>
  </si>
  <si>
    <t>https://link.springer.com/journal/10164</t>
  </si>
  <si>
    <t>Journal of Evolution Equations</t>
  </si>
  <si>
    <t>1424-3202</t>
  </si>
  <si>
    <t>1424-3199</t>
  </si>
  <si>
    <t>https://link.springer.com/journal/28</t>
  </si>
  <si>
    <t>Journal of Evolutionary Biochemistry and Physiology</t>
  </si>
  <si>
    <t>1608-3202</t>
  </si>
  <si>
    <t>0022-0930</t>
  </si>
  <si>
    <t>https://link.springer.com/journal/10893</t>
  </si>
  <si>
    <t>Journal of Evolutionary Economics</t>
  </si>
  <si>
    <t>1432-1386</t>
  </si>
  <si>
    <t>0936-9937</t>
  </si>
  <si>
    <t>https://link.springer.com/journal/191</t>
  </si>
  <si>
    <t>Journal of Experimental and Theoretical Physics</t>
  </si>
  <si>
    <t>1090-6509</t>
  </si>
  <si>
    <t>1063-7761</t>
  </si>
  <si>
    <t>https://link.springer.com/journal/11447</t>
  </si>
  <si>
    <t>Journal of Experimental Criminology</t>
  </si>
  <si>
    <t>1572-8315</t>
  </si>
  <si>
    <t>1573-3750</t>
  </si>
  <si>
    <t>https://link.springer.com/journal/11292</t>
  </si>
  <si>
    <t>Journal of Failure Analysis and Prevention</t>
  </si>
  <si>
    <t>1864-1245</t>
  </si>
  <si>
    <t>1547-7029</t>
  </si>
  <si>
    <t>https://link.springer.com/journal/11668</t>
  </si>
  <si>
    <t>Journal of Family and Economic Issues</t>
  </si>
  <si>
    <t>1573-3475</t>
  </si>
  <si>
    <t>1058-0476</t>
  </si>
  <si>
    <t>https://link.springer.com/journal/10834</t>
  </si>
  <si>
    <t>Journal of Family Violence</t>
  </si>
  <si>
    <t>1573-2851</t>
  </si>
  <si>
    <t>0885-7482</t>
  </si>
  <si>
    <t>https://link.springer.com/journal/10896</t>
  </si>
  <si>
    <t>Journal of Financial Services Research</t>
  </si>
  <si>
    <t>1573-0735</t>
  </si>
  <si>
    <t>0920-8550</t>
  </si>
  <si>
    <t>https://link.springer.com/journal/10693</t>
  </si>
  <si>
    <t>Journal of Fixed Point Theory and Applications</t>
  </si>
  <si>
    <t>1661-7746</t>
  </si>
  <si>
    <t>1661-7738</t>
  </si>
  <si>
    <t>https://link.springer.com/journal/11784</t>
  </si>
  <si>
    <t>Journal of Flow Chemistry</t>
  </si>
  <si>
    <t>2063-0212</t>
  </si>
  <si>
    <t>2062-249X</t>
  </si>
  <si>
    <t>https://link.springer.com/journal/41981</t>
  </si>
  <si>
    <t>Journal of Fluorescence</t>
  </si>
  <si>
    <t>1573-4994</t>
  </si>
  <si>
    <t>1053-0509</t>
  </si>
  <si>
    <t>https://link.springer.com/journal/10895</t>
  </si>
  <si>
    <t>Journal of Food Measurement and Characterization</t>
  </si>
  <si>
    <t>2193-4134</t>
  </si>
  <si>
    <t>https://link.springer.com/journal/11694</t>
  </si>
  <si>
    <t>Journal of Food Science and Technology</t>
  </si>
  <si>
    <t>0975-8402</t>
  </si>
  <si>
    <t>0022-1155</t>
  </si>
  <si>
    <t>https://link.springer.com/journal/13197</t>
  </si>
  <si>
    <t>Journal of Forestry Research</t>
  </si>
  <si>
    <t>1993-0607</t>
  </si>
  <si>
    <t>1007-662X</t>
  </si>
  <si>
    <t>https://link.springer.com/journal/11676</t>
  </si>
  <si>
    <t>Northeast Forestry University, co-published with Springer</t>
  </si>
  <si>
    <t>Journal of Formative Design in Learning</t>
  </si>
  <si>
    <t>2509-8039</t>
  </si>
  <si>
    <t>https://link.springer.com/journal/41686</t>
  </si>
  <si>
    <t>Journal of Fourier Analysis and Applications</t>
  </si>
  <si>
    <t>1531-5851</t>
  </si>
  <si>
    <t>1069-5869</t>
  </si>
  <si>
    <t>https://link.springer.com/journal/41</t>
  </si>
  <si>
    <t>Journal of Friction and Wear</t>
  </si>
  <si>
    <t>1934-9386</t>
  </si>
  <si>
    <t>1068-3666</t>
  </si>
  <si>
    <t>https://link.springer.com/journal/11959</t>
  </si>
  <si>
    <t>Journal of Fusion Energy</t>
  </si>
  <si>
    <t>1572-9591</t>
  </si>
  <si>
    <t>https://link.springer.com/journal/10894</t>
  </si>
  <si>
    <t>Journal of Gambling Studies</t>
  </si>
  <si>
    <t>1573-3602</t>
  </si>
  <si>
    <t>https://link.springer.com/journal/10899</t>
  </si>
  <si>
    <t>Journal of Gastroenterology</t>
  </si>
  <si>
    <t>1435-5922</t>
  </si>
  <si>
    <t>0944-1174</t>
  </si>
  <si>
    <t>https://link.springer.com/journal/535</t>
  </si>
  <si>
    <t>Journal of Gastrointestinal Cancer</t>
  </si>
  <si>
    <t>1941-6636</t>
  </si>
  <si>
    <t>https://link.springer.com/journal/12029</t>
  </si>
  <si>
    <t>Journal of Gastrointestinal Surgery</t>
  </si>
  <si>
    <t>1873-4626</t>
  </si>
  <si>
    <t>1091-255X</t>
  </si>
  <si>
    <t>https://link.springer.com/journal/11605</t>
  </si>
  <si>
    <t>Journal of General Internal Medicine</t>
  </si>
  <si>
    <t>1525-1497</t>
  </si>
  <si>
    <t>0884-8734</t>
  </si>
  <si>
    <t>https://link.springer.com/journal/11606</t>
  </si>
  <si>
    <t>Journal of General Plant Pathology</t>
  </si>
  <si>
    <t>1610-739X</t>
  </si>
  <si>
    <t>1345-2630</t>
  </si>
  <si>
    <t>https://link.springer.com/journal/10327</t>
  </si>
  <si>
    <t>Journal of Genetics</t>
  </si>
  <si>
    <t>0973-7731</t>
  </si>
  <si>
    <t>https://link.springer.com/journal/12041</t>
  </si>
  <si>
    <t>Journal of Geodesy</t>
  </si>
  <si>
    <t>1432-1394</t>
  </si>
  <si>
    <t>0949-7714</t>
  </si>
  <si>
    <t>https://link.springer.com/journal/190</t>
  </si>
  <si>
    <t>Journal of Geographical Sciences</t>
  </si>
  <si>
    <t>1861-9568</t>
  </si>
  <si>
    <t>1009-637X</t>
  </si>
  <si>
    <t>https://link.springer.com/journal/11442</t>
  </si>
  <si>
    <t>Journal of Geographical Systems</t>
  </si>
  <si>
    <t>1435-5949</t>
  </si>
  <si>
    <t>1435-5930</t>
  </si>
  <si>
    <t>https://link.springer.com/journal/10109</t>
  </si>
  <si>
    <t>Journal of Geometry</t>
  </si>
  <si>
    <t>1420-8997</t>
  </si>
  <si>
    <t>0047-2468</t>
  </si>
  <si>
    <t>https://link.springer.com/journal/22</t>
  </si>
  <si>
    <t>Journal of Geovisualization and Spatial Analysis</t>
  </si>
  <si>
    <t>2509-8829</t>
  </si>
  <si>
    <t>2509-8810</t>
  </si>
  <si>
    <t>https://link.springer.com/journal/41651</t>
  </si>
  <si>
    <t>Journal of Global Entrepreneurship Research</t>
  </si>
  <si>
    <t>2251-7316</t>
  </si>
  <si>
    <t>https://link.springer.com/journal/40497</t>
  </si>
  <si>
    <t>Journal of Global Optimization</t>
  </si>
  <si>
    <t>1573-2916</t>
  </si>
  <si>
    <t>0925-5001</t>
  </si>
  <si>
    <t>https://link.springer.com/journal/10898</t>
  </si>
  <si>
    <t>Journal of Grid Computing</t>
  </si>
  <si>
    <t>1572-9184</t>
  </si>
  <si>
    <t>1570-7873</t>
  </si>
  <si>
    <t>https://link.springer.com/journal/10723</t>
  </si>
  <si>
    <t>Journal of Happiness Studies</t>
  </si>
  <si>
    <t>1573-7780</t>
  </si>
  <si>
    <t>1389-4978</t>
  </si>
  <si>
    <t>https://link.springer.com/journal/10902</t>
  </si>
  <si>
    <t>Journal of Hardware and Systems Security</t>
  </si>
  <si>
    <t>2509-3436</t>
  </si>
  <si>
    <t>2509-3428</t>
  </si>
  <si>
    <t>https://link.springer.com/journal/41635</t>
  </si>
  <si>
    <t>Journal of Health Service Psychology</t>
  </si>
  <si>
    <t>2662-2653</t>
  </si>
  <si>
    <t>https://link.springer.com/journal/42843</t>
  </si>
  <si>
    <t>Journal of Healthcare Informatics Research</t>
  </si>
  <si>
    <t>2509-498X</t>
  </si>
  <si>
    <t>2509-4971</t>
  </si>
  <si>
    <t>https://link.springer.com/journal/41666</t>
  </si>
  <si>
    <t>Journal of Hematopathology</t>
  </si>
  <si>
    <t>1865-5785</t>
  </si>
  <si>
    <t>https://link.springer.com/journal/12308</t>
  </si>
  <si>
    <t>Journal of Heuristics</t>
  </si>
  <si>
    <t>1572-9397</t>
  </si>
  <si>
    <t>1381-1231</t>
  </si>
  <si>
    <t>https://link.springer.com/journal/10732</t>
  </si>
  <si>
    <t>Journal of Homotopy and Related Structures</t>
  </si>
  <si>
    <t>1512-2891</t>
  </si>
  <si>
    <t>2193-8407</t>
  </si>
  <si>
    <t>https://link.springer.com/journal/40062</t>
  </si>
  <si>
    <t>Journal of Housing and the Built Environment</t>
  </si>
  <si>
    <t>1573-7772</t>
  </si>
  <si>
    <t>1566-4910</t>
  </si>
  <si>
    <t>https://link.springer.com/journal/10901</t>
  </si>
  <si>
    <t>Journal of Human Rights and Social Work</t>
  </si>
  <si>
    <t>2365-1792</t>
  </si>
  <si>
    <t>https://link.springer.com/journal/41134</t>
  </si>
  <si>
    <t>Journal of Hydrodynamics</t>
  </si>
  <si>
    <t>1878-0342</t>
  </si>
  <si>
    <t>1001-6058</t>
  </si>
  <si>
    <t>https://link.springer.com/journal/42241</t>
  </si>
  <si>
    <t>Journal of Iberian Geology</t>
  </si>
  <si>
    <t>1886-7995</t>
  </si>
  <si>
    <t>1698-6180</t>
  </si>
  <si>
    <t>https://link.springer.com/journal/41513</t>
  </si>
  <si>
    <t>Journal of Ichthyology</t>
  </si>
  <si>
    <t>1555-6425</t>
  </si>
  <si>
    <t>0032-9452</t>
  </si>
  <si>
    <t>https://link.springer.com/journal/11489</t>
  </si>
  <si>
    <t>Journal of Immigrant and Minority Health</t>
  </si>
  <si>
    <t>1557-1920</t>
  </si>
  <si>
    <t>1557-1912</t>
  </si>
  <si>
    <t>https://link.springer.com/journal/10903</t>
  </si>
  <si>
    <t>Journal of Inclusion Phenomena and Macrocyclic Chemistry</t>
  </si>
  <si>
    <t>1573-1111</t>
  </si>
  <si>
    <t>1388-3127</t>
  </si>
  <si>
    <t>https://link.springer.com/journal/10847</t>
  </si>
  <si>
    <t>Journal of Indian Council of Philosophical Research</t>
  </si>
  <si>
    <t>2363-9962</t>
  </si>
  <si>
    <t>0970-7794</t>
  </si>
  <si>
    <t>https://link.springer.com/journal/40961</t>
  </si>
  <si>
    <t>Journal of Indian Philosophy</t>
  </si>
  <si>
    <t>1573-0395</t>
  </si>
  <si>
    <t>0022-1791</t>
  </si>
  <si>
    <t>https://link.springer.com/journal/10781</t>
  </si>
  <si>
    <t>Journal of Industrial and Business Economics</t>
  </si>
  <si>
    <t>1972-4977</t>
  </si>
  <si>
    <t>0391-2078</t>
  </si>
  <si>
    <t>https://link.springer.com/journal/40812</t>
  </si>
  <si>
    <t>Journal of Industry, Competition and Trade</t>
  </si>
  <si>
    <t>1573-7012</t>
  </si>
  <si>
    <t>1566-1679</t>
  </si>
  <si>
    <t>https://link.springer.com/journal/10842</t>
  </si>
  <si>
    <t>Journal of Infrared, Millimeter, and Terahertz Waves</t>
  </si>
  <si>
    <t>1866-6906</t>
  </si>
  <si>
    <t>1866-6892</t>
  </si>
  <si>
    <t>https://link.springer.com/journal/10762</t>
  </si>
  <si>
    <t>Journal of Inorganic and Organometallic Polymers and Materials</t>
  </si>
  <si>
    <t>1574-1451</t>
  </si>
  <si>
    <t>1574-1443</t>
  </si>
  <si>
    <t>https://link.springer.com/journal/10904</t>
  </si>
  <si>
    <t>Journal of Insect Behavior</t>
  </si>
  <si>
    <t>1572-8889</t>
  </si>
  <si>
    <t>0892-7553</t>
  </si>
  <si>
    <t>https://link.springer.com/journal/10905</t>
  </si>
  <si>
    <t>Journal of Insect Conservation</t>
  </si>
  <si>
    <t>1572-9753</t>
  </si>
  <si>
    <t>1366-638X</t>
  </si>
  <si>
    <t>https://link.springer.com/journal/10841</t>
  </si>
  <si>
    <t>Journal of Intelligent &amp; Robotic Systems</t>
  </si>
  <si>
    <t>1573-0409</t>
  </si>
  <si>
    <t>0921-0296</t>
  </si>
  <si>
    <t>https://link.springer.com/journal/10846</t>
  </si>
  <si>
    <t>Journal of Intelligent Information Systems</t>
  </si>
  <si>
    <t>1573-7675</t>
  </si>
  <si>
    <t>0925-9902</t>
  </si>
  <si>
    <t>https://link.springer.com/journal/10844</t>
  </si>
  <si>
    <t>Journal of Intelligent Manufacturing</t>
  </si>
  <si>
    <t>1572-8145</t>
  </si>
  <si>
    <t>0956-5515</t>
  </si>
  <si>
    <t>https://link.springer.com/journal/10845</t>
  </si>
  <si>
    <t>Journal of International Entrepreneurship</t>
  </si>
  <si>
    <t>1573-7349</t>
  </si>
  <si>
    <t>1570-7385</t>
  </si>
  <si>
    <t>https://link.springer.com/journal/10843</t>
  </si>
  <si>
    <t>Journal of International Migration and Integration</t>
  </si>
  <si>
    <t>1874-6365</t>
  </si>
  <si>
    <t>1488-3473</t>
  </si>
  <si>
    <t>https://link.springer.com/journal/12134</t>
  </si>
  <si>
    <t>Journal of Interventional Cardiac Electrophysiology</t>
  </si>
  <si>
    <t>1572-8595</t>
  </si>
  <si>
    <t>https://link.springer.com/journal/10840</t>
  </si>
  <si>
    <t>Journal of Iron and Steel Research International</t>
  </si>
  <si>
    <t>2210-3988</t>
  </si>
  <si>
    <t>1006-706X</t>
  </si>
  <si>
    <t>https://link.springer.com/journal/42243</t>
  </si>
  <si>
    <t>Journal of Labor Research</t>
  </si>
  <si>
    <t>1936-4768</t>
  </si>
  <si>
    <t>0195-3613</t>
  </si>
  <si>
    <t>https://link.springer.com/journal/12122</t>
  </si>
  <si>
    <t>Journal of Logic, Language and Information</t>
  </si>
  <si>
    <t>1572-9583</t>
  </si>
  <si>
    <t>0925-8531</t>
  </si>
  <si>
    <t>https://link.springer.com/journal/10849</t>
  </si>
  <si>
    <t>Journal of Low Temperature Physics</t>
  </si>
  <si>
    <t>1573-7357</t>
  </si>
  <si>
    <t>0022-2291</t>
  </si>
  <si>
    <t>https://link.springer.com/journal/10909</t>
  </si>
  <si>
    <t>Journal of Machinery Manufacture and Reliability</t>
  </si>
  <si>
    <t>1934-9394</t>
  </si>
  <si>
    <t>1052-6188</t>
  </si>
  <si>
    <t>https://link.springer.com/journal/12001</t>
  </si>
  <si>
    <t>Journal of Mammalian Evolution</t>
  </si>
  <si>
    <t>1573-7055</t>
  </si>
  <si>
    <t>1064-7554</t>
  </si>
  <si>
    <t>https://link.springer.com/journal/10914</t>
  </si>
  <si>
    <t>Journal of Management and Governance</t>
  </si>
  <si>
    <t>1572-963X</t>
  </si>
  <si>
    <t>1385-3457</t>
  </si>
  <si>
    <t>https://link.springer.com/journal/10997</t>
  </si>
  <si>
    <t>Journal of Management Control</t>
  </si>
  <si>
    <t>2191-477X</t>
  </si>
  <si>
    <t>2191-4761</t>
  </si>
  <si>
    <t>https://link.springer.com/journal/187</t>
  </si>
  <si>
    <t>Journal of Marine Science and Application</t>
  </si>
  <si>
    <t>1993-5048</t>
  </si>
  <si>
    <t>1671-9433</t>
  </si>
  <si>
    <t>https://link.springer.com/journal/11804</t>
  </si>
  <si>
    <t>Harbin Engineering University, co-published with Springer</t>
  </si>
  <si>
    <t>Journal of Marine Science and Technology</t>
  </si>
  <si>
    <t>1437-8213</t>
  </si>
  <si>
    <t>0948-4280</t>
  </si>
  <si>
    <t>https://link.springer.com/journal/773</t>
  </si>
  <si>
    <t>Journal of Maritime Archaeology</t>
  </si>
  <si>
    <t>1557-2293</t>
  </si>
  <si>
    <t>1557-2285</t>
  </si>
  <si>
    <t>https://link.springer.com/journal/11457</t>
  </si>
  <si>
    <t>Journal of Material Cycles and Waste Management</t>
  </si>
  <si>
    <t>1611-8227</t>
  </si>
  <si>
    <t>https://link.springer.com/journal/10163</t>
  </si>
  <si>
    <t>Journal of Materials Engineering and Performance</t>
  </si>
  <si>
    <t>1544-1024</t>
  </si>
  <si>
    <t>1059-9495</t>
  </si>
  <si>
    <t>https://link.springer.com/journal/11665</t>
  </si>
  <si>
    <t>Journal of Materials Science</t>
  </si>
  <si>
    <t>1573-4803</t>
  </si>
  <si>
    <t>0022-2461</t>
  </si>
  <si>
    <t>https://link.springer.com/journal/10853</t>
  </si>
  <si>
    <t>Journal of Materials Science: Materials in Electronics</t>
  </si>
  <si>
    <t>1573-482X</t>
  </si>
  <si>
    <t>0957-4522</t>
  </si>
  <si>
    <t>https://link.springer.com/journal/10854</t>
  </si>
  <si>
    <t>Journal of Mathematical Biology</t>
  </si>
  <si>
    <t>1432-1416</t>
  </si>
  <si>
    <t>0303-6812</t>
  </si>
  <si>
    <t>https://link.springer.com/journal/285</t>
  </si>
  <si>
    <t>Journal of Mathematical Chemistry</t>
  </si>
  <si>
    <t>1572-8897</t>
  </si>
  <si>
    <t>0259-9791</t>
  </si>
  <si>
    <t>https://link.springer.com/journal/10910</t>
  </si>
  <si>
    <t>Journal of Mathematical Fluid Mechanics</t>
  </si>
  <si>
    <t>1422-6952</t>
  </si>
  <si>
    <t>1422-6928</t>
  </si>
  <si>
    <t>https://link.springer.com/journal/21</t>
  </si>
  <si>
    <t>Journal of Mathematical Imaging and Vision</t>
  </si>
  <si>
    <t>1573-7683</t>
  </si>
  <si>
    <t>0924-9907</t>
  </si>
  <si>
    <t>https://link.springer.com/journal/10851</t>
  </si>
  <si>
    <t>Journal of Mathematical Sciences</t>
  </si>
  <si>
    <t>1573-8795</t>
  </si>
  <si>
    <t>1072-3374</t>
  </si>
  <si>
    <t>https://link.springer.com/journal/10958</t>
  </si>
  <si>
    <t>Journal of Mathematics Teacher Education</t>
  </si>
  <si>
    <t>1573-1820</t>
  </si>
  <si>
    <t>1386-4416</t>
  </si>
  <si>
    <t>https://link.springer.com/journal/10857</t>
  </si>
  <si>
    <t>Journal of Maxillofacial and Oral Surgery</t>
  </si>
  <si>
    <t>0974-942X</t>
  </si>
  <si>
    <t>0972-8279</t>
  </si>
  <si>
    <t>https://link.springer.com/journal/12663</t>
  </si>
  <si>
    <t>Journal of Mechanical Science and Technology</t>
  </si>
  <si>
    <t>1976-3824</t>
  </si>
  <si>
    <t>1738-494X</t>
  </si>
  <si>
    <t>https://link.springer.com/journal/12206</t>
  </si>
  <si>
    <t>Journal of Medical and Biological Engineering</t>
  </si>
  <si>
    <t>2199-4757</t>
  </si>
  <si>
    <t>1609-0985</t>
  </si>
  <si>
    <t>https://link.springer.com/journal/40846</t>
  </si>
  <si>
    <t>Journal of Medical Humanities</t>
  </si>
  <si>
    <t>1573-3645</t>
  </si>
  <si>
    <t>1041-3545</t>
  </si>
  <si>
    <t>https://link.springer.com/journal/10912</t>
  </si>
  <si>
    <t>Journal of Medical Systems</t>
  </si>
  <si>
    <t>1573-689X</t>
  </si>
  <si>
    <t>https://link.springer.com/journal/10916</t>
  </si>
  <si>
    <t>Journal of Medical Toxicology</t>
  </si>
  <si>
    <t>1937-6995</t>
  </si>
  <si>
    <t>https://link.springer.com/journal/13181</t>
  </si>
  <si>
    <t>Journal of Medical Ultrasonics</t>
  </si>
  <si>
    <t>1613-2254</t>
  </si>
  <si>
    <t>1346-4523</t>
  </si>
  <si>
    <t>https://link.springer.com/journal/10396</t>
  </si>
  <si>
    <t>Journal of Membrane Computing</t>
  </si>
  <si>
    <t>2523-8914</t>
  </si>
  <si>
    <t>2523-8906</t>
  </si>
  <si>
    <t>https://link.springer.com/journal/41965</t>
  </si>
  <si>
    <t>Journal of Meteorological Research</t>
  </si>
  <si>
    <t>2198-0934</t>
  </si>
  <si>
    <t>2095-6037</t>
  </si>
  <si>
    <t>https://link.springer.com/journal/13351</t>
  </si>
  <si>
    <t>The Chinese Meteorological Society, co-published with Springer</t>
  </si>
  <si>
    <t>Journal of Micro-Bio Robotics</t>
  </si>
  <si>
    <t>2194-6426</t>
  </si>
  <si>
    <t>https://link.springer.com/journal/12213</t>
  </si>
  <si>
    <t>Journal of Microbiology</t>
  </si>
  <si>
    <t>1976-3794</t>
  </si>
  <si>
    <t>https://link.springer.com/journal/12275</t>
  </si>
  <si>
    <t>The Microbiological Society of Korea, co-published with Springer</t>
  </si>
  <si>
    <t>Journal of Mining Science</t>
  </si>
  <si>
    <t>1573-8736</t>
  </si>
  <si>
    <t>1062-7391</t>
  </si>
  <si>
    <t>https://link.springer.com/journal/10913</t>
  </si>
  <si>
    <t>Journal of Molecular Evolution</t>
  </si>
  <si>
    <t>1432-1432</t>
  </si>
  <si>
    <t>0022-2844</t>
  </si>
  <si>
    <t>https://link.springer.com/journal/239</t>
  </si>
  <si>
    <t>Journal of Molecular Histology</t>
  </si>
  <si>
    <t>1567-2387</t>
  </si>
  <si>
    <t>1567-2379</t>
  </si>
  <si>
    <t>https://link.springer.com/journal/10735</t>
  </si>
  <si>
    <t>Journal of Molecular Medicine</t>
  </si>
  <si>
    <t>1432-1440</t>
  </si>
  <si>
    <t>0946-2716</t>
  </si>
  <si>
    <t>https://link.springer.com/journal/109</t>
  </si>
  <si>
    <t>Journal of Molecular Modeling</t>
  </si>
  <si>
    <t>0948-5023</t>
  </si>
  <si>
    <t>1610-2940</t>
  </si>
  <si>
    <t>https://link.springer.com/journal/894</t>
  </si>
  <si>
    <t>Journal of Molecular Neuroscience</t>
  </si>
  <si>
    <t>1559-1166</t>
  </si>
  <si>
    <t>0895-8696</t>
  </si>
  <si>
    <t>https://link.springer.com/journal/12031</t>
  </si>
  <si>
    <t>Journal of Mountain Science</t>
  </si>
  <si>
    <t>1993-0321</t>
  </si>
  <si>
    <t>1672-6316</t>
  </si>
  <si>
    <t>https://link.springer.com/journal/11629</t>
  </si>
  <si>
    <t>Journal of Muscle Research and Cell Motility</t>
  </si>
  <si>
    <t>1573-2657</t>
  </si>
  <si>
    <t>0142-4319</t>
  </si>
  <si>
    <t>https://link.springer.com/journal/10974</t>
  </si>
  <si>
    <t>Journal of Nanoparticle Research</t>
  </si>
  <si>
    <t>1572-896X</t>
  </si>
  <si>
    <t>1388-0764</t>
  </si>
  <si>
    <t>https://link.springer.com/journal/11051</t>
  </si>
  <si>
    <t>Journal of Nanostructure in Chemistry</t>
  </si>
  <si>
    <t>2193-8865</t>
  </si>
  <si>
    <t>https://link.springer.com/journal/40097</t>
  </si>
  <si>
    <t>Journal of Natural Medicines</t>
  </si>
  <si>
    <t>1861-0293</t>
  </si>
  <si>
    <t>1340-3443</t>
  </si>
  <si>
    <t>https://link.springer.com/journal/11418</t>
  </si>
  <si>
    <t>Journal of Nephrology</t>
  </si>
  <si>
    <t>1724-6059</t>
  </si>
  <si>
    <t>https://link.springer.com/journal/40620</t>
  </si>
  <si>
    <t>Journal of Network and Systems Management</t>
  </si>
  <si>
    <t>1573-7705</t>
  </si>
  <si>
    <t>1064-7570</t>
  </si>
  <si>
    <t>https://link.springer.com/journal/10922</t>
  </si>
  <si>
    <t>Journal of Neural Transmission</t>
  </si>
  <si>
    <t>1435-1463</t>
  </si>
  <si>
    <t>0300-9564</t>
  </si>
  <si>
    <t>https://link.springer.com/journal/702</t>
  </si>
  <si>
    <t>Journal of Neuroimmune Pharmacology</t>
  </si>
  <si>
    <t>1557-1904</t>
  </si>
  <si>
    <t>1557-1890</t>
  </si>
  <si>
    <t>https://link.springer.com/journal/11481</t>
  </si>
  <si>
    <t>Journal of Neurology</t>
  </si>
  <si>
    <t>1432-1459</t>
  </si>
  <si>
    <t>0340-5354</t>
  </si>
  <si>
    <t>https://link.springer.com/journal/415</t>
  </si>
  <si>
    <t>Journal of Neuro-Oncology</t>
  </si>
  <si>
    <t>1573-7373</t>
  </si>
  <si>
    <t>https://link.springer.com/journal/11060</t>
  </si>
  <si>
    <t>Journal of NeuroVirology</t>
  </si>
  <si>
    <t>1538-2443</t>
  </si>
  <si>
    <t>1355-0284</t>
  </si>
  <si>
    <t>https://link.springer.com/journal/13365</t>
  </si>
  <si>
    <t>Journal of Nondestructive Evaluation</t>
  </si>
  <si>
    <t>1573-4862</t>
  </si>
  <si>
    <t>0195-9298</t>
  </si>
  <si>
    <t>https://link.springer.com/journal/10921</t>
  </si>
  <si>
    <t>Journal of Nonlinear Science</t>
  </si>
  <si>
    <t>1432-1467</t>
  </si>
  <si>
    <t>0938-8974</t>
  </si>
  <si>
    <t>https://link.springer.com/journal/332</t>
  </si>
  <si>
    <t>Journal of Nonverbal Behavior</t>
  </si>
  <si>
    <t>1573-3653</t>
  </si>
  <si>
    <t>0191-5886</t>
  </si>
  <si>
    <t>https://link.springer.com/journal/10919</t>
  </si>
  <si>
    <t>Journal of Nuclear Cardiology</t>
  </si>
  <si>
    <t>1532-6551</t>
  </si>
  <si>
    <t>1071-3581</t>
  </si>
  <si>
    <t>https://link.springer.com/journal/12350</t>
  </si>
  <si>
    <t>Journal of Occupational Rehabilitation</t>
  </si>
  <si>
    <t>1573-3688</t>
  </si>
  <si>
    <t>1053-0487</t>
  </si>
  <si>
    <t>https://link.springer.com/journal/10926</t>
  </si>
  <si>
    <t>Journal of Ocean Engineering and Marine Energy</t>
  </si>
  <si>
    <t>2198-6452</t>
  </si>
  <si>
    <t>2198-6444</t>
  </si>
  <si>
    <t>https://link.springer.com/journal/40722</t>
  </si>
  <si>
    <t>Journal of Ocean University of China</t>
  </si>
  <si>
    <t>1993-5021</t>
  </si>
  <si>
    <t>1672-5182</t>
  </si>
  <si>
    <t>https://link.springer.com/journal/11802</t>
  </si>
  <si>
    <t>Journal of Oceanography</t>
  </si>
  <si>
    <t>1573-868X</t>
  </si>
  <si>
    <t>0916-8370</t>
  </si>
  <si>
    <t>https://link.springer.com/journal/10872</t>
  </si>
  <si>
    <t>Journal of Oceanology and Limnology</t>
  </si>
  <si>
    <t>2523-3521</t>
  </si>
  <si>
    <t>2096-5508</t>
  </si>
  <si>
    <t>https://link.springer.com/journal/343</t>
  </si>
  <si>
    <t>Journal of Optics</t>
  </si>
  <si>
    <t>0974-6900</t>
  </si>
  <si>
    <t>0972-8821</t>
  </si>
  <si>
    <t>https://link.springer.com/journal/12596</t>
  </si>
  <si>
    <t>Journal of Optimization Theory and Applications</t>
  </si>
  <si>
    <t>1573-2878</t>
  </si>
  <si>
    <t>0022-3239</t>
  </si>
  <si>
    <t>https://link.springer.com/journal/10957</t>
  </si>
  <si>
    <t>Journal of Organization Design</t>
  </si>
  <si>
    <t>2245-408X</t>
  </si>
  <si>
    <t>https://link.springer.com/journal/41469</t>
  </si>
  <si>
    <t>Journal of Ornithology</t>
  </si>
  <si>
    <t>2193-7206</t>
  </si>
  <si>
    <t>2193-7192</t>
  </si>
  <si>
    <t>https://link.springer.com/journal/10336</t>
  </si>
  <si>
    <t>Journal of Orofacial Orthopedics / Fortschritte der Kieferorthopädie</t>
  </si>
  <si>
    <t>1615-6714</t>
  </si>
  <si>
    <t>1434-5293</t>
  </si>
  <si>
    <t>https://link.springer.com/journal/56</t>
  </si>
  <si>
    <t>Journal of Outdoor and Environmental Education</t>
  </si>
  <si>
    <t>2522-879X</t>
  </si>
  <si>
    <t>2206-3110</t>
  </si>
  <si>
    <t>https://link.springer.com/journal/42322</t>
  </si>
  <si>
    <t>Journal of Packaging Technology and Research</t>
  </si>
  <si>
    <t>2520-1042</t>
  </si>
  <si>
    <t>2520-1034</t>
  </si>
  <si>
    <t>https://link.springer.com/journal/41783</t>
  </si>
  <si>
    <t>Journal of Paleolimnology</t>
  </si>
  <si>
    <t>1573-0417</t>
  </si>
  <si>
    <t>0921-2728</t>
  </si>
  <si>
    <t>https://link.springer.com/journal/10933</t>
  </si>
  <si>
    <t>Journal of Paleolithic Archaeology</t>
  </si>
  <si>
    <t>2520-8217</t>
  </si>
  <si>
    <t>https://link.springer.com/journal/41982</t>
  </si>
  <si>
    <t>Journal of Parasitic Diseases</t>
  </si>
  <si>
    <t>0975-0703</t>
  </si>
  <si>
    <t>0971-7196</t>
  </si>
  <si>
    <t>https://link.springer.com/journal/12639</t>
  </si>
  <si>
    <t>Journal of Pediatric Endoscopic Surgery</t>
  </si>
  <si>
    <t>2524-7883</t>
  </si>
  <si>
    <t>2524-7875</t>
  </si>
  <si>
    <t>https://link.springer.com/journal/42804</t>
  </si>
  <si>
    <t>Journal of Pediatric Neuropsychology</t>
  </si>
  <si>
    <t>2199-2673</t>
  </si>
  <si>
    <t>https://link.springer.com/journal/40817</t>
  </si>
  <si>
    <t>Journal of Peridynamics and Nonlocal Modeling</t>
  </si>
  <si>
    <t>2522-8978</t>
  </si>
  <si>
    <t>2522-896X</t>
  </si>
  <si>
    <t>https://link.springer.com/journal/42102</t>
  </si>
  <si>
    <t>Journal of Pest Science</t>
  </si>
  <si>
    <t>1612-4766</t>
  </si>
  <si>
    <t>1612-4758</t>
  </si>
  <si>
    <t>https://link.springer.com/journal/10340</t>
  </si>
  <si>
    <t>Journal of Pharmaceutical Innovation</t>
  </si>
  <si>
    <t>1939-8042</t>
  </si>
  <si>
    <t>https://link.springer.com/journal/12247</t>
  </si>
  <si>
    <t>Journal of Pharmaceutical Investigation</t>
  </si>
  <si>
    <t>2093-6214</t>
  </si>
  <si>
    <t>2093-5552</t>
  </si>
  <si>
    <t>https://link.springer.com/journal/40005</t>
  </si>
  <si>
    <t>Journal of Pharmacokinetics and Pharmacodynamics</t>
  </si>
  <si>
    <t>1573-8744</t>
  </si>
  <si>
    <t>1567-567X</t>
  </si>
  <si>
    <t>https://link.springer.com/journal/10928</t>
  </si>
  <si>
    <t>Journal of Phase Equilibria and Diffusion</t>
  </si>
  <si>
    <t>1863-7345</t>
  </si>
  <si>
    <t>1547-7037</t>
  </si>
  <si>
    <t>https://link.springer.com/journal/11669</t>
  </si>
  <si>
    <t>Journal of Philosophical Logic</t>
  </si>
  <si>
    <t>1573-0433</t>
  </si>
  <si>
    <t>0022-3611</t>
  </si>
  <si>
    <t>https://link.springer.com/journal/10992</t>
  </si>
  <si>
    <t>Journal of Physiology and Biochemistry</t>
  </si>
  <si>
    <t>1877-8755</t>
  </si>
  <si>
    <t>1138-7548</t>
  </si>
  <si>
    <t>https://link.springer.com/journal/13105</t>
  </si>
  <si>
    <t>Journal of Plant Biochemistry and Biotechnology</t>
  </si>
  <si>
    <t>0974-1275</t>
  </si>
  <si>
    <t>0971-7811</t>
  </si>
  <si>
    <t>https://link.springer.com/journal/13562</t>
  </si>
  <si>
    <t>Journal of Plant Biology</t>
  </si>
  <si>
    <t>1867-0725</t>
  </si>
  <si>
    <t>1226-9239</t>
  </si>
  <si>
    <t>https://link.springer.com/journal/12374</t>
  </si>
  <si>
    <t>Journal of Plant Diseases and Protection</t>
  </si>
  <si>
    <t>1861-3837</t>
  </si>
  <si>
    <t>1861-3829</t>
  </si>
  <si>
    <t>https://link.springer.com/journal/41348</t>
  </si>
  <si>
    <t>Journal of Plant Growth Regulation</t>
  </si>
  <si>
    <t>1435-8107</t>
  </si>
  <si>
    <t>0721-7595</t>
  </si>
  <si>
    <t>https://link.springer.com/journal/344</t>
  </si>
  <si>
    <t>Journal of Plant Pathology</t>
  </si>
  <si>
    <t>2239-7264</t>
  </si>
  <si>
    <t>https://link.springer.com/journal/42161</t>
  </si>
  <si>
    <t>Journal of Plant Research</t>
  </si>
  <si>
    <t>1618-0860</t>
  </si>
  <si>
    <t>0918-9440</t>
  </si>
  <si>
    <t>https://link.springer.com/journal/10265</t>
  </si>
  <si>
    <t>Journal of Police and Criminal Psychology</t>
  </si>
  <si>
    <t>1936-6469</t>
  </si>
  <si>
    <t>0882-0783</t>
  </si>
  <si>
    <t>https://link.springer.com/journal/11896</t>
  </si>
  <si>
    <t>Journal of Policy Practice and Research</t>
  </si>
  <si>
    <t>2662-1517</t>
  </si>
  <si>
    <t>https://link.springer.com/journal/42972</t>
  </si>
  <si>
    <t>Journal of Polymer Research</t>
  </si>
  <si>
    <t>1572-8935</t>
  </si>
  <si>
    <t>1022-9760</t>
  </si>
  <si>
    <t>https://link.springer.com/journal/10965</t>
  </si>
  <si>
    <t>Journal of Polymers and the Environment</t>
  </si>
  <si>
    <t>1572-8919</t>
  </si>
  <si>
    <t>1566-2543</t>
  </si>
  <si>
    <t>https://link.springer.com/journal/10924</t>
  </si>
  <si>
    <t>Journal of Population Ageing</t>
  </si>
  <si>
    <t>1874-7876</t>
  </si>
  <si>
    <t>1874-7884</t>
  </si>
  <si>
    <t>https://link.springer.com/journal/12062</t>
  </si>
  <si>
    <t>Journal of Population Economics</t>
  </si>
  <si>
    <t>1432-1475</t>
  </si>
  <si>
    <t>0933-1433</t>
  </si>
  <si>
    <t>https://link.springer.com/journal/148</t>
  </si>
  <si>
    <t>Journal of Population Research</t>
  </si>
  <si>
    <t>1835-9469</t>
  </si>
  <si>
    <t>1443-2447</t>
  </si>
  <si>
    <t>https://link.springer.com/journal/12546</t>
  </si>
  <si>
    <t>Journal of Porous Materials</t>
  </si>
  <si>
    <t>1573-4854</t>
  </si>
  <si>
    <t>1380-2224</t>
  </si>
  <si>
    <t>https://link.springer.com/journal/10934</t>
  </si>
  <si>
    <t>Journal of Power Electronics</t>
  </si>
  <si>
    <t>2093-4718</t>
  </si>
  <si>
    <t>1598-2092</t>
  </si>
  <si>
    <t>https://link.springer.com/journal/43236</t>
  </si>
  <si>
    <t>Journal of Prevention</t>
  </si>
  <si>
    <t>2731-5541</t>
  </si>
  <si>
    <t>2731-5533</t>
  </si>
  <si>
    <t>https://link.springer.com/journal/10935</t>
  </si>
  <si>
    <t>Journal of Productivity Analysis</t>
  </si>
  <si>
    <t>1573-0441</t>
  </si>
  <si>
    <t>0895-562X</t>
  </si>
  <si>
    <t>https://link.springer.com/journal/11123</t>
  </si>
  <si>
    <t>Journal of Proteins and Proteomics</t>
  </si>
  <si>
    <t>2524-4663</t>
  </si>
  <si>
    <t>https://link.springer.com/journal/42485</t>
  </si>
  <si>
    <t>Journal of Pseudo-Differential Operators and Applications</t>
  </si>
  <si>
    <t>1662-999X</t>
  </si>
  <si>
    <t>1662-9981</t>
  </si>
  <si>
    <t>https://link.springer.com/journal/11868</t>
  </si>
  <si>
    <t>Journal of Psycholinguistic Research</t>
  </si>
  <si>
    <t>1573-6555</t>
  </si>
  <si>
    <t>0090-6905</t>
  </si>
  <si>
    <t>https://link.springer.com/journal/10936</t>
  </si>
  <si>
    <t>Journal of Psychopathology and Behavioral Assessment</t>
  </si>
  <si>
    <t>1573-3505</t>
  </si>
  <si>
    <t>0882-2689</t>
  </si>
  <si>
    <t>https://link.springer.com/journal/10862</t>
  </si>
  <si>
    <t>Journal of Psychosocial Rehabilitation and Mental Health</t>
  </si>
  <si>
    <t>2198-963X</t>
  </si>
  <si>
    <t>https://link.springer.com/journal/40737</t>
  </si>
  <si>
    <t>Journal of Public Health</t>
  </si>
  <si>
    <t>1613-2238</t>
  </si>
  <si>
    <t>2198-1833</t>
  </si>
  <si>
    <t>https://link.springer.com/journal/10389</t>
  </si>
  <si>
    <t>Journal of Quantitative Criminology</t>
  </si>
  <si>
    <t>1573-7799</t>
  </si>
  <si>
    <t>0748-4518</t>
  </si>
  <si>
    <t>https://link.springer.com/journal/10940</t>
  </si>
  <si>
    <t>Journal of Quantitative Economics</t>
  </si>
  <si>
    <t>2364-1045</t>
  </si>
  <si>
    <t>0971-1554</t>
  </si>
  <si>
    <t>https://link.springer.com/journal/40953</t>
  </si>
  <si>
    <t>Journal of Racial and Ethnic Health Disparities</t>
  </si>
  <si>
    <t>2196-8837</t>
  </si>
  <si>
    <t>https://link.springer.com/journal/40615</t>
  </si>
  <si>
    <t>Journal of Radioanalytical and Nuclear Chemistry</t>
  </si>
  <si>
    <t>1588-2780</t>
  </si>
  <si>
    <t>0236-5731</t>
  </si>
  <si>
    <t>https://link.springer.com/journal/10967</t>
  </si>
  <si>
    <t>Journal of Rational-Emotive &amp; Cognitive-Behavior Therapy</t>
  </si>
  <si>
    <t>1573-6563</t>
  </si>
  <si>
    <t>0894-9085</t>
  </si>
  <si>
    <t>https://link.springer.com/journal/10942</t>
  </si>
  <si>
    <t>Journal of Real-Time Image Processing</t>
  </si>
  <si>
    <t>1861-8219</t>
  </si>
  <si>
    <t>1861-8200</t>
  </si>
  <si>
    <t>https://link.springer.com/journal/11554</t>
  </si>
  <si>
    <t>Journal of Regulatory Economics</t>
  </si>
  <si>
    <t>1573-0468</t>
  </si>
  <si>
    <t>0922-680X</t>
  </si>
  <si>
    <t>https://link.springer.com/journal/11149</t>
  </si>
  <si>
    <t>Journal of Reliable Intelligent Environments</t>
  </si>
  <si>
    <t>2199-4676</t>
  </si>
  <si>
    <t>2199-4668</t>
  </si>
  <si>
    <t>https://link.springer.com/journal/40860</t>
  </si>
  <si>
    <t>Journal of Religion and Health</t>
  </si>
  <si>
    <t>1573-6571</t>
  </si>
  <si>
    <t>0022-4197</t>
  </si>
  <si>
    <t>https://link.springer.com/journal/10943</t>
  </si>
  <si>
    <t>Journal of Religious Education</t>
  </si>
  <si>
    <t>2199-4625</t>
  </si>
  <si>
    <t>1442-018X</t>
  </si>
  <si>
    <t>https://link.springer.com/journal/40839</t>
  </si>
  <si>
    <t>Journal of Remanufacturing</t>
  </si>
  <si>
    <t>2210-4690</t>
  </si>
  <si>
    <t>2210-464X</t>
  </si>
  <si>
    <t>https://link.springer.com/journal/13243</t>
  </si>
  <si>
    <t>Journal of Risk and Uncertainty</t>
  </si>
  <si>
    <t>1573-0476</t>
  </si>
  <si>
    <t>0895-5646</t>
  </si>
  <si>
    <t>https://link.springer.com/journal/11166</t>
  </si>
  <si>
    <t>Journal of Robotic Surgery</t>
  </si>
  <si>
    <t>1863-2491</t>
  </si>
  <si>
    <t>https://link.springer.com/journal/11701</t>
  </si>
  <si>
    <t>Journal of Rubber Research</t>
  </si>
  <si>
    <t>2524-3993</t>
  </si>
  <si>
    <t>1511-1768</t>
  </si>
  <si>
    <t>https://link.springer.com/journal/42464</t>
  </si>
  <si>
    <t>Journal of Russian Laser Research</t>
  </si>
  <si>
    <t>1573-8760</t>
  </si>
  <si>
    <t>1071-2836</t>
  </si>
  <si>
    <t>https://link.springer.com/journal/10946</t>
  </si>
  <si>
    <t>Journal of Scheduling</t>
  </si>
  <si>
    <t>1099-1425</t>
  </si>
  <si>
    <t>1094-6136</t>
  </si>
  <si>
    <t>https://link.springer.com/journal/10951</t>
  </si>
  <si>
    <t>Journal of Science Education and Technology</t>
  </si>
  <si>
    <t>1573-1839</t>
  </si>
  <si>
    <t>1059-0145</t>
  </si>
  <si>
    <t>https://link.springer.com/journal/10956</t>
  </si>
  <si>
    <t>Journal of Science in Sport and Exercise</t>
  </si>
  <si>
    <t>2662-1371</t>
  </si>
  <si>
    <t>2096-6709</t>
  </si>
  <si>
    <t>https://link.springer.com/journal/42978</t>
  </si>
  <si>
    <t>Journal of Scientific Computing</t>
  </si>
  <si>
    <t>1573-7691</t>
  </si>
  <si>
    <t>0885-7474</t>
  </si>
  <si>
    <t>https://link.springer.com/journal/10915</t>
  </si>
  <si>
    <t>Journal of Sedimentary Environments</t>
  </si>
  <si>
    <t>2447-9462</t>
  </si>
  <si>
    <t>2662-5571</t>
  </si>
  <si>
    <t>https://link.springer.com/journal/43217</t>
  </si>
  <si>
    <t>Journal of Seismology</t>
  </si>
  <si>
    <t>1573-157X</t>
  </si>
  <si>
    <t>1383-4649</t>
  </si>
  <si>
    <t>https://link.springer.com/journal/10950</t>
  </si>
  <si>
    <t>Journal of Shanghai Jiaotong University (Science)</t>
  </si>
  <si>
    <t>1995-8188</t>
  </si>
  <si>
    <t>1007-1172</t>
  </si>
  <si>
    <t>https://link.springer.com/journal/12204</t>
  </si>
  <si>
    <t>Shanghai Jiaotong University Press, co-published with Springer</t>
  </si>
  <si>
    <t>Journal of Signal Processing Systems</t>
  </si>
  <si>
    <t>1939-8115</t>
  </si>
  <si>
    <t>1939-8018</t>
  </si>
  <si>
    <t>https://link.springer.com/journal/11265</t>
  </si>
  <si>
    <t>Journal of Social and Economic Development</t>
  </si>
  <si>
    <t>2199-6873</t>
  </si>
  <si>
    <t>0972-5792</t>
  </si>
  <si>
    <t>https://link.springer.com/journal/40847</t>
  </si>
  <si>
    <t>Journal of Soil Science and Plant Nutrition</t>
  </si>
  <si>
    <t>0718-9516</t>
  </si>
  <si>
    <t>0718-9508</t>
  </si>
  <si>
    <t>https://link.springer.com/journal/42729</t>
  </si>
  <si>
    <t>Journal of Soils and Sediments</t>
  </si>
  <si>
    <t>1614-7480</t>
  </si>
  <si>
    <t>1439-0108</t>
  </si>
  <si>
    <t>https://link.springer.com/journal/11368</t>
  </si>
  <si>
    <t>Journal of Sol-Gel Science and Technology</t>
  </si>
  <si>
    <t>1573-4846</t>
  </si>
  <si>
    <t>0928-0707</t>
  </si>
  <si>
    <t>https://link.springer.com/journal/10971</t>
  </si>
  <si>
    <t>Journal of Solid State Electrochemistry</t>
  </si>
  <si>
    <t>1433-0768</t>
  </si>
  <si>
    <t>1432-8488</t>
  </si>
  <si>
    <t>https://link.springer.com/journal/10008</t>
  </si>
  <si>
    <t>Journal of Solution Chemistry</t>
  </si>
  <si>
    <t>1572-8927</t>
  </si>
  <si>
    <t>0095-9782</t>
  </si>
  <si>
    <t>https://link.springer.com/journal/10953</t>
  </si>
  <si>
    <t>Journal of Spatial Econometrics</t>
  </si>
  <si>
    <t>2662-298X</t>
  </si>
  <si>
    <t>https://link.springer.com/journal/43071</t>
  </si>
  <si>
    <t>Journal of Statistical Physics</t>
  </si>
  <si>
    <t>1572-9613</t>
  </si>
  <si>
    <t>https://link.springer.com/journal/10955</t>
  </si>
  <si>
    <t>Journal of Statistical Theory and Practice</t>
  </si>
  <si>
    <t>1559-8616</t>
  </si>
  <si>
    <t>1559-8608</t>
  </si>
  <si>
    <t>https://link.springer.com/journal/42519</t>
  </si>
  <si>
    <t>Journal of Structural Chemistry</t>
  </si>
  <si>
    <t>1573-8779</t>
  </si>
  <si>
    <t>0022-4766</t>
  </si>
  <si>
    <t>https://link.springer.com/journal/10947</t>
  </si>
  <si>
    <t>Journal of Superconductivity and Novel Magnetism</t>
  </si>
  <si>
    <t>1557-1947</t>
  </si>
  <si>
    <t>1557-1939</t>
  </si>
  <si>
    <t>https://link.springer.com/journal/10948</t>
  </si>
  <si>
    <t>Journal of Superhard Materials</t>
  </si>
  <si>
    <t>1934-9408</t>
  </si>
  <si>
    <t>1063-4576</t>
  </si>
  <si>
    <t>https://link.springer.com/journal/11961</t>
  </si>
  <si>
    <t>Journal of Surface Investigation: X-ray, Synchrotron and Neutron Techniques</t>
  </si>
  <si>
    <t>1819-7094</t>
  </si>
  <si>
    <t>1027-4510</t>
  </si>
  <si>
    <t>https://link.springer.com/journal/11700</t>
  </si>
  <si>
    <t>Journal of Sustainable Metallurgy</t>
  </si>
  <si>
    <t>2199-3831</t>
  </si>
  <si>
    <t>2199-3823</t>
  </si>
  <si>
    <t>https://link.springer.com/journal/40831</t>
  </si>
  <si>
    <t>Journal of Systems Science and Complexity</t>
  </si>
  <si>
    <t>1559-7067</t>
  </si>
  <si>
    <t>1009-6124</t>
  </si>
  <si>
    <t>https://link.springer.com/journal/11424</t>
  </si>
  <si>
    <t>Academy of Mathematics and Systems Science, Chinese Academy of Sciences, co-published with Springer</t>
  </si>
  <si>
    <t>Journal of Systems Science and Systems Engineering</t>
  </si>
  <si>
    <t>1861-9576</t>
  </si>
  <si>
    <t>1004-3756</t>
  </si>
  <si>
    <t>https://link.springer.com/journal/11518</t>
  </si>
  <si>
    <t>Journal of Technology in Behavioral Science</t>
  </si>
  <si>
    <t>2366-5963</t>
  </si>
  <si>
    <t>https://link.springer.com/journal/41347</t>
  </si>
  <si>
    <t>Journal of the Academy of Marketing Science</t>
  </si>
  <si>
    <t>1552-7824</t>
  </si>
  <si>
    <t>0092-0703</t>
  </si>
  <si>
    <t>https://link.springer.com/journal/11747</t>
  </si>
  <si>
    <t>Journal of the Association for Research in Otolaryngology</t>
  </si>
  <si>
    <t>1438-7573</t>
  </si>
  <si>
    <t>https://link.springer.com/journal/10162</t>
  </si>
  <si>
    <t>Journal of the Australian Ceramic Society</t>
  </si>
  <si>
    <t>2510-1579</t>
  </si>
  <si>
    <t>2510-1560</t>
  </si>
  <si>
    <t>https://link.springer.com/journal/41779</t>
  </si>
  <si>
    <t>Journal of the Brazilian Society of Mechanical Sciences and Engineering</t>
  </si>
  <si>
    <t>1806-3691</t>
  </si>
  <si>
    <t>1678-5878</t>
  </si>
  <si>
    <t>https://link.springer.com/journal/40430</t>
  </si>
  <si>
    <t>Journal of the Economic Science Association</t>
  </si>
  <si>
    <t>2199-6784</t>
  </si>
  <si>
    <t>https://link.springer.com/journal/40881</t>
  </si>
  <si>
    <t>Journal of the Geological Society of India</t>
  </si>
  <si>
    <t>0974-6889</t>
  </si>
  <si>
    <t>https://link.springer.com/journal/12594</t>
  </si>
  <si>
    <t>Journal of the History of Biology</t>
  </si>
  <si>
    <t>1573-0387</t>
  </si>
  <si>
    <t>0022-5010</t>
  </si>
  <si>
    <t>https://link.springer.com/journal/10739</t>
  </si>
  <si>
    <t>Journal of the Indian Academy of Wood Science</t>
  </si>
  <si>
    <t>0976-8432</t>
  </si>
  <si>
    <t>0972-172X</t>
  </si>
  <si>
    <t>https://link.springer.com/journal/13196</t>
  </si>
  <si>
    <t>Journal of the Indian Institute of Science</t>
  </si>
  <si>
    <t>0019-4964</t>
  </si>
  <si>
    <t>0970-4140</t>
  </si>
  <si>
    <t>https://link.springer.com/journal/41745</t>
  </si>
  <si>
    <t>Journal of the Indian Society for Probability and Statistics</t>
  </si>
  <si>
    <t>2364-9569</t>
  </si>
  <si>
    <t>https://link.springer.com/journal/41096</t>
  </si>
  <si>
    <t>Journal of the Indian Society of Remote Sensing</t>
  </si>
  <si>
    <t>0974-3006</t>
  </si>
  <si>
    <t>0255-660X</t>
  </si>
  <si>
    <t>https://link.springer.com/journal/12524</t>
  </si>
  <si>
    <t>Journal of The Institution of Engineers (India): Series A</t>
  </si>
  <si>
    <t>2250-2157</t>
  </si>
  <si>
    <t>2250-2149</t>
  </si>
  <si>
    <t>https://link.springer.com/journal/40030</t>
  </si>
  <si>
    <t>Journal of The Institution of Engineers (India): Series B</t>
  </si>
  <si>
    <t>2250-2114</t>
  </si>
  <si>
    <t>2250-2106</t>
  </si>
  <si>
    <t>https://link.springer.com/journal/40031</t>
  </si>
  <si>
    <t>Journal of The Institution of Engineers (India): Series C</t>
  </si>
  <si>
    <t>2250-0553</t>
  </si>
  <si>
    <t>2250-0545</t>
  </si>
  <si>
    <t>https://link.springer.com/journal/40032</t>
  </si>
  <si>
    <t>Journal of The Institution of Engineers (India): Series D</t>
  </si>
  <si>
    <t>2250-2130</t>
  </si>
  <si>
    <t>2250-2122</t>
  </si>
  <si>
    <t>https://link.springer.com/journal/40033</t>
  </si>
  <si>
    <t>Journal of The Institution of Engineers (India): Series E</t>
  </si>
  <si>
    <t>2250-2491</t>
  </si>
  <si>
    <t>2250-2483</t>
  </si>
  <si>
    <t>https://link.springer.com/journal/40034</t>
  </si>
  <si>
    <t>Journal of the Iranian Chemical Society</t>
  </si>
  <si>
    <t>1735-2428</t>
  </si>
  <si>
    <t>1735-207X</t>
  </si>
  <si>
    <t>https://link.springer.com/journal/13738</t>
  </si>
  <si>
    <t>Journal of the Knowledge Economy</t>
  </si>
  <si>
    <t>1868-7873</t>
  </si>
  <si>
    <t>https://link.springer.com/journal/13132</t>
  </si>
  <si>
    <t>Journal of the Korean Ceramic Society</t>
  </si>
  <si>
    <t>2234-0491</t>
  </si>
  <si>
    <t>1229-7801</t>
  </si>
  <si>
    <t>https://link.springer.com/journal/43207</t>
  </si>
  <si>
    <t>Journal of the Korean Physical Society</t>
  </si>
  <si>
    <t>1976-8524</t>
  </si>
  <si>
    <t>0374-4884</t>
  </si>
  <si>
    <t>https://link.springer.com/journal/40042</t>
  </si>
  <si>
    <t>The Korean Physical Society, co-published with Springer</t>
  </si>
  <si>
    <t>Journal of the Korean Statistical Society</t>
  </si>
  <si>
    <t>2005-2863</t>
  </si>
  <si>
    <t>1226-3192</t>
  </si>
  <si>
    <t>https://link.springer.com/journal/42952</t>
  </si>
  <si>
    <t>Journal of the Operations Research Society of China</t>
  </si>
  <si>
    <t>2194-6698</t>
  </si>
  <si>
    <t>2194-668X</t>
  </si>
  <si>
    <t>https://link.springer.com/journal/40305</t>
  </si>
  <si>
    <t>Operations Research Society of China, co-published with Springer</t>
  </si>
  <si>
    <t>Journal of Theoretical Probability</t>
  </si>
  <si>
    <t>1572-9230</t>
  </si>
  <si>
    <t>0894-9840</t>
  </si>
  <si>
    <t>https://link.springer.com/journal/10959</t>
  </si>
  <si>
    <t>Journal of Thermal Analysis and Calorimetry</t>
  </si>
  <si>
    <t>1588-2926</t>
  </si>
  <si>
    <t>1388-6150</t>
  </si>
  <si>
    <t>https://link.springer.com/journal/10973</t>
  </si>
  <si>
    <t>Journal of Thermal Science</t>
  </si>
  <si>
    <t>1993-033X</t>
  </si>
  <si>
    <t>1003-2169</t>
  </si>
  <si>
    <t>https://link.springer.com/journal/11630</t>
  </si>
  <si>
    <t>Journal of Thermal Spray Technology</t>
  </si>
  <si>
    <t>1544-1016</t>
  </si>
  <si>
    <t>1059-9630</t>
  </si>
  <si>
    <t>https://link.springer.com/journal/11666</t>
  </si>
  <si>
    <t>Journal of Thrombosis and Thrombolysis</t>
  </si>
  <si>
    <t>1573-742X</t>
  </si>
  <si>
    <t>https://link.springer.com/journal/11239</t>
  </si>
  <si>
    <t>Journal of Transportation Security</t>
  </si>
  <si>
    <t>1938-775X</t>
  </si>
  <si>
    <t>https://link.springer.com/journal/12198</t>
  </si>
  <si>
    <t>Journal of Ultrasound</t>
  </si>
  <si>
    <t>1876-7931</t>
  </si>
  <si>
    <t>https://link.springer.com/journal/40477</t>
  </si>
  <si>
    <t>Journal of Urban Health</t>
  </si>
  <si>
    <t>1468-2869</t>
  </si>
  <si>
    <t>1099-3460</t>
  </si>
  <si>
    <t>https://link.springer.com/journal/11524</t>
  </si>
  <si>
    <t>Journal of Vibration Engineering &amp; Technologies</t>
  </si>
  <si>
    <t>2523-3939</t>
  </si>
  <si>
    <t>2523-3920</t>
  </si>
  <si>
    <t>https://link.springer.com/journal/42417</t>
  </si>
  <si>
    <t>Journal of Visualization</t>
  </si>
  <si>
    <t>1875-8975</t>
  </si>
  <si>
    <t>1343-8875</t>
  </si>
  <si>
    <t>https://link.springer.com/journal/12650</t>
  </si>
  <si>
    <t>Journal of Volcanology and Seismology</t>
  </si>
  <si>
    <t>1819-7108</t>
  </si>
  <si>
    <t>0742-0463</t>
  </si>
  <si>
    <t>https://link.springer.com/journal/11711</t>
  </si>
  <si>
    <t>Journal of Water Chemistry and Technology</t>
  </si>
  <si>
    <t>1934-936X</t>
  </si>
  <si>
    <t>1063-455X</t>
  </si>
  <si>
    <t>https://link.springer.com/journal/11962</t>
  </si>
  <si>
    <t>Journal of World Prehistory</t>
  </si>
  <si>
    <t>1573-7802</t>
  </si>
  <si>
    <t>0892-7537</t>
  </si>
  <si>
    <t>https://link.springer.com/journal/10963</t>
  </si>
  <si>
    <t>Journal of Wuhan University of Technology-Mater. Sci. Ed.</t>
  </si>
  <si>
    <t>1993-0437</t>
  </si>
  <si>
    <t>1000-2413</t>
  </si>
  <si>
    <t>https://link.springer.com/journal/11595</t>
  </si>
  <si>
    <t>Wuhan University of Technology, co-published with Springer</t>
  </si>
  <si>
    <t>Journal of Youth and Adolescence</t>
  </si>
  <si>
    <t>1573-6601</t>
  </si>
  <si>
    <t>0047-2891</t>
  </si>
  <si>
    <t>https://link.springer.com/journal/10964</t>
  </si>
  <si>
    <t>Journal of Zhejiang University-SCIENCE A</t>
  </si>
  <si>
    <t>1862-1775</t>
  </si>
  <si>
    <t>1673-565X</t>
  </si>
  <si>
    <t>https://link.springer.com/journal/11582</t>
  </si>
  <si>
    <t>Journal of Zhejiang University-SCIENCE B</t>
  </si>
  <si>
    <t>1862-1783</t>
  </si>
  <si>
    <t>1673-1581</t>
  </si>
  <si>
    <t>https://link.springer.com/journal/11585</t>
  </si>
  <si>
    <t>Journal on Multimodal User Interfaces</t>
  </si>
  <si>
    <t>1783-8738</t>
  </si>
  <si>
    <t>1783-7677</t>
  </si>
  <si>
    <t>https://link.springer.com/journal/12193</t>
  </si>
  <si>
    <t>JPC – Journal of Planar Chromatography – Modern TLC</t>
  </si>
  <si>
    <t>1789-0993</t>
  </si>
  <si>
    <t>0933-4173</t>
  </si>
  <si>
    <t>https://link.springer.com/journal/764</t>
  </si>
  <si>
    <t>Jus Cogens</t>
  </si>
  <si>
    <t>2524-3985</t>
  </si>
  <si>
    <t>2524-3977</t>
  </si>
  <si>
    <t>https://link.springer.com/journal/42439</t>
  </si>
  <si>
    <t>Keramische Zeitschrift</t>
  </si>
  <si>
    <t>2523-8949</t>
  </si>
  <si>
    <t>0023-0561</t>
  </si>
  <si>
    <t>https://link.springer.com/journal/42410</t>
  </si>
  <si>
    <t>Kew Bulletin</t>
  </si>
  <si>
    <t>1874-933X</t>
  </si>
  <si>
    <t>0075-5974</t>
  </si>
  <si>
    <t>https://link.springer.com/journal/12225</t>
  </si>
  <si>
    <t>KI - Künstliche Intelligenz</t>
  </si>
  <si>
    <t>1610-1987</t>
  </si>
  <si>
    <t>0933-1875</t>
  </si>
  <si>
    <t>https://link.springer.com/journal/13218</t>
  </si>
  <si>
    <t>Kinematics and Physics of Celestial Bodies</t>
  </si>
  <si>
    <t>1934-8401</t>
  </si>
  <si>
    <t>0884-5913</t>
  </si>
  <si>
    <t>https://link.springer.com/journal/11963</t>
  </si>
  <si>
    <t>Kinetics and Catalysis</t>
  </si>
  <si>
    <t>1608-3210</t>
  </si>
  <si>
    <t>0023-1584</t>
  </si>
  <si>
    <t>https://link.springer.com/journal/10975</t>
  </si>
  <si>
    <t>KN - Journal of Cartography and Geographic Information</t>
  </si>
  <si>
    <t>2524-4965</t>
  </si>
  <si>
    <t>2524-4957</t>
  </si>
  <si>
    <t>https://link.springer.com/journal/42489</t>
  </si>
  <si>
    <t>Knee Surgery, Sports Traumatology, Arthroscopy</t>
  </si>
  <si>
    <t>1433-7347</t>
  </si>
  <si>
    <t>0942-2056</t>
  </si>
  <si>
    <t>https://link.springer.com/journal/167</t>
  </si>
  <si>
    <t>Knie Journal</t>
  </si>
  <si>
    <t>2662-4036</t>
  </si>
  <si>
    <t>2662-4028</t>
  </si>
  <si>
    <t>https://link.springer.com/journal/43205</t>
  </si>
  <si>
    <t>Knowledge and Information Systems</t>
  </si>
  <si>
    <t>0219-3116</t>
  </si>
  <si>
    <t>0219-1377</t>
  </si>
  <si>
    <t>https://link.springer.com/journal/10115</t>
  </si>
  <si>
    <t>Korea-Australia Rheology Journal</t>
  </si>
  <si>
    <t>2093-7660</t>
  </si>
  <si>
    <t>1226-119X</t>
  </si>
  <si>
    <t>https://link.springer.com/journal/13367</t>
  </si>
  <si>
    <t>Korean Society of Rheology, Australian Society of Rheology, co-published with Springer</t>
  </si>
  <si>
    <t>Korean Journal of Chemical Engineering</t>
  </si>
  <si>
    <t>1975-7220</t>
  </si>
  <si>
    <t>0256-1115</t>
  </si>
  <si>
    <t>https://link.springer.com/journal/11814</t>
  </si>
  <si>
    <t>KSCE Journal of Civil Engineering</t>
  </si>
  <si>
    <t>1976-3808</t>
  </si>
  <si>
    <t>1226-7988</t>
  </si>
  <si>
    <t>https://link.springer.com/journal/12205</t>
  </si>
  <si>
    <t>Korean Society of Civil Engineers, co-published with Springer</t>
  </si>
  <si>
    <t>KZfSS Kölner Zeitschrift für Soziologie und Sozialpsychologie</t>
  </si>
  <si>
    <t>1861-891X</t>
  </si>
  <si>
    <t>0023-2653</t>
  </si>
  <si>
    <t>https://link.springer.com/journal/11577</t>
  </si>
  <si>
    <t>La Matematica</t>
  </si>
  <si>
    <t>2730-9657</t>
  </si>
  <si>
    <t>https://link.springer.com/journal/44007</t>
  </si>
  <si>
    <t>La radiologia medica</t>
  </si>
  <si>
    <t>1826-6983</t>
  </si>
  <si>
    <t>https://link.springer.com/journal/11547</t>
  </si>
  <si>
    <t>La Rivista del Nuovo Cimento</t>
  </si>
  <si>
    <t>1826-9850</t>
  </si>
  <si>
    <t>0393-697X</t>
  </si>
  <si>
    <t>https://link.springer.com/journal/40766</t>
  </si>
  <si>
    <t>Landscape and Ecological Engineering</t>
  </si>
  <si>
    <t>1860-188X</t>
  </si>
  <si>
    <t>1860-1871</t>
  </si>
  <si>
    <t>https://link.springer.com/journal/11355</t>
  </si>
  <si>
    <t>Landscape Ecology</t>
  </si>
  <si>
    <t>1572-9761</t>
  </si>
  <si>
    <t>0921-2973</t>
  </si>
  <si>
    <t>https://link.springer.com/journal/10980</t>
  </si>
  <si>
    <t>Landslides</t>
  </si>
  <si>
    <t>1612-5118</t>
  </si>
  <si>
    <t>1612-510X</t>
  </si>
  <si>
    <t>https://link.springer.com/journal/10346</t>
  </si>
  <si>
    <t>Langenbeck's Archives of Surgery</t>
  </si>
  <si>
    <t>1435-2451</t>
  </si>
  <si>
    <t>https://link.springer.com/journal/423</t>
  </si>
  <si>
    <t>Language Policy</t>
  </si>
  <si>
    <t>1573-1863</t>
  </si>
  <si>
    <t>1568-4555</t>
  </si>
  <si>
    <t>https://link.springer.com/journal/10993</t>
  </si>
  <si>
    <t>Language Resources and Evaluation</t>
  </si>
  <si>
    <t>1574-0218</t>
  </si>
  <si>
    <t>1574-020X</t>
  </si>
  <si>
    <t>https://link.springer.com/journal/10579</t>
  </si>
  <si>
    <t>Lasers in Dental Science</t>
  </si>
  <si>
    <t>2367-2587</t>
  </si>
  <si>
    <t>https://link.springer.com/journal/41547</t>
  </si>
  <si>
    <t>Lasers in Manufacturing and Materials Processing</t>
  </si>
  <si>
    <t>2196-7237</t>
  </si>
  <si>
    <t>2196-7229</t>
  </si>
  <si>
    <t>https://link.springer.com/journal/40516</t>
  </si>
  <si>
    <t>Lasers in Medical Science</t>
  </si>
  <si>
    <t>1435-604X</t>
  </si>
  <si>
    <t>https://link.springer.com/journal/10103</t>
  </si>
  <si>
    <t>Law and Critique</t>
  </si>
  <si>
    <t>1572-8617</t>
  </si>
  <si>
    <t>0957-8536</t>
  </si>
  <si>
    <t>https://link.springer.com/journal/10978</t>
  </si>
  <si>
    <t>Law and Philosophy</t>
  </si>
  <si>
    <t>1573-0522</t>
  </si>
  <si>
    <t>0167-5249</t>
  </si>
  <si>
    <t>https://link.springer.com/journal/10982</t>
  </si>
  <si>
    <t>Learning &amp; Behavior</t>
  </si>
  <si>
    <t>1543-4508</t>
  </si>
  <si>
    <t>1543-4494</t>
  </si>
  <si>
    <t>https://link.springer.com/journal/13420</t>
  </si>
  <si>
    <t>Learning Environments Research</t>
  </si>
  <si>
    <t>1573-1855</t>
  </si>
  <si>
    <t>1387-1579</t>
  </si>
  <si>
    <t>https://link.springer.com/journal/10984</t>
  </si>
  <si>
    <t>L'Endocrinologo</t>
  </si>
  <si>
    <t>1720-8351</t>
  </si>
  <si>
    <t>1590-170X</t>
  </si>
  <si>
    <t>https://link.springer.com/journal/40619</t>
  </si>
  <si>
    <t>Letters in Mathematical Physics</t>
  </si>
  <si>
    <t>1573-0530</t>
  </si>
  <si>
    <t>https://link.springer.com/journal/11005</t>
  </si>
  <si>
    <t>Letters in Spatial and Resource Sciences</t>
  </si>
  <si>
    <t>1864-404X</t>
  </si>
  <si>
    <t>https://link.springer.com/journal/12076</t>
  </si>
  <si>
    <t>Life Cycle Reliability and Safety Engineering</t>
  </si>
  <si>
    <t>2520-1360</t>
  </si>
  <si>
    <t>2520-1352</t>
  </si>
  <si>
    <t>https://link.springer.com/journal/41872</t>
  </si>
  <si>
    <t>Lifetime Data Analysis</t>
  </si>
  <si>
    <t>1572-9249</t>
  </si>
  <si>
    <t>1380-7870</t>
  </si>
  <si>
    <t>https://link.springer.com/journal/10985</t>
  </si>
  <si>
    <t>Limnology</t>
  </si>
  <si>
    <t>1439-863X</t>
  </si>
  <si>
    <t>1439-8621</t>
  </si>
  <si>
    <t>https://link.springer.com/journal/10201</t>
  </si>
  <si>
    <t>Linguistics and Philosophy</t>
  </si>
  <si>
    <t>1573-0549</t>
  </si>
  <si>
    <t>0165-0157</t>
  </si>
  <si>
    <t>https://link.springer.com/journal/10988</t>
  </si>
  <si>
    <t>List Forum für Wirtschafts- und Finanzpolitik</t>
  </si>
  <si>
    <t>2364-3943</t>
  </si>
  <si>
    <t>0937-0862</t>
  </si>
  <si>
    <t>https://link.springer.com/journal/41025</t>
  </si>
  <si>
    <t>Lithology and Mineral Resources</t>
  </si>
  <si>
    <t>1608-3229</t>
  </si>
  <si>
    <t>0024-4902</t>
  </si>
  <si>
    <t>https://link.springer.com/journal/10987</t>
  </si>
  <si>
    <t>Lithuanian Mathematical Journal</t>
  </si>
  <si>
    <t>1573-8825</t>
  </si>
  <si>
    <t>0363-1672</t>
  </si>
  <si>
    <t>https://link.springer.com/journal/10986</t>
  </si>
  <si>
    <t>Liverpool Law Review</t>
  </si>
  <si>
    <t>1572-8625</t>
  </si>
  <si>
    <t>0144-932X</t>
  </si>
  <si>
    <t>https://link.springer.com/journal/10991</t>
  </si>
  <si>
    <t>Lobachevskii Journal of Mathematics</t>
  </si>
  <si>
    <t>1818-9962</t>
  </si>
  <si>
    <t>1995-0802</t>
  </si>
  <si>
    <t>https://link.springer.com/journal/12202</t>
  </si>
  <si>
    <t>Logica Universalis</t>
  </si>
  <si>
    <t>1661-8300</t>
  </si>
  <si>
    <t>1661-8297</t>
  </si>
  <si>
    <t>https://link.springer.com/journal/11787</t>
  </si>
  <si>
    <t>Lung</t>
  </si>
  <si>
    <t>1432-1750</t>
  </si>
  <si>
    <t>https://link.springer.com/journal/408</t>
  </si>
  <si>
    <t>Machine Intelligence Research</t>
  </si>
  <si>
    <t>1751-8520</t>
  </si>
  <si>
    <t>1476-8186</t>
  </si>
  <si>
    <t>https://link.springer.com/journal/11633</t>
  </si>
  <si>
    <t>Institute of Automation, Chinese Academy of Sciences, co-published with Springer</t>
  </si>
  <si>
    <t>Machine Learning</t>
  </si>
  <si>
    <t>1573-0565</t>
  </si>
  <si>
    <t>0885-6125</t>
  </si>
  <si>
    <t>https://link.springer.com/journal/10994</t>
  </si>
  <si>
    <t>Machine Vision and Applications</t>
  </si>
  <si>
    <t>1432-1769</t>
  </si>
  <si>
    <t>0932-8092</t>
  </si>
  <si>
    <t>https://link.springer.com/journal/138</t>
  </si>
  <si>
    <t>Macromolecular Research</t>
  </si>
  <si>
    <t>2092-7673</t>
  </si>
  <si>
    <t>1598-5032</t>
  </si>
  <si>
    <t>https://link.springer.com/journal/13233</t>
  </si>
  <si>
    <t>The Polymer Society of Korea, co-published with Springer</t>
  </si>
  <si>
    <t>Magnetic Resonance Materials in Physics, Biology and Medicine</t>
  </si>
  <si>
    <t>1352-8661</t>
  </si>
  <si>
    <t>https://link.springer.com/journal/10334</t>
  </si>
  <si>
    <t>Mammal Research</t>
  </si>
  <si>
    <t>2199-241X</t>
  </si>
  <si>
    <t>2199-2401</t>
  </si>
  <si>
    <t>https://link.springer.com/journal/13364</t>
  </si>
  <si>
    <t>Mammalian Biology</t>
  </si>
  <si>
    <t>1618-1476</t>
  </si>
  <si>
    <t>1616-5047</t>
  </si>
  <si>
    <t>https://link.springer.com/journal/42991</t>
  </si>
  <si>
    <t>Mammalian Genome</t>
  </si>
  <si>
    <t>1432-1777</t>
  </si>
  <si>
    <t>0938-8990</t>
  </si>
  <si>
    <t>https://link.springer.com/journal/335</t>
  </si>
  <si>
    <t>Management International Review</t>
  </si>
  <si>
    <t>1861-8901</t>
  </si>
  <si>
    <t>0938-8249</t>
  </si>
  <si>
    <t>https://link.springer.com/journal/11575</t>
  </si>
  <si>
    <t>Management Review Quarterly</t>
  </si>
  <si>
    <t>2198-1639</t>
  </si>
  <si>
    <t>2198-1620</t>
  </si>
  <si>
    <t>https://link.springer.com/journal/11301</t>
  </si>
  <si>
    <t>Manuelle Medizin</t>
  </si>
  <si>
    <t>1433-0466</t>
  </si>
  <si>
    <t>0025-2514</t>
  </si>
  <si>
    <t>https://link.springer.com/journal/337</t>
  </si>
  <si>
    <t>manuscripta mathematica</t>
  </si>
  <si>
    <t>1432-1785</t>
  </si>
  <si>
    <t>0025-2611</t>
  </si>
  <si>
    <t>https://link.springer.com/journal/229</t>
  </si>
  <si>
    <t>MAPAN</t>
  </si>
  <si>
    <t>0974-9853</t>
  </si>
  <si>
    <t>0970-3950</t>
  </si>
  <si>
    <t>https://link.springer.com/journal/12647</t>
  </si>
  <si>
    <t>Marine Biodiversity</t>
  </si>
  <si>
    <t>1867-1624</t>
  </si>
  <si>
    <t>1867-1616</t>
  </si>
  <si>
    <t>https://link.springer.com/journal/12526</t>
  </si>
  <si>
    <t>Marine Biology</t>
  </si>
  <si>
    <t>1432-1793</t>
  </si>
  <si>
    <t>0025-3162</t>
  </si>
  <si>
    <t>https://link.springer.com/journal/227</t>
  </si>
  <si>
    <t>Marine Biotechnology</t>
  </si>
  <si>
    <t>1436-2236</t>
  </si>
  <si>
    <t>1436-2228</t>
  </si>
  <si>
    <t>https://link.springer.com/journal/10126</t>
  </si>
  <si>
    <t>Marine Geophysical Research</t>
  </si>
  <si>
    <t>1573-0581</t>
  </si>
  <si>
    <t>0025-3235</t>
  </si>
  <si>
    <t>https://link.springer.com/journal/11001</t>
  </si>
  <si>
    <t>Marine Life Science &amp; Technology</t>
  </si>
  <si>
    <t>2662-1746</t>
  </si>
  <si>
    <t>https://link.springer.com/journal/42995</t>
  </si>
  <si>
    <t>Marine Systems &amp; Ocean Technology</t>
  </si>
  <si>
    <t>2199-4749</t>
  </si>
  <si>
    <t>1679-396X</t>
  </si>
  <si>
    <t>https://link.springer.com/journal/40868</t>
  </si>
  <si>
    <t>Maritime Studies</t>
  </si>
  <si>
    <t>2212-9790</t>
  </si>
  <si>
    <t>1872-7859</t>
  </si>
  <si>
    <t>https://link.springer.com/journal/40152</t>
  </si>
  <si>
    <t>Marketing Letters</t>
  </si>
  <si>
    <t>1573-059X</t>
  </si>
  <si>
    <t>0923-0645</t>
  </si>
  <si>
    <t>https://link.springer.com/journal/11002</t>
  </si>
  <si>
    <t>Materials and Structures</t>
  </si>
  <si>
    <t>1871-6873</t>
  </si>
  <si>
    <t>1359-5997</t>
  </si>
  <si>
    <t>https://link.springer.com/journal/11527</t>
  </si>
  <si>
    <t>Materials Circular Economy</t>
  </si>
  <si>
    <t>2524-8154</t>
  </si>
  <si>
    <t>2524-8146</t>
  </si>
  <si>
    <t>https://link.springer.com/journal/42824</t>
  </si>
  <si>
    <t>Materials Science</t>
  </si>
  <si>
    <t>1573-885X</t>
  </si>
  <si>
    <t>1068-820X</t>
  </si>
  <si>
    <t>https://link.springer.com/journal/11003</t>
  </si>
  <si>
    <t>Maternal and Child Health Journal</t>
  </si>
  <si>
    <t>1573-6628</t>
  </si>
  <si>
    <t>1092-7875</t>
  </si>
  <si>
    <t>https://link.springer.com/journal/10995</t>
  </si>
  <si>
    <t>Mathematical Geosciences</t>
  </si>
  <si>
    <t>1874-8953</t>
  </si>
  <si>
    <t>1874-8961</t>
  </si>
  <si>
    <t>https://link.springer.com/journal/11004</t>
  </si>
  <si>
    <t>Mathematical Methods of Operations Research</t>
  </si>
  <si>
    <t>1432-5217</t>
  </si>
  <si>
    <t>1432-2994</t>
  </si>
  <si>
    <t>https://link.springer.com/journal/186</t>
  </si>
  <si>
    <t>Mathematical Methods of Statistics</t>
  </si>
  <si>
    <t>1934-8045</t>
  </si>
  <si>
    <t>1066-5307</t>
  </si>
  <si>
    <t>https://link.springer.com/journal/12004</t>
  </si>
  <si>
    <t>Mathematical Models and Computer Simulations</t>
  </si>
  <si>
    <t>2070-0490</t>
  </si>
  <si>
    <t>2070-0482</t>
  </si>
  <si>
    <t>https://link.springer.com/journal/12608</t>
  </si>
  <si>
    <t>Mathematical Notes</t>
  </si>
  <si>
    <t>1573-8876</t>
  </si>
  <si>
    <t>0001-4346</t>
  </si>
  <si>
    <t>https://link.springer.com/journal/11006</t>
  </si>
  <si>
    <t>Mathematical Physics, Analysis and Geometry</t>
  </si>
  <si>
    <t>1572-9656</t>
  </si>
  <si>
    <t>https://link.springer.com/journal/11040</t>
  </si>
  <si>
    <t>Mathematical Programming</t>
  </si>
  <si>
    <t>1436-4646</t>
  </si>
  <si>
    <t>0025-5610</t>
  </si>
  <si>
    <t>https://link.springer.com/journal/10107</t>
  </si>
  <si>
    <t>Mathematical Programming Computation</t>
  </si>
  <si>
    <t>1867-2957</t>
  </si>
  <si>
    <t>1867-2949</t>
  </si>
  <si>
    <t>https://link.springer.com/journal/12532</t>
  </si>
  <si>
    <t>Mathematical Sciences</t>
  </si>
  <si>
    <t>2251-7456</t>
  </si>
  <si>
    <t>https://link.springer.com/journal/40096</t>
  </si>
  <si>
    <t>Mathematics and Financial Economics</t>
  </si>
  <si>
    <t>1862-9660</t>
  </si>
  <si>
    <t>1862-9679</t>
  </si>
  <si>
    <t>https://link.springer.com/journal/11579</t>
  </si>
  <si>
    <t>Mathematics Education Research Journal</t>
  </si>
  <si>
    <t>2211-050X</t>
  </si>
  <si>
    <t>1033-2170</t>
  </si>
  <si>
    <t>https://link.springer.com/journal/13394</t>
  </si>
  <si>
    <t>Mathematics in Computer Science</t>
  </si>
  <si>
    <t>1661-8289</t>
  </si>
  <si>
    <t>1661-8270</t>
  </si>
  <si>
    <t>https://link.springer.com/journal/11786</t>
  </si>
  <si>
    <t>Mathematics of Control, Signals, and Systems</t>
  </si>
  <si>
    <t>1435-568X</t>
  </si>
  <si>
    <t>0932-4194</t>
  </si>
  <si>
    <t>https://link.springer.com/journal/498</t>
  </si>
  <si>
    <t>Mathematische Annalen</t>
  </si>
  <si>
    <t>1432-1807</t>
  </si>
  <si>
    <t>0025-5831</t>
  </si>
  <si>
    <t>https://link.springer.com/journal/208</t>
  </si>
  <si>
    <t>Mathematische Semesterberichte</t>
  </si>
  <si>
    <t>1432-1815</t>
  </si>
  <si>
    <t>0720-728X</t>
  </si>
  <si>
    <t>https://link.springer.com/journal/591</t>
  </si>
  <si>
    <t>Mathematische Zeitschrift</t>
  </si>
  <si>
    <t>1432-1823</t>
  </si>
  <si>
    <t>0025-5874</t>
  </si>
  <si>
    <t>https://link.springer.com/journal/209</t>
  </si>
  <si>
    <t>Measurement Techniques</t>
  </si>
  <si>
    <t>1573-8906</t>
  </si>
  <si>
    <t>0543-1972</t>
  </si>
  <si>
    <t>https://link.springer.com/journal/11018</t>
  </si>
  <si>
    <t>Meccanica</t>
  </si>
  <si>
    <t>1572-9648</t>
  </si>
  <si>
    <t>0025-6455</t>
  </si>
  <si>
    <t>https://link.springer.com/journal/11012</t>
  </si>
  <si>
    <t>Mechanics of Composite Materials</t>
  </si>
  <si>
    <t>1573-8922</t>
  </si>
  <si>
    <t>0191-5665</t>
  </si>
  <si>
    <t>https://link.springer.com/journal/11029</t>
  </si>
  <si>
    <t>Mechanics of Soft Materials</t>
  </si>
  <si>
    <t>2524-5619</t>
  </si>
  <si>
    <t>2524-5600</t>
  </si>
  <si>
    <t>https://link.springer.com/journal/42558</t>
  </si>
  <si>
    <t>Mechanics of Solids</t>
  </si>
  <si>
    <t>1934-7936</t>
  </si>
  <si>
    <t>0025-6544</t>
  </si>
  <si>
    <t>https://link.springer.com/journal/11964</t>
  </si>
  <si>
    <t>Mechanics of Time-Dependent Materials</t>
  </si>
  <si>
    <t>1573-2738</t>
  </si>
  <si>
    <t>1385-2000</t>
  </si>
  <si>
    <t>https://link.springer.com/journal/11043</t>
  </si>
  <si>
    <t>Medical &amp; Biological Engineering &amp; Computing</t>
  </si>
  <si>
    <t>1741-0444</t>
  </si>
  <si>
    <t>0140-0118</t>
  </si>
  <si>
    <t>https://link.springer.com/journal/11517</t>
  </si>
  <si>
    <t>Medical Microbiology and Immunology</t>
  </si>
  <si>
    <t>1432-1831</t>
  </si>
  <si>
    <t>0300-8584</t>
  </si>
  <si>
    <t>https://link.springer.com/journal/430</t>
  </si>
  <si>
    <t>Medical Molecular Morphology</t>
  </si>
  <si>
    <t>1860-1499</t>
  </si>
  <si>
    <t>1860-1480</t>
  </si>
  <si>
    <t>https://link.springer.com/journal/795</t>
  </si>
  <si>
    <t>Medical Oncology</t>
  </si>
  <si>
    <t>1559-131X</t>
  </si>
  <si>
    <t>https://link.springer.com/journal/12032</t>
  </si>
  <si>
    <t>Medical Science Educator</t>
  </si>
  <si>
    <t>2156-8650</t>
  </si>
  <si>
    <t>https://link.springer.com/journal/40670</t>
  </si>
  <si>
    <t>Medicinal Chemistry Research</t>
  </si>
  <si>
    <t>1554-8120</t>
  </si>
  <si>
    <t>1054-2523</t>
  </si>
  <si>
    <t>https://link.springer.com/journal/44</t>
  </si>
  <si>
    <t>Medicine, Health Care and Philosophy</t>
  </si>
  <si>
    <t>1572-8633</t>
  </si>
  <si>
    <t>1386-7423</t>
  </si>
  <si>
    <t>https://link.springer.com/journal/11019</t>
  </si>
  <si>
    <t>Mediterranean Geoscience Reviews</t>
  </si>
  <si>
    <t>2661-8648</t>
  </si>
  <si>
    <t>2661-863X</t>
  </si>
  <si>
    <t>https://link.springer.com/journal/42990</t>
  </si>
  <si>
    <t>Mediterranean Journal of Mathematics</t>
  </si>
  <si>
    <t>1660-5454</t>
  </si>
  <si>
    <t>1660-5446</t>
  </si>
  <si>
    <t>https://link.springer.com/journal/9</t>
  </si>
  <si>
    <t>Medizinische Klinik - Intensivmedizin und Notfallmedizin</t>
  </si>
  <si>
    <t>2193-6226</t>
  </si>
  <si>
    <t>2193-6218</t>
  </si>
  <si>
    <t>https://link.springer.com/journal/63</t>
  </si>
  <si>
    <t>Medizinrecht</t>
  </si>
  <si>
    <t>1433-8629</t>
  </si>
  <si>
    <t>0723-8886</t>
  </si>
  <si>
    <t>https://link.springer.com/journal/350</t>
  </si>
  <si>
    <t>Membranes and Membrane Technologies</t>
  </si>
  <si>
    <t>2517-7524</t>
  </si>
  <si>
    <t>2517-7516</t>
  </si>
  <si>
    <t>https://link.springer.com/journal/42755</t>
  </si>
  <si>
    <t>Memetic Computing</t>
  </si>
  <si>
    <t>1865-9292</t>
  </si>
  <si>
    <t>https://link.springer.com/journal/12293</t>
  </si>
  <si>
    <t>memo - Magazine of European Medical Oncology</t>
  </si>
  <si>
    <t>1865-5076</t>
  </si>
  <si>
    <t>1865-5041</t>
  </si>
  <si>
    <t>https://link.springer.com/journal/12254</t>
  </si>
  <si>
    <t>Memory &amp; Cognition</t>
  </si>
  <si>
    <t>1532-5946</t>
  </si>
  <si>
    <t>0090-502X</t>
  </si>
  <si>
    <t>https://link.springer.com/journal/13421</t>
  </si>
  <si>
    <t>Metabolic Brain Disease</t>
  </si>
  <si>
    <t>1573-7365</t>
  </si>
  <si>
    <t>0885-7490</t>
  </si>
  <si>
    <t>https://link.springer.com/journal/11011</t>
  </si>
  <si>
    <t>Metabolomics</t>
  </si>
  <si>
    <t>1573-3890</t>
  </si>
  <si>
    <t>https://link.springer.com/journal/11306</t>
  </si>
  <si>
    <t>Metacognition and Learning</t>
  </si>
  <si>
    <t>1556-1631</t>
  </si>
  <si>
    <t>1556-1623</t>
  </si>
  <si>
    <t>https://link.springer.com/journal/11409</t>
  </si>
  <si>
    <t>Metal Science and Heat Treatment</t>
  </si>
  <si>
    <t>1573-8973</t>
  </si>
  <si>
    <t>0026-0673</t>
  </si>
  <si>
    <t>https://link.springer.com/journal/11041</t>
  </si>
  <si>
    <t>Metallography, Microstructure, and Analysis</t>
  </si>
  <si>
    <t>2192-9270</t>
  </si>
  <si>
    <t>2192-9262</t>
  </si>
  <si>
    <t>https://link.springer.com/journal/13632</t>
  </si>
  <si>
    <t>Metallurgical and Materials Transactions A</t>
  </si>
  <si>
    <t>1543-1940</t>
  </si>
  <si>
    <t>1073-5623</t>
  </si>
  <si>
    <t>https://link.springer.com/journal/11661</t>
  </si>
  <si>
    <t>Metallurgical and Materials Transactions B</t>
  </si>
  <si>
    <t>1543-1916</t>
  </si>
  <si>
    <t>1073-5615</t>
  </si>
  <si>
    <t>https://link.springer.com/journal/11663</t>
  </si>
  <si>
    <t>Metallurgist</t>
  </si>
  <si>
    <t>1573-8892</t>
  </si>
  <si>
    <t>0026-0894</t>
  </si>
  <si>
    <t>https://link.springer.com/journal/11015</t>
  </si>
  <si>
    <t>Metals and Materials International</t>
  </si>
  <si>
    <t>2005-4149</t>
  </si>
  <si>
    <t>1598-9623</t>
  </si>
  <si>
    <t>https://link.springer.com/journal/12540</t>
  </si>
  <si>
    <t>Metascience</t>
  </si>
  <si>
    <t>1467-9981</t>
  </si>
  <si>
    <t>0815-0796</t>
  </si>
  <si>
    <t>https://link.springer.com/journal/11016</t>
  </si>
  <si>
    <t>Meteorology and Atmospheric Physics</t>
  </si>
  <si>
    <t>1436-5065</t>
  </si>
  <si>
    <t>0177-7971</t>
  </si>
  <si>
    <t>https://link.springer.com/journal/703</t>
  </si>
  <si>
    <t>Methodology and Computing in Applied Probability</t>
  </si>
  <si>
    <t>1573-7713</t>
  </si>
  <si>
    <t>1387-5841</t>
  </si>
  <si>
    <t>https://link.springer.com/journal/11009</t>
  </si>
  <si>
    <t>Metrika</t>
  </si>
  <si>
    <t>1435-926X</t>
  </si>
  <si>
    <t>0026-1335</t>
  </si>
  <si>
    <t>https://link.springer.com/journal/184</t>
  </si>
  <si>
    <t>METRON</t>
  </si>
  <si>
    <t>2281-695X</t>
  </si>
  <si>
    <t>0026-1424</t>
  </si>
  <si>
    <t>https://link.springer.com/journal/40300</t>
  </si>
  <si>
    <t>Microbial Ecology</t>
  </si>
  <si>
    <t>1432-184X</t>
  </si>
  <si>
    <t>0095-3628</t>
  </si>
  <si>
    <t>https://link.springer.com/journal/248</t>
  </si>
  <si>
    <t>Microbiology</t>
  </si>
  <si>
    <t>1608-3237</t>
  </si>
  <si>
    <t>0026-2617</t>
  </si>
  <si>
    <t>https://link.springer.com/journal/11021</t>
  </si>
  <si>
    <t>Microchimica Acta</t>
  </si>
  <si>
    <t>1436-5073</t>
  </si>
  <si>
    <t>0026-3672</t>
  </si>
  <si>
    <t>https://link.springer.com/journal/604</t>
  </si>
  <si>
    <t>Microfluidics and Nanofluidics</t>
  </si>
  <si>
    <t>1613-4990</t>
  </si>
  <si>
    <t>1613-4982</t>
  </si>
  <si>
    <t>https://link.springer.com/journal/10404</t>
  </si>
  <si>
    <t>Microgravity Science and Technology</t>
  </si>
  <si>
    <t>1875-0494</t>
  </si>
  <si>
    <t>https://link.springer.com/journal/12217</t>
  </si>
  <si>
    <t>Microsystem Technologies</t>
  </si>
  <si>
    <t>1432-1858</t>
  </si>
  <si>
    <t>0946-7076</t>
  </si>
  <si>
    <t>https://link.springer.com/journal/542</t>
  </si>
  <si>
    <t>Milan Journal of Mathematics</t>
  </si>
  <si>
    <t>1424-9294</t>
  </si>
  <si>
    <t>1424-9286</t>
  </si>
  <si>
    <t>https://link.springer.com/journal/32</t>
  </si>
  <si>
    <t>Mind &amp; Society</t>
  </si>
  <si>
    <t>1860-1839</t>
  </si>
  <si>
    <t>1593-7879</t>
  </si>
  <si>
    <t>https://link.springer.com/journal/11299</t>
  </si>
  <si>
    <t>Mindfulness</t>
  </si>
  <si>
    <t>1868-8535</t>
  </si>
  <si>
    <t>1868-8527</t>
  </si>
  <si>
    <t>https://link.springer.com/journal/12671</t>
  </si>
  <si>
    <t>Minds and Machines</t>
  </si>
  <si>
    <t>1572-8641</t>
  </si>
  <si>
    <t>0924-6495</t>
  </si>
  <si>
    <t>https://link.springer.com/journal/11023</t>
  </si>
  <si>
    <t>Mine Water and the Environment</t>
  </si>
  <si>
    <t>1616-1068</t>
  </si>
  <si>
    <t>1025-9112</t>
  </si>
  <si>
    <t>https://link.springer.com/journal/10230</t>
  </si>
  <si>
    <t>Mineral Economics</t>
  </si>
  <si>
    <t>2191-2211</t>
  </si>
  <si>
    <t>2191-2203</t>
  </si>
  <si>
    <t>https://link.springer.com/journal/13563</t>
  </si>
  <si>
    <t>Mineralium Deposita</t>
  </si>
  <si>
    <t>1432-1866</t>
  </si>
  <si>
    <t>0026-4598</t>
  </si>
  <si>
    <t>https://link.springer.com/journal/126</t>
  </si>
  <si>
    <t>Mineralogy and Petrology</t>
  </si>
  <si>
    <t>1438-1168</t>
  </si>
  <si>
    <t>0930-0708</t>
  </si>
  <si>
    <t>https://link.springer.com/journal/710</t>
  </si>
  <si>
    <t>Minerva</t>
  </si>
  <si>
    <t>1573-1871</t>
  </si>
  <si>
    <t>0026-4695</t>
  </si>
  <si>
    <t>https://link.springer.com/journal/11024</t>
  </si>
  <si>
    <t>Mining, Metallurgy &amp; Exploration</t>
  </si>
  <si>
    <t>2524-3470</t>
  </si>
  <si>
    <t>2524-3462</t>
  </si>
  <si>
    <t>https://link.springer.com/journal/42461</t>
  </si>
  <si>
    <t>Mitigation and Adaptation Strategies for Global Change</t>
  </si>
  <si>
    <t>1573-1596</t>
  </si>
  <si>
    <t>1381-2386</t>
  </si>
  <si>
    <t>https://link.springer.com/journal/11027</t>
  </si>
  <si>
    <t>MMW - Fortschritte der Medizin</t>
  </si>
  <si>
    <t>1613-3560</t>
  </si>
  <si>
    <t>1438-3276</t>
  </si>
  <si>
    <t>https://link.springer.com/journal/15006</t>
  </si>
  <si>
    <t>Mobile Networks and Applications</t>
  </si>
  <si>
    <t>1572-8153</t>
  </si>
  <si>
    <t>1383-469X</t>
  </si>
  <si>
    <t>https://link.springer.com/journal/11036</t>
  </si>
  <si>
    <t>Modeling Earth Systems and Environment</t>
  </si>
  <si>
    <t>2363-6211</t>
  </si>
  <si>
    <t>https://link.springer.com/journal/40808</t>
  </si>
  <si>
    <t>Molecular &amp; Cellular Toxicology</t>
  </si>
  <si>
    <t>2092-8467</t>
  </si>
  <si>
    <t>1738-642X</t>
  </si>
  <si>
    <t>https://link.springer.com/journal/13273</t>
  </si>
  <si>
    <t>The Korean Society of Toxicogenomics and Toxicoproteomics, co-published with Springer</t>
  </si>
  <si>
    <t>Molecular and Cellular Biochemistry</t>
  </si>
  <si>
    <t>1573-4919</t>
  </si>
  <si>
    <t>0300-8177</t>
  </si>
  <si>
    <t>https://link.springer.com/journal/11010</t>
  </si>
  <si>
    <t>Molecular Biology</t>
  </si>
  <si>
    <t>1608-3245</t>
  </si>
  <si>
    <t>0026-8933</t>
  </si>
  <si>
    <t>https://link.springer.com/journal/11008</t>
  </si>
  <si>
    <t>Molecular Biology Reports</t>
  </si>
  <si>
    <t>1573-4978</t>
  </si>
  <si>
    <t>https://link.springer.com/journal/11033</t>
  </si>
  <si>
    <t>Molecular Biotechnology</t>
  </si>
  <si>
    <t>1559-0305</t>
  </si>
  <si>
    <t>https://link.springer.com/journal/12033</t>
  </si>
  <si>
    <t>Molecular Breeding</t>
  </si>
  <si>
    <t>1572-9788</t>
  </si>
  <si>
    <t>1380-3743</t>
  </si>
  <si>
    <t>https://link.springer.com/journal/11032</t>
  </si>
  <si>
    <t>Molecular Diversity</t>
  </si>
  <si>
    <t>1573-501X</t>
  </si>
  <si>
    <t>https://link.springer.com/journal/11030</t>
  </si>
  <si>
    <t>Molecular Genetics and Genomics</t>
  </si>
  <si>
    <t>1617-4623</t>
  </si>
  <si>
    <t>1617-4615</t>
  </si>
  <si>
    <t>https://link.springer.com/journal/438</t>
  </si>
  <si>
    <t>Molecular Genetics, Microbiology and Virology</t>
  </si>
  <si>
    <t>1934-841X</t>
  </si>
  <si>
    <t>0891-4168</t>
  </si>
  <si>
    <t>https://link.springer.com/journal/11965</t>
  </si>
  <si>
    <t>Molecular Imaging and Biology</t>
  </si>
  <si>
    <t>1860-2002</t>
  </si>
  <si>
    <t>1536-1632</t>
  </si>
  <si>
    <t>https://link.springer.com/journal/11307</t>
  </si>
  <si>
    <t>Molecular Neurobiology</t>
  </si>
  <si>
    <t>1559-1182</t>
  </si>
  <si>
    <t>0893-7648</t>
  </si>
  <si>
    <t>https://link.springer.com/journal/12035</t>
  </si>
  <si>
    <t>Monash Bioethics Review</t>
  </si>
  <si>
    <t>1836-6716</t>
  </si>
  <si>
    <t>1321-2753</t>
  </si>
  <si>
    <t>https://link.springer.com/journal/40592</t>
  </si>
  <si>
    <t>Monatshefte für Chemie - Chemical Monthly</t>
  </si>
  <si>
    <t>1434-4475</t>
  </si>
  <si>
    <t>0026-9247</t>
  </si>
  <si>
    <t>https://link.springer.com/journal/706</t>
  </si>
  <si>
    <t>Monatshefte für Mathematik</t>
  </si>
  <si>
    <t>1436-5081</t>
  </si>
  <si>
    <t>0026-9255</t>
  </si>
  <si>
    <t>https://link.springer.com/journal/605</t>
  </si>
  <si>
    <t>Monatsschrift Kinderheilkunde</t>
  </si>
  <si>
    <t>1433-0474</t>
  </si>
  <si>
    <t>0026-9298</t>
  </si>
  <si>
    <t>https://link.springer.com/journal/112</t>
  </si>
  <si>
    <t>Morphology</t>
  </si>
  <si>
    <t>1871-5656</t>
  </si>
  <si>
    <t>1871-5621</t>
  </si>
  <si>
    <t>https://link.springer.com/journal/11525</t>
  </si>
  <si>
    <t>Moscow University Biological Sciences Bulletin</t>
  </si>
  <si>
    <t>1934-791X</t>
  </si>
  <si>
    <t>0096-3925</t>
  </si>
  <si>
    <t>https://link.springer.com/journal/11966</t>
  </si>
  <si>
    <t>Moscow University Chemistry Bulletin</t>
  </si>
  <si>
    <t>1935-0260</t>
  </si>
  <si>
    <t>0027-1314</t>
  </si>
  <si>
    <t>https://link.springer.com/journal/11967</t>
  </si>
  <si>
    <t>Moscow University Computational Mathematics and Cybernetics</t>
  </si>
  <si>
    <t>1934-8428</t>
  </si>
  <si>
    <t>0278-6419</t>
  </si>
  <si>
    <t>https://link.springer.com/journal/11968</t>
  </si>
  <si>
    <t>Moscow University Geology Bulletin</t>
  </si>
  <si>
    <t>1934-8436</t>
  </si>
  <si>
    <t>0145-8752</t>
  </si>
  <si>
    <t>https://link.springer.com/journal/11969</t>
  </si>
  <si>
    <t>Moscow University Mathematics Bulletin</t>
  </si>
  <si>
    <t>1934-8444</t>
  </si>
  <si>
    <t>0027-1322</t>
  </si>
  <si>
    <t>https://link.springer.com/journal/11970</t>
  </si>
  <si>
    <t>Moscow University Mechanics Bulletin</t>
  </si>
  <si>
    <t>1934-8452</t>
  </si>
  <si>
    <t>0027-1330</t>
  </si>
  <si>
    <t>https://link.springer.com/journal/11971</t>
  </si>
  <si>
    <t>Moscow University Physics Bulletin</t>
  </si>
  <si>
    <t>1934-8460</t>
  </si>
  <si>
    <t>0027-1349</t>
  </si>
  <si>
    <t>https://link.springer.com/journal/11972</t>
  </si>
  <si>
    <t>Moscow University Soil Science Bulletin</t>
  </si>
  <si>
    <t>1934-7928</t>
  </si>
  <si>
    <t>0147-6874</t>
  </si>
  <si>
    <t>https://link.springer.com/journal/11973</t>
  </si>
  <si>
    <t>Motivation and Emotion</t>
  </si>
  <si>
    <t>1573-6644</t>
  </si>
  <si>
    <t>0146-7239</t>
  </si>
  <si>
    <t>https://link.springer.com/journal/11031</t>
  </si>
  <si>
    <t>MTZ - Motortechnische Zeitschrift</t>
  </si>
  <si>
    <t>2192-8843</t>
  </si>
  <si>
    <t>0024-8525</t>
  </si>
  <si>
    <t>https://link.springer.com/journal/35146</t>
  </si>
  <si>
    <t>MTZ worldwide</t>
  </si>
  <si>
    <t>2192-9114</t>
  </si>
  <si>
    <t>https://link.springer.com/journal/38313</t>
  </si>
  <si>
    <t>Multibody System Dynamics</t>
  </si>
  <si>
    <t>1573-272X</t>
  </si>
  <si>
    <t>1384-5640</t>
  </si>
  <si>
    <t>https://link.springer.com/journal/11044</t>
  </si>
  <si>
    <t>Multidimensional Systems and Signal Processing</t>
  </si>
  <si>
    <t>1573-0824</t>
  </si>
  <si>
    <t>0923-6082</t>
  </si>
  <si>
    <t>https://link.springer.com/journal/11045</t>
  </si>
  <si>
    <t>Multimedia Systems</t>
  </si>
  <si>
    <t>1432-1882</t>
  </si>
  <si>
    <t>0942-4962</t>
  </si>
  <si>
    <t>https://link.springer.com/journal/530</t>
  </si>
  <si>
    <t>Multimedia Tools and Applications</t>
  </si>
  <si>
    <t>1573-7721</t>
  </si>
  <si>
    <t>1380-7501</t>
  </si>
  <si>
    <t>https://link.springer.com/journal/11042</t>
  </si>
  <si>
    <t>Multiscale and Multidisciplinary Modeling, Experiments and Design</t>
  </si>
  <si>
    <t>2520-8179</t>
  </si>
  <si>
    <t>2520-8160</t>
  </si>
  <si>
    <t>https://link.springer.com/journal/41939</t>
  </si>
  <si>
    <t>Multiscale Science and Engineering</t>
  </si>
  <si>
    <t>2524-4523</t>
  </si>
  <si>
    <t>2524-4515</t>
  </si>
  <si>
    <t>https://link.springer.com/journal/42493</t>
  </si>
  <si>
    <t>MUSCULOSKELETAL SURGERY</t>
  </si>
  <si>
    <t>2035-5114</t>
  </si>
  <si>
    <t>https://link.springer.com/journal/12306</t>
  </si>
  <si>
    <t>Mycological Progress</t>
  </si>
  <si>
    <t>1861-8952</t>
  </si>
  <si>
    <t>https://link.springer.com/journal/11557</t>
  </si>
  <si>
    <t>Mycopathologia</t>
  </si>
  <si>
    <t>1573-0832</t>
  </si>
  <si>
    <t>0301-486X</t>
  </si>
  <si>
    <t>https://link.springer.com/journal/11046</t>
  </si>
  <si>
    <t>Mycorrhiza</t>
  </si>
  <si>
    <t>1432-1890</t>
  </si>
  <si>
    <t>0940-6360</t>
  </si>
  <si>
    <t>https://link.springer.com/journal/572</t>
  </si>
  <si>
    <t>Mycotoxin Research</t>
  </si>
  <si>
    <t>1867-1632</t>
  </si>
  <si>
    <t>0178-7888</t>
  </si>
  <si>
    <t>https://link.springer.com/journal/12550</t>
  </si>
  <si>
    <t>Nano Research</t>
  </si>
  <si>
    <t>1998-0000</t>
  </si>
  <si>
    <t>1998-0124</t>
  </si>
  <si>
    <t>https://link.springer.com/journal/12274</t>
  </si>
  <si>
    <t>Nanobiotechnology Reports</t>
  </si>
  <si>
    <t>2635-1684</t>
  </si>
  <si>
    <t>2635-1676</t>
  </si>
  <si>
    <t>https://link.springer.com/journal/12201</t>
  </si>
  <si>
    <t>Nanotechnology for Environmental Engineering</t>
  </si>
  <si>
    <t>2365-6387</t>
  </si>
  <si>
    <t>2365-6379</t>
  </si>
  <si>
    <t>https://link.springer.com/journal/41204</t>
  </si>
  <si>
    <t>National Academy Science Letters</t>
  </si>
  <si>
    <t>2250-1754</t>
  </si>
  <si>
    <t>0250-541X</t>
  </si>
  <si>
    <t>https://link.springer.com/journal/40009</t>
  </si>
  <si>
    <t>Science (multidisciplinary)</t>
  </si>
  <si>
    <t>Natur und Recht</t>
  </si>
  <si>
    <t>1439-0515</t>
  </si>
  <si>
    <t>0172-1631</t>
  </si>
  <si>
    <t>https://link.springer.com/journal/10357</t>
  </si>
  <si>
    <t>Natural Computing</t>
  </si>
  <si>
    <t>1572-9796</t>
  </si>
  <si>
    <t>https://link.springer.com/journal/11047</t>
  </si>
  <si>
    <t>Natural Hazards</t>
  </si>
  <si>
    <t>1573-0840</t>
  </si>
  <si>
    <t>0921-030X</t>
  </si>
  <si>
    <t>https://link.springer.com/journal/11069</t>
  </si>
  <si>
    <t>Natural Language &amp; Linguistic Theory</t>
  </si>
  <si>
    <t>1573-0859</t>
  </si>
  <si>
    <t>0167-806X</t>
  </si>
  <si>
    <t>https://link.springer.com/journal/11049</t>
  </si>
  <si>
    <t>Natural Language Semantics</t>
  </si>
  <si>
    <t>1572-865X</t>
  </si>
  <si>
    <t>0925-854X</t>
  </si>
  <si>
    <t>https://link.springer.com/journal/11050</t>
  </si>
  <si>
    <t>Natural Resources Research</t>
  </si>
  <si>
    <t>1573-8981</t>
  </si>
  <si>
    <t>1520-7439</t>
  </si>
  <si>
    <t>https://link.springer.com/journal/11053</t>
  </si>
  <si>
    <t>Naunyn-Schmiedeberg's Archives of Pharmacology</t>
  </si>
  <si>
    <t>1432-1912</t>
  </si>
  <si>
    <t>0028-1298</t>
  </si>
  <si>
    <t>https://link.springer.com/journal/210</t>
  </si>
  <si>
    <t>Neohelicon</t>
  </si>
  <si>
    <t>1588-2810</t>
  </si>
  <si>
    <t>0324-4652</t>
  </si>
  <si>
    <t>https://link.springer.com/journal/11059</t>
  </si>
  <si>
    <t>Neophilologus</t>
  </si>
  <si>
    <t>1572-8668</t>
  </si>
  <si>
    <t>0028-2677</t>
  </si>
  <si>
    <t>https://link.springer.com/journal/11061</t>
  </si>
  <si>
    <t>Neotropical Entomology</t>
  </si>
  <si>
    <t>1678-8052</t>
  </si>
  <si>
    <t>https://link.springer.com/journal/13744</t>
  </si>
  <si>
    <t>Netherlands International Law Review</t>
  </si>
  <si>
    <t>1741-6191</t>
  </si>
  <si>
    <t>0165-070X</t>
  </si>
  <si>
    <t>https://link.springer.com/journal/40802</t>
  </si>
  <si>
    <t>Network Modeling Analysis in Health Informatics and Bioinformatics</t>
  </si>
  <si>
    <t>2192-6670</t>
  </si>
  <si>
    <t>https://link.springer.com/journal/13721</t>
  </si>
  <si>
    <t>Networks and Spatial Economics</t>
  </si>
  <si>
    <t>1572-9427</t>
  </si>
  <si>
    <t>1566-113X</t>
  </si>
  <si>
    <t>https://link.springer.com/journal/11067</t>
  </si>
  <si>
    <t>Neue Politische Literatur</t>
  </si>
  <si>
    <t>2197-6082</t>
  </si>
  <si>
    <t>0028-3320</t>
  </si>
  <si>
    <t>https://link.springer.com/journal/42520</t>
  </si>
  <si>
    <t>Neural Computing and Applications</t>
  </si>
  <si>
    <t>1433-3058</t>
  </si>
  <si>
    <t>0941-0643</t>
  </si>
  <si>
    <t>https://link.springer.com/journal/521</t>
  </si>
  <si>
    <t>Neural Processing Letters</t>
  </si>
  <si>
    <t>1573-773X</t>
  </si>
  <si>
    <t>1370-4621</t>
  </si>
  <si>
    <t>https://link.springer.com/journal/11063</t>
  </si>
  <si>
    <t>Neurochemical Journal</t>
  </si>
  <si>
    <t>1819-7132</t>
  </si>
  <si>
    <t>1819-7124</t>
  </si>
  <si>
    <t>https://link.springer.com/journal/11710</t>
  </si>
  <si>
    <t>Neurochemical Research</t>
  </si>
  <si>
    <t>1573-6903</t>
  </si>
  <si>
    <t>0364-3190</t>
  </si>
  <si>
    <t>https://link.springer.com/journal/11064</t>
  </si>
  <si>
    <t>Neurocritical Care</t>
  </si>
  <si>
    <t>1556-0961</t>
  </si>
  <si>
    <t>1541-6933</t>
  </si>
  <si>
    <t>https://link.springer.com/journal/12028</t>
  </si>
  <si>
    <t>Neuroethics</t>
  </si>
  <si>
    <t>1874-5504</t>
  </si>
  <si>
    <t>https://link.springer.com/journal/12152</t>
  </si>
  <si>
    <t>neurogenetics</t>
  </si>
  <si>
    <t>1364-6753</t>
  </si>
  <si>
    <t>https://link.springer.com/journal/10048</t>
  </si>
  <si>
    <t>Neuroinformatics</t>
  </si>
  <si>
    <t>1559-0089</t>
  </si>
  <si>
    <t>1539-2791</t>
  </si>
  <si>
    <t>https://link.springer.com/journal/12021</t>
  </si>
  <si>
    <t>Neurological Sciences</t>
  </si>
  <si>
    <t>1590-3478</t>
  </si>
  <si>
    <t>https://link.springer.com/journal/10072</t>
  </si>
  <si>
    <t>NeuroMolecular Medicine</t>
  </si>
  <si>
    <t>1559-1174</t>
  </si>
  <si>
    <t>1535-1084</t>
  </si>
  <si>
    <t>https://link.springer.com/journal/12017</t>
  </si>
  <si>
    <t>Neurophysiology</t>
  </si>
  <si>
    <t>1573-9007</t>
  </si>
  <si>
    <t>0090-2977</t>
  </si>
  <si>
    <t>https://link.springer.com/journal/11062</t>
  </si>
  <si>
    <t>neuropsychiatrie</t>
  </si>
  <si>
    <t>2194-1327</t>
  </si>
  <si>
    <t>0948-6259</t>
  </si>
  <si>
    <t>https://link.springer.com/journal/40211</t>
  </si>
  <si>
    <t>Neuropsychology Review</t>
  </si>
  <si>
    <t>1573-6660</t>
  </si>
  <si>
    <t>1040-7308</t>
  </si>
  <si>
    <t>https://link.springer.com/journal/11065</t>
  </si>
  <si>
    <t>Neuroradiology</t>
  </si>
  <si>
    <t>1432-1920</t>
  </si>
  <si>
    <t>0028-3940</t>
  </si>
  <si>
    <t>https://link.springer.com/journal/234</t>
  </si>
  <si>
    <t>Neuroscience and Behavioral Physiology</t>
  </si>
  <si>
    <t>1573-899X</t>
  </si>
  <si>
    <t>0097-0549</t>
  </si>
  <si>
    <t>https://link.springer.com/journal/11055</t>
  </si>
  <si>
    <t>Neuroscience Bulletin</t>
  </si>
  <si>
    <t>1995-8218</t>
  </si>
  <si>
    <t>1673-7067</t>
  </si>
  <si>
    <t>https://link.springer.com/journal/12264</t>
  </si>
  <si>
    <t>Neurosurgical Review</t>
  </si>
  <si>
    <t>1437-2320</t>
  </si>
  <si>
    <t>https://link.springer.com/journal/10143</t>
  </si>
  <si>
    <t>Neurotherapeutics</t>
  </si>
  <si>
    <t>1878-7479</t>
  </si>
  <si>
    <t>https://link.springer.com/journal/13311</t>
  </si>
  <si>
    <t>Neurotoxicity Research</t>
  </si>
  <si>
    <t>1476-3524</t>
  </si>
  <si>
    <t>1029-8428</t>
  </si>
  <si>
    <t>https://link.springer.com/journal/12640</t>
  </si>
  <si>
    <t>New Forests</t>
  </si>
  <si>
    <t>1573-5095</t>
  </si>
  <si>
    <t>0169-4286</t>
  </si>
  <si>
    <t>https://link.springer.com/journal/11056</t>
  </si>
  <si>
    <t>New Generation Computing</t>
  </si>
  <si>
    <t>1882-7055</t>
  </si>
  <si>
    <t>0288-3635</t>
  </si>
  <si>
    <t>https://link.springer.com/journal/354</t>
  </si>
  <si>
    <t>Ohmsha, co-published with Springer</t>
  </si>
  <si>
    <t>New Zealand Journal of Educational Studies</t>
  </si>
  <si>
    <t>2199-4714</t>
  </si>
  <si>
    <t>0028-8276</t>
  </si>
  <si>
    <t>https://link.springer.com/journal/40841</t>
  </si>
  <si>
    <t>Nexus Network Journal</t>
  </si>
  <si>
    <t>1522-4600</t>
  </si>
  <si>
    <t>1590-5896</t>
  </si>
  <si>
    <t>https://link.springer.com/journal/4</t>
  </si>
  <si>
    <t>Nonlinear Differential Equations and Applications NoDEA</t>
  </si>
  <si>
    <t>1420-9004</t>
  </si>
  <si>
    <t>1021-9722</t>
  </si>
  <si>
    <t>https://link.springer.com/journal/30</t>
  </si>
  <si>
    <t>Nonlinear Dynamics</t>
  </si>
  <si>
    <t>1573-269X</t>
  </si>
  <si>
    <t>0924-090X</t>
  </si>
  <si>
    <t>https://link.springer.com/journal/11071</t>
  </si>
  <si>
    <t>Notfall + Rettungsmedizin</t>
  </si>
  <si>
    <t>1436-0578</t>
  </si>
  <si>
    <t>1434-6222</t>
  </si>
  <si>
    <t>https://link.springer.com/journal/10049</t>
  </si>
  <si>
    <t>Nuclear Medicine and Molecular Imaging</t>
  </si>
  <si>
    <t>1869-3482</t>
  </si>
  <si>
    <t>1869-3474</t>
  </si>
  <si>
    <t>https://link.springer.com/journal/13139</t>
  </si>
  <si>
    <t>Nuclear Science and Techniques</t>
  </si>
  <si>
    <t>2210-3147</t>
  </si>
  <si>
    <t>1001-8042</t>
  </si>
  <si>
    <t>https://link.springer.com/journal/41365</t>
  </si>
  <si>
    <t>Numerical Algorithms</t>
  </si>
  <si>
    <t>1572-9265</t>
  </si>
  <si>
    <t>1017-1398</t>
  </si>
  <si>
    <t>https://link.springer.com/journal/11075</t>
  </si>
  <si>
    <t>Numerical Analysis and Applications</t>
  </si>
  <si>
    <t>1995-4247</t>
  </si>
  <si>
    <t>1995-4239</t>
  </si>
  <si>
    <t>https://link.springer.com/journal/12258</t>
  </si>
  <si>
    <t>Numerische Mathematik</t>
  </si>
  <si>
    <t>0945-3245</t>
  </si>
  <si>
    <t>0029-599X</t>
  </si>
  <si>
    <t>https://link.springer.com/journal/211</t>
  </si>
  <si>
    <t>Nutrient Cycling in Agroecosystems</t>
  </si>
  <si>
    <t>1573-0867</t>
  </si>
  <si>
    <t>1385-1314</t>
  </si>
  <si>
    <t>https://link.springer.com/journal/10705</t>
  </si>
  <si>
    <t>Nutrire</t>
  </si>
  <si>
    <t>2316-7874</t>
  </si>
  <si>
    <t>https://link.springer.com/journal/41110</t>
  </si>
  <si>
    <t>Obere Extremität</t>
  </si>
  <si>
    <t>1862-6602</t>
  </si>
  <si>
    <t>1862-6599</t>
  </si>
  <si>
    <t>https://link.springer.com/journal/11678</t>
  </si>
  <si>
    <t>Obesity Surgery</t>
  </si>
  <si>
    <t>1708-0428</t>
  </si>
  <si>
    <t>0960-8923</t>
  </si>
  <si>
    <t>https://link.springer.com/journal/11695</t>
  </si>
  <si>
    <t>Occupational Health Science</t>
  </si>
  <si>
    <t>2367-0142</t>
  </si>
  <si>
    <t>2367-0134</t>
  </si>
  <si>
    <t>https://link.springer.com/journal/41542</t>
  </si>
  <si>
    <t>Ocean Dynamics</t>
  </si>
  <si>
    <t>1616-7228</t>
  </si>
  <si>
    <t>1616-7341</t>
  </si>
  <si>
    <t>https://link.springer.com/journal/10236</t>
  </si>
  <si>
    <t>Ocean Science Journal</t>
  </si>
  <si>
    <t>2005-7172</t>
  </si>
  <si>
    <t>1738-5261</t>
  </si>
  <si>
    <t>https://link.springer.com/journal/12601</t>
  </si>
  <si>
    <t>Korea Institute of Ocean Science &amp; Technology and The Korean Society of Oceanography, co-published with Springer</t>
  </si>
  <si>
    <t>Oceanology</t>
  </si>
  <si>
    <t>1531-8508</t>
  </si>
  <si>
    <t>0001-4370</t>
  </si>
  <si>
    <t>https://link.springer.com/journal/11491</t>
  </si>
  <si>
    <t>Odontology</t>
  </si>
  <si>
    <t>1618-1255</t>
  </si>
  <si>
    <t>1618-1247</t>
  </si>
  <si>
    <t>https://link.springer.com/journal/10266</t>
  </si>
  <si>
    <t>Oecologia</t>
  </si>
  <si>
    <t>1432-1939</t>
  </si>
  <si>
    <t>0029-8549</t>
  </si>
  <si>
    <t>https://link.springer.com/journal/442</t>
  </si>
  <si>
    <t>Open Economies Review</t>
  </si>
  <si>
    <t>1573-708X</t>
  </si>
  <si>
    <t>0923-7992</t>
  </si>
  <si>
    <t>https://link.springer.com/journal/11079</t>
  </si>
  <si>
    <t>Operational Research</t>
  </si>
  <si>
    <t>1866-1505</t>
  </si>
  <si>
    <t>https://link.springer.com/journal/12351</t>
  </si>
  <si>
    <t>Operations Management Research</t>
  </si>
  <si>
    <t>1936-9743</t>
  </si>
  <si>
    <t>https://link.springer.com/journal/12063</t>
  </si>
  <si>
    <t>Operations Research Forum</t>
  </si>
  <si>
    <t>2662-2556</t>
  </si>
  <si>
    <t>https://link.springer.com/journal/43069</t>
  </si>
  <si>
    <t>Operative Orthopädie und Traumatologie</t>
  </si>
  <si>
    <t>1439-0981</t>
  </si>
  <si>
    <t>0934-6694</t>
  </si>
  <si>
    <t>https://link.springer.com/journal/64</t>
  </si>
  <si>
    <t>OPSEARCH</t>
  </si>
  <si>
    <t>0975-0320</t>
  </si>
  <si>
    <t>0030-3887</t>
  </si>
  <si>
    <t>https://link.springer.com/journal/12597</t>
  </si>
  <si>
    <t>Optical and Quantum Electronics</t>
  </si>
  <si>
    <t>1572-817X</t>
  </si>
  <si>
    <t>0306-8919</t>
  </si>
  <si>
    <t>https://link.springer.com/journal/11082</t>
  </si>
  <si>
    <t>Optical Memory and Neural Networks</t>
  </si>
  <si>
    <t>1934-7898</t>
  </si>
  <si>
    <t>1060-992X</t>
  </si>
  <si>
    <t>https://link.springer.com/journal/12005</t>
  </si>
  <si>
    <t>Optical Review</t>
  </si>
  <si>
    <t>1349-9432</t>
  </si>
  <si>
    <t>https://link.springer.com/journal/10043</t>
  </si>
  <si>
    <t>Optics and Spectroscopy</t>
  </si>
  <si>
    <t>1562-6911</t>
  </si>
  <si>
    <t>0030-400X</t>
  </si>
  <si>
    <t>https://link.springer.com/journal/11449</t>
  </si>
  <si>
    <t>Optimization and Engineering</t>
  </si>
  <si>
    <t>1573-2924</t>
  </si>
  <si>
    <t>1389-4420</t>
  </si>
  <si>
    <t>https://link.springer.com/journal/11081</t>
  </si>
  <si>
    <t>Optimization Letters</t>
  </si>
  <si>
    <t>1862-4480</t>
  </si>
  <si>
    <t>1862-4472</t>
  </si>
  <si>
    <t>https://link.springer.com/journal/11590</t>
  </si>
  <si>
    <t>Optoelectronics Letters</t>
  </si>
  <si>
    <t>1993-5013</t>
  </si>
  <si>
    <t>1673-1905</t>
  </si>
  <si>
    <t>https://link.springer.com/journal/11801</t>
  </si>
  <si>
    <t>Tianjin University of Technology, co-published with Springer</t>
  </si>
  <si>
    <t>Optoelectronics, Instrumentation and Data Processing</t>
  </si>
  <si>
    <t>1934-7944</t>
  </si>
  <si>
    <t>8756-6990</t>
  </si>
  <si>
    <t>https://link.springer.com/journal/11974</t>
  </si>
  <si>
    <t>OR Spectrum</t>
  </si>
  <si>
    <t>1436-6304</t>
  </si>
  <si>
    <t>0171-6468</t>
  </si>
  <si>
    <t>https://link.springer.com/journal/291</t>
  </si>
  <si>
    <t>Oral and Maxillofacial Surgery</t>
  </si>
  <si>
    <t>1865-1569</t>
  </si>
  <si>
    <t>https://link.springer.com/journal/10006</t>
  </si>
  <si>
    <t>Oral Radiology</t>
  </si>
  <si>
    <t>1613-9674</t>
  </si>
  <si>
    <t>0911-6028</t>
  </si>
  <si>
    <t>https://link.springer.com/journal/11282</t>
  </si>
  <si>
    <t>Order</t>
  </si>
  <si>
    <t>1572-9273</t>
  </si>
  <si>
    <t>0167-8094</t>
  </si>
  <si>
    <t>https://link.springer.com/journal/11083</t>
  </si>
  <si>
    <t>Organic Agriculture</t>
  </si>
  <si>
    <t>1879-4246</t>
  </si>
  <si>
    <t>1879-4238</t>
  </si>
  <si>
    <t>https://link.springer.com/journal/13165</t>
  </si>
  <si>
    <t>Organisationsberatung, Supervision, Coaching</t>
  </si>
  <si>
    <t>1862-2577</t>
  </si>
  <si>
    <t>1618-808X</t>
  </si>
  <si>
    <t>https://link.springer.com/journal/11613</t>
  </si>
  <si>
    <t>Organisms Diversity &amp; Evolution</t>
  </si>
  <si>
    <t>1618-1077</t>
  </si>
  <si>
    <t>1439-6092</t>
  </si>
  <si>
    <t>https://link.springer.com/journal/13127</t>
  </si>
  <si>
    <t>Origins of Life and Evolution of Biospheres</t>
  </si>
  <si>
    <t>1573-0875</t>
  </si>
  <si>
    <t>0169-6149</t>
  </si>
  <si>
    <t>https://link.springer.com/journal/11084</t>
  </si>
  <si>
    <t>Ornithology Research</t>
  </si>
  <si>
    <t>2662-673X</t>
  </si>
  <si>
    <t>https://link.springer.com/journal/43388</t>
  </si>
  <si>
    <t>Orthopädie &amp; Rheuma</t>
  </si>
  <si>
    <t>2196-5684</t>
  </si>
  <si>
    <t>1435-0017</t>
  </si>
  <si>
    <t>https://link.springer.com/journal/15002</t>
  </si>
  <si>
    <t>Osteoporosis International</t>
  </si>
  <si>
    <t>1433-2965</t>
  </si>
  <si>
    <t>0937-941X</t>
  </si>
  <si>
    <t>https://link.springer.com/journal/198</t>
  </si>
  <si>
    <t>Österreichische Wasser- und Abfallwirtschaft</t>
  </si>
  <si>
    <t>1613-7566</t>
  </si>
  <si>
    <t>0945-358X</t>
  </si>
  <si>
    <t>https://link.springer.com/journal/506</t>
  </si>
  <si>
    <t>Österreichische Zeitschrift für Soziologie</t>
  </si>
  <si>
    <t>1862-2585</t>
  </si>
  <si>
    <t>1011-0070</t>
  </si>
  <si>
    <t>https://link.springer.com/journal/11614</t>
  </si>
  <si>
    <t>High Temperature Corrosion of Materials</t>
  </si>
  <si>
    <t>1573-4889</t>
  </si>
  <si>
    <t>0030-770X</t>
  </si>
  <si>
    <t>https://link.springer.com/journal/11085</t>
  </si>
  <si>
    <t>Paddy and Water Environment</t>
  </si>
  <si>
    <t>1611-2504</t>
  </si>
  <si>
    <t>1611-2490</t>
  </si>
  <si>
    <t>https://link.springer.com/journal/10333</t>
  </si>
  <si>
    <t>Pädiatrie</t>
  </si>
  <si>
    <t>2196-6443</t>
  </si>
  <si>
    <t>1867-2132</t>
  </si>
  <si>
    <t>https://link.springer.com/journal/15014</t>
  </si>
  <si>
    <t>Pädiatrie &amp; Pädologie</t>
  </si>
  <si>
    <t>1613-7558</t>
  </si>
  <si>
    <t>0030-9338</t>
  </si>
  <si>
    <t>https://link.springer.com/journal/608</t>
  </si>
  <si>
    <t>p-Adic Numbers, Ultrametric Analysis and Applications</t>
  </si>
  <si>
    <t>2070-0474</t>
  </si>
  <si>
    <t>2070-0466</t>
  </si>
  <si>
    <t>https://link.springer.com/journal/12607</t>
  </si>
  <si>
    <t>Palaeobiodiversity and Palaeoenvironments</t>
  </si>
  <si>
    <t>1867-1608</t>
  </si>
  <si>
    <t>1867-1594</t>
  </si>
  <si>
    <t>https://link.springer.com/journal/12549</t>
  </si>
  <si>
    <t>Paleontological Journal</t>
  </si>
  <si>
    <t>1555-6174</t>
  </si>
  <si>
    <t>0031-0301</t>
  </si>
  <si>
    <t>https://link.springer.com/journal/11492</t>
  </si>
  <si>
    <t>PalZ</t>
  </si>
  <si>
    <t>1867-6812</t>
  </si>
  <si>
    <t>0031-0220</t>
  </si>
  <si>
    <t>https://link.springer.com/journal/12542</t>
  </si>
  <si>
    <t>Parasitology Research</t>
  </si>
  <si>
    <t>1432-1955</t>
  </si>
  <si>
    <t>0932-0113</t>
  </si>
  <si>
    <t>https://link.springer.com/journal/436</t>
  </si>
  <si>
    <t>Partial Differential Equations and Applications</t>
  </si>
  <si>
    <t>2662-2971</t>
  </si>
  <si>
    <t>2662-2963</t>
  </si>
  <si>
    <t>https://link.springer.com/journal/42985</t>
  </si>
  <si>
    <t>Pastoral Psychology</t>
  </si>
  <si>
    <t>1573-6679</t>
  </si>
  <si>
    <t>0031-2789</t>
  </si>
  <si>
    <t>https://link.springer.com/journal/11089</t>
  </si>
  <si>
    <t>Pattern Analysis and Applications</t>
  </si>
  <si>
    <t>1433-755X</t>
  </si>
  <si>
    <t>1433-7541</t>
  </si>
  <si>
    <t>https://link.springer.com/journal/10044</t>
  </si>
  <si>
    <t>Pattern Recognition and Image Analysis</t>
  </si>
  <si>
    <t>1555-6212</t>
  </si>
  <si>
    <t>1054-6618</t>
  </si>
  <si>
    <t>https://link.springer.com/journal/11493</t>
  </si>
  <si>
    <t>Pediatric Cardiology</t>
  </si>
  <si>
    <t>1432-1971</t>
  </si>
  <si>
    <t>0172-0643</t>
  </si>
  <si>
    <t>https://link.springer.com/journal/246</t>
  </si>
  <si>
    <t>Pediatric Nephrology</t>
  </si>
  <si>
    <t>1432-198X</t>
  </si>
  <si>
    <t>0931-041X</t>
  </si>
  <si>
    <t>https://link.springer.com/journal/467</t>
  </si>
  <si>
    <t>Pediatric Radiology</t>
  </si>
  <si>
    <t>1432-1998</t>
  </si>
  <si>
    <t>https://link.springer.com/journal/247</t>
  </si>
  <si>
    <t>Pediatric Surgery International</t>
  </si>
  <si>
    <t>1437-9813</t>
  </si>
  <si>
    <t>https://link.springer.com/journal/383</t>
  </si>
  <si>
    <t>Peer-to-Peer Networking and Applications</t>
  </si>
  <si>
    <t>1936-6450</t>
  </si>
  <si>
    <t>https://link.springer.com/journal/12083</t>
  </si>
  <si>
    <t>Peking Mathematical Journal</t>
  </si>
  <si>
    <t>2524-7182</t>
  </si>
  <si>
    <t>2096-6075</t>
  </si>
  <si>
    <t>https://link.springer.com/journal/42543</t>
  </si>
  <si>
    <t>Periodica Mathematica Hungarica</t>
  </si>
  <si>
    <t>1588-2829</t>
  </si>
  <si>
    <t>0031-5303</t>
  </si>
  <si>
    <t>https://link.springer.com/journal/10998</t>
  </si>
  <si>
    <t>Personal and Ubiquitous Computing</t>
  </si>
  <si>
    <t>1617-4917</t>
  </si>
  <si>
    <t>1617-4909</t>
  </si>
  <si>
    <t>https://link.springer.com/journal/779</t>
  </si>
  <si>
    <t>Perspectives on Behavior Science</t>
  </si>
  <si>
    <t>2520-8977</t>
  </si>
  <si>
    <t>2520-8969</t>
  </si>
  <si>
    <t>https://link.springer.com/journal/40614</t>
  </si>
  <si>
    <t>Petroleum Chemistry</t>
  </si>
  <si>
    <t>1555-6239</t>
  </si>
  <si>
    <t>0965-5441</t>
  </si>
  <si>
    <t>https://link.springer.com/journal/11494</t>
  </si>
  <si>
    <t>Petrology</t>
  </si>
  <si>
    <t>1556-2085</t>
  </si>
  <si>
    <t>0869-5911</t>
  </si>
  <si>
    <t>https://link.springer.com/journal/11495</t>
  </si>
  <si>
    <t>PFG – Journal of Photogrammetry, Remote Sensing and Geoinformation Science</t>
  </si>
  <si>
    <t>2512-2819</t>
  </si>
  <si>
    <t>2512-2789</t>
  </si>
  <si>
    <t>https://link.springer.com/journal/41064</t>
  </si>
  <si>
    <t>Pflegezeitschrift</t>
  </si>
  <si>
    <t>2520-1816</t>
  </si>
  <si>
    <t>0945-1129</t>
  </si>
  <si>
    <t>https://link.springer.com/journal/41906</t>
  </si>
  <si>
    <t>Pflügers Archiv - European Journal of Physiology</t>
  </si>
  <si>
    <t>1432-2013</t>
  </si>
  <si>
    <t>0031-6768</t>
  </si>
  <si>
    <t>https://link.springer.com/journal/424</t>
  </si>
  <si>
    <t>Pharmaceutical Chemistry Journal</t>
  </si>
  <si>
    <t>1573-9031</t>
  </si>
  <si>
    <t>0091-150X</t>
  </si>
  <si>
    <t>https://link.springer.com/journal/11094</t>
  </si>
  <si>
    <t>Pharmaceutical Research</t>
  </si>
  <si>
    <t>1573-904X</t>
  </si>
  <si>
    <t>0724-8741</t>
  </si>
  <si>
    <t>https://link.springer.com/journal/11095</t>
  </si>
  <si>
    <t>Pharmacological Reports</t>
  </si>
  <si>
    <t>2299-5684</t>
  </si>
  <si>
    <t>https://link.springer.com/journal/43440</t>
  </si>
  <si>
    <t>Phenomenology and the Cognitive Sciences</t>
  </si>
  <si>
    <t>1572-8676</t>
  </si>
  <si>
    <t>1568-7759</t>
  </si>
  <si>
    <t>https://link.springer.com/journal/11097</t>
  </si>
  <si>
    <t>Phenomics</t>
  </si>
  <si>
    <t>2730-5848</t>
  </si>
  <si>
    <t>2730-583X</t>
  </si>
  <si>
    <t>https://link.springer.com/journal/43657</t>
  </si>
  <si>
    <t>Philosophia</t>
  </si>
  <si>
    <t>1574-9274</t>
  </si>
  <si>
    <t>0048-3893</t>
  </si>
  <si>
    <t>https://link.springer.com/journal/11406</t>
  </si>
  <si>
    <t>Philosophical Studies</t>
  </si>
  <si>
    <t>1573-0883</t>
  </si>
  <si>
    <t>0031-8116</t>
  </si>
  <si>
    <t>https://link.springer.com/journal/11098</t>
  </si>
  <si>
    <t>Philosophy &amp; Technology</t>
  </si>
  <si>
    <t>2210-5441</t>
  </si>
  <si>
    <t>2210-5433</t>
  </si>
  <si>
    <t>https://link.springer.com/journal/13347</t>
  </si>
  <si>
    <t>Philosophy of Management</t>
  </si>
  <si>
    <t>2052-9597</t>
  </si>
  <si>
    <t>1740-3812</t>
  </si>
  <si>
    <t>https://link.springer.com/journal/40926</t>
  </si>
  <si>
    <t>Photonic Network Communications</t>
  </si>
  <si>
    <t>1572-8188</t>
  </si>
  <si>
    <t>1387-974X</t>
  </si>
  <si>
    <t>https://link.springer.com/journal/11107</t>
  </si>
  <si>
    <t>Photosynthesis Research</t>
  </si>
  <si>
    <t>1573-5079</t>
  </si>
  <si>
    <t>0166-8595</t>
  </si>
  <si>
    <t>https://link.springer.com/journal/11120</t>
  </si>
  <si>
    <t>Physical and Engineering Sciences in Medicine</t>
  </si>
  <si>
    <t>2662-4737</t>
  </si>
  <si>
    <t>https://link.springer.com/journal/13246</t>
  </si>
  <si>
    <t>Physical Mesomechanics</t>
  </si>
  <si>
    <t>1990-5424</t>
  </si>
  <si>
    <t>1029-9599</t>
  </si>
  <si>
    <t>https://link.springer.com/journal/40334</t>
  </si>
  <si>
    <t>Physics and Chemistry of Minerals</t>
  </si>
  <si>
    <t>1432-2021</t>
  </si>
  <si>
    <t>0342-1791</t>
  </si>
  <si>
    <t>https://link.springer.com/journal/269</t>
  </si>
  <si>
    <t>Physics in Perspective</t>
  </si>
  <si>
    <t>1422-6960</t>
  </si>
  <si>
    <t>1422-6944</t>
  </si>
  <si>
    <t>https://link.springer.com/journal/16</t>
  </si>
  <si>
    <t>Physics of Atomic Nuclei</t>
  </si>
  <si>
    <t>1562-692X</t>
  </si>
  <si>
    <t>1063-7788</t>
  </si>
  <si>
    <t>https://link.springer.com/journal/11450</t>
  </si>
  <si>
    <t>Physics of Metals and Metallography</t>
  </si>
  <si>
    <t>1555-6190</t>
  </si>
  <si>
    <t>0031-918X</t>
  </si>
  <si>
    <t>https://link.springer.com/journal/11508</t>
  </si>
  <si>
    <t>Physics of Particles and Nuclei/ Physics of Particles and Nuclei Letters</t>
  </si>
  <si>
    <t>https://link.springer.com/journal/11567</t>
  </si>
  <si>
    <t>Physics of the Solid State</t>
  </si>
  <si>
    <t>1090-6460</t>
  </si>
  <si>
    <t>1063-7834</t>
  </si>
  <si>
    <t>https://link.springer.com/journal/11451</t>
  </si>
  <si>
    <t>Physics of Wave Phenomena</t>
  </si>
  <si>
    <t>1934-807X</t>
  </si>
  <si>
    <t>1541-308X</t>
  </si>
  <si>
    <t>https://link.springer.com/journal/11975</t>
  </si>
  <si>
    <t>Physiology and Molecular Biology of Plants</t>
  </si>
  <si>
    <t>0974-0430</t>
  </si>
  <si>
    <t>0971-5894</t>
  </si>
  <si>
    <t>https://link.springer.com/journal/12298</t>
  </si>
  <si>
    <t>Phytochemistry Reviews</t>
  </si>
  <si>
    <t>1572-980X</t>
  </si>
  <si>
    <t>1568-7767</t>
  </si>
  <si>
    <t>https://link.springer.com/journal/11101</t>
  </si>
  <si>
    <t>Phytoparasitica</t>
  </si>
  <si>
    <t>1876-7184</t>
  </si>
  <si>
    <t>0334-2123</t>
  </si>
  <si>
    <t>https://link.springer.com/journal/12600</t>
  </si>
  <si>
    <t>Pituitary</t>
  </si>
  <si>
    <t>1573-7403</t>
  </si>
  <si>
    <t>1386-341X</t>
  </si>
  <si>
    <t>https://link.springer.com/journal/11102</t>
  </si>
  <si>
    <t>Plant and Soil</t>
  </si>
  <si>
    <t>1573-5036</t>
  </si>
  <si>
    <t>0032-079X</t>
  </si>
  <si>
    <t>https://link.springer.com/journal/11104</t>
  </si>
  <si>
    <t>Plant Biotechnology Reports</t>
  </si>
  <si>
    <t>1863-5474</t>
  </si>
  <si>
    <t>https://link.springer.com/journal/11816</t>
  </si>
  <si>
    <t>Plant Cell Reports</t>
  </si>
  <si>
    <t>1432-203X</t>
  </si>
  <si>
    <t>0721-7714</t>
  </si>
  <si>
    <t>https://link.springer.com/journal/299</t>
  </si>
  <si>
    <t>Plant Cell, Tissue and Organ Culture (PCTOC)</t>
  </si>
  <si>
    <t>1573-5044</t>
  </si>
  <si>
    <t>0167-6857</t>
  </si>
  <si>
    <t>https://link.springer.com/journal/11240</t>
  </si>
  <si>
    <t>Plant Ecology</t>
  </si>
  <si>
    <t>1573-5052</t>
  </si>
  <si>
    <t>1385-0237</t>
  </si>
  <si>
    <t>https://link.springer.com/journal/11258</t>
  </si>
  <si>
    <t>Plant Foods for Human Nutrition</t>
  </si>
  <si>
    <t>1573-9104</t>
  </si>
  <si>
    <t>0921-9668</t>
  </si>
  <si>
    <t>https://link.springer.com/journal/11130</t>
  </si>
  <si>
    <t>Plant Growth Regulation</t>
  </si>
  <si>
    <t>1573-5087</t>
  </si>
  <si>
    <t>0167-6903</t>
  </si>
  <si>
    <t>https://link.springer.com/journal/10725</t>
  </si>
  <si>
    <t>Plant Molecular Biology</t>
  </si>
  <si>
    <t>1573-5028</t>
  </si>
  <si>
    <t>0167-4412</t>
  </si>
  <si>
    <t>https://link.springer.com/journal/11103</t>
  </si>
  <si>
    <t>Plant Molecular Biology Reporter</t>
  </si>
  <si>
    <t>1572-9818</t>
  </si>
  <si>
    <t>0735-9640</t>
  </si>
  <si>
    <t>https://link.springer.com/journal/11105</t>
  </si>
  <si>
    <t>Plant Physiology Reports</t>
  </si>
  <si>
    <t>2662-2548</t>
  </si>
  <si>
    <t>2662-253X</t>
  </si>
  <si>
    <t>https://link.springer.com/journal/40502</t>
  </si>
  <si>
    <t>Plant Reproduction</t>
  </si>
  <si>
    <t>2194-7961</t>
  </si>
  <si>
    <t>2194-7953</t>
  </si>
  <si>
    <t>https://link.springer.com/journal/497</t>
  </si>
  <si>
    <t>Plant Systematics and Evolution</t>
  </si>
  <si>
    <t>1615-6110</t>
  </si>
  <si>
    <t>0378-2697</t>
  </si>
  <si>
    <t>https://link.springer.com/journal/606</t>
  </si>
  <si>
    <t>Planta</t>
  </si>
  <si>
    <t>1432-2048</t>
  </si>
  <si>
    <t>0032-0935</t>
  </si>
  <si>
    <t>https://link.springer.com/journal/425</t>
  </si>
  <si>
    <t>Plasma Chemistry and Plasma Processing</t>
  </si>
  <si>
    <t>1572-8986</t>
  </si>
  <si>
    <t>0272-4324</t>
  </si>
  <si>
    <t>https://link.springer.com/journal/11090</t>
  </si>
  <si>
    <t>Plasma Physics Reports</t>
  </si>
  <si>
    <t>1562-6938</t>
  </si>
  <si>
    <t>1063-780X</t>
  </si>
  <si>
    <t>https://link.springer.com/journal/11452</t>
  </si>
  <si>
    <t>Plasmonics</t>
  </si>
  <si>
    <t>1557-1963</t>
  </si>
  <si>
    <t>https://link.springer.com/journal/11468</t>
  </si>
  <si>
    <t>Pneumo News</t>
  </si>
  <si>
    <t>2199-3866</t>
  </si>
  <si>
    <t>1865-5467</t>
  </si>
  <si>
    <t>https://link.springer.com/journal/15033</t>
  </si>
  <si>
    <t>Polar Biology</t>
  </si>
  <si>
    <t>1432-2056</t>
  </si>
  <si>
    <t>0722-4060</t>
  </si>
  <si>
    <t>https://link.springer.com/journal/300</t>
  </si>
  <si>
    <t>Policy Sciences</t>
  </si>
  <si>
    <t>1573-0891</t>
  </si>
  <si>
    <t>0032-2687</t>
  </si>
  <si>
    <t>https://link.springer.com/journal/11077</t>
  </si>
  <si>
    <t>Political Behavior</t>
  </si>
  <si>
    <t>1573-6687</t>
  </si>
  <si>
    <t>0190-9320</t>
  </si>
  <si>
    <t>https://link.springer.com/journal/11109</t>
  </si>
  <si>
    <t>Politische Vierteljahresschrift</t>
  </si>
  <si>
    <t>1862-2860</t>
  </si>
  <si>
    <t>0032-3470</t>
  </si>
  <si>
    <t>https://link.springer.com/journal/11615</t>
  </si>
  <si>
    <t>Polymer Bulletin</t>
  </si>
  <si>
    <t>1436-2449</t>
  </si>
  <si>
    <t>0170-0839</t>
  </si>
  <si>
    <t>https://link.springer.com/journal/289</t>
  </si>
  <si>
    <t>Polymer Science, Series A-D</t>
  </si>
  <si>
    <t>https://link.springer.com/journal/11529</t>
  </si>
  <si>
    <t>Polytechnica</t>
  </si>
  <si>
    <t>2520-8063</t>
  </si>
  <si>
    <t>2520-8497</t>
  </si>
  <si>
    <t>https://link.springer.com/journal/41050</t>
  </si>
  <si>
    <t>Population and Environment</t>
  </si>
  <si>
    <t>1573-7810</t>
  </si>
  <si>
    <t>0199-0039</t>
  </si>
  <si>
    <t>https://link.springer.com/journal/11111</t>
  </si>
  <si>
    <t>Population Research and Policy Review</t>
  </si>
  <si>
    <t>1573-7829</t>
  </si>
  <si>
    <t>0167-5923</t>
  </si>
  <si>
    <t>https://link.springer.com/journal/11113</t>
  </si>
  <si>
    <t>Portuguese Economic Journal</t>
  </si>
  <si>
    <t>1617-9838</t>
  </si>
  <si>
    <t>1617-982X</t>
  </si>
  <si>
    <t>https://link.springer.com/journal/10258</t>
  </si>
  <si>
    <t>Positivity</t>
  </si>
  <si>
    <t>1572-9281</t>
  </si>
  <si>
    <t>1385-1292</t>
  </si>
  <si>
    <t>https://link.springer.com/journal/11117</t>
  </si>
  <si>
    <t>Postdigital Science and Education</t>
  </si>
  <si>
    <t>2524-4868</t>
  </si>
  <si>
    <t>2524-485X</t>
  </si>
  <si>
    <t>https://link.springer.com/journal/42438</t>
  </si>
  <si>
    <t>Potato Research</t>
  </si>
  <si>
    <t>1871-4528</t>
  </si>
  <si>
    <t>0014-3065</t>
  </si>
  <si>
    <t>https://link.springer.com/journal/11540</t>
  </si>
  <si>
    <t>Potential Analysis</t>
  </si>
  <si>
    <t>1572-929X</t>
  </si>
  <si>
    <t>0926-2601</t>
  </si>
  <si>
    <t>https://link.springer.com/journal/11118</t>
  </si>
  <si>
    <t>Powder Metallurgy and Metal Ceramics</t>
  </si>
  <si>
    <t>1573-9066</t>
  </si>
  <si>
    <t>1068-1302</t>
  </si>
  <si>
    <t>https://link.springer.com/journal/11106</t>
  </si>
  <si>
    <t>Power Technology and Engineering</t>
  </si>
  <si>
    <t>1570-1468</t>
  </si>
  <si>
    <t>1570-145X</t>
  </si>
  <si>
    <t>https://link.springer.com/journal/10749</t>
  </si>
  <si>
    <t>Pramana</t>
  </si>
  <si>
    <t>0973-7111</t>
  </si>
  <si>
    <t>https://link.springer.com/journal/12043</t>
  </si>
  <si>
    <t>Prävention und Gesundheitsförderung</t>
  </si>
  <si>
    <t>1861-6763</t>
  </si>
  <si>
    <t>1861-6755</t>
  </si>
  <si>
    <t>https://link.springer.com/journal/11553</t>
  </si>
  <si>
    <t>Precision Agriculture</t>
  </si>
  <si>
    <t>1573-1618</t>
  </si>
  <si>
    <t>1385-2256</t>
  </si>
  <si>
    <t>https://link.springer.com/journal/11119</t>
  </si>
  <si>
    <t>Prevention Science</t>
  </si>
  <si>
    <t>1573-6695</t>
  </si>
  <si>
    <t>1389-4986</t>
  </si>
  <si>
    <t>https://link.springer.com/journal/11121</t>
  </si>
  <si>
    <t>Primates</t>
  </si>
  <si>
    <t>1610-7365</t>
  </si>
  <si>
    <t>0032-8332</t>
  </si>
  <si>
    <t>https://link.springer.com/journal/10329</t>
  </si>
  <si>
    <t>Probability Theory and Related Fields</t>
  </si>
  <si>
    <t>1432-2064</t>
  </si>
  <si>
    <t>0178-8051</t>
  </si>
  <si>
    <t>https://link.springer.com/journal/440</t>
  </si>
  <si>
    <t>Probiotics and Antimicrobial Proteins</t>
  </si>
  <si>
    <t>1867-1314</t>
  </si>
  <si>
    <t>https://link.springer.com/journal/12602</t>
  </si>
  <si>
    <t>Problems of Information Transmission</t>
  </si>
  <si>
    <t>1608-3253</t>
  </si>
  <si>
    <t>0032-9460</t>
  </si>
  <si>
    <t>https://link.springer.com/journal/11122</t>
  </si>
  <si>
    <t>ProCare</t>
  </si>
  <si>
    <t>1613-7574</t>
  </si>
  <si>
    <t>0949-7323</t>
  </si>
  <si>
    <t>https://link.springer.com/journal/735</t>
  </si>
  <si>
    <t>Proceedings - Mathematical Sciences</t>
  </si>
  <si>
    <t>0973-7685</t>
  </si>
  <si>
    <t>https://link.springer.com/journal/12044</t>
  </si>
  <si>
    <t>Proceedings of the National Academy of Sciences, India Section A: Physical Sciences</t>
  </si>
  <si>
    <t>2250-1762</t>
  </si>
  <si>
    <t>0369-8203</t>
  </si>
  <si>
    <t>https://link.springer.com/journal/40010</t>
  </si>
  <si>
    <t>Proceedings of the National Academy of Sciences, India Section B: Biological Sciences</t>
  </si>
  <si>
    <t>2250-1746</t>
  </si>
  <si>
    <t>0369-8211</t>
  </si>
  <si>
    <t>https://link.springer.com/journal/40011</t>
  </si>
  <si>
    <t>Proceedings of the Steklov Institute of Mathematics</t>
  </si>
  <si>
    <t>1531-8605</t>
  </si>
  <si>
    <t>0081-5438</t>
  </si>
  <si>
    <t>https://link.springer.com/journal/11501</t>
  </si>
  <si>
    <t>Proceedings of the Zoological Society</t>
  </si>
  <si>
    <t>0974-6919</t>
  </si>
  <si>
    <t>0373-5893</t>
  </si>
  <si>
    <t>https://link.springer.com/journal/12595</t>
  </si>
  <si>
    <t>Process Integration and Optimization for Sustainability</t>
  </si>
  <si>
    <t>2509-4246</t>
  </si>
  <si>
    <t>2509-4238</t>
  </si>
  <si>
    <t>https://link.springer.com/journal/41660</t>
  </si>
  <si>
    <t>Production Engineering</t>
  </si>
  <si>
    <t>1863-7353</t>
  </si>
  <si>
    <t>0944-6524</t>
  </si>
  <si>
    <t>https://link.springer.com/journal/11740</t>
  </si>
  <si>
    <t>Programming and Computer Software</t>
  </si>
  <si>
    <t>1608-3261</t>
  </si>
  <si>
    <t>0361-7688</t>
  </si>
  <si>
    <t>https://link.springer.com/journal/11086</t>
  </si>
  <si>
    <t>Progress in Additive Manufacturing</t>
  </si>
  <si>
    <t>2363-9520</t>
  </si>
  <si>
    <t>2363-9512</t>
  </si>
  <si>
    <t>https://link.springer.com/journal/40964</t>
  </si>
  <si>
    <t>Progress in Artificial Intelligence</t>
  </si>
  <si>
    <t>2192-6360</t>
  </si>
  <si>
    <t>2192-6352</t>
  </si>
  <si>
    <t>https://link.springer.com/journal/13748</t>
  </si>
  <si>
    <t>Progress in Biomaterials</t>
  </si>
  <si>
    <t>2194-0517</t>
  </si>
  <si>
    <t>https://link.springer.com/journal/40204</t>
  </si>
  <si>
    <t>PROSPECTS</t>
  </si>
  <si>
    <t>1573-9090</t>
  </si>
  <si>
    <t>0033-1538</t>
  </si>
  <si>
    <t>https://link.springer.com/journal/11125</t>
  </si>
  <si>
    <t>Protection of Metals and Physical Chemistry of Surfaces</t>
  </si>
  <si>
    <t>2070-206X</t>
  </si>
  <si>
    <t>2070-2051</t>
  </si>
  <si>
    <t>https://link.springer.com/journal/11124</t>
  </si>
  <si>
    <t>Protoplasma</t>
  </si>
  <si>
    <t>1615-6102</t>
  </si>
  <si>
    <t>0033-183X</t>
  </si>
  <si>
    <t>https://link.springer.com/journal/709</t>
  </si>
  <si>
    <t>Psychiatric Quarterly</t>
  </si>
  <si>
    <t>1573-6709</t>
  </si>
  <si>
    <t>0033-2720</t>
  </si>
  <si>
    <t>https://link.springer.com/journal/11126</t>
  </si>
  <si>
    <t>Psychological Injury and Law</t>
  </si>
  <si>
    <t>1938-9728</t>
  </si>
  <si>
    <t>https://link.springer.com/journal/12207</t>
  </si>
  <si>
    <t>Psychological Research</t>
  </si>
  <si>
    <t>1430-2772</t>
  </si>
  <si>
    <t>0340-0727</t>
  </si>
  <si>
    <t>https://link.springer.com/journal/426</t>
  </si>
  <si>
    <t>Psychological Studies</t>
  </si>
  <si>
    <t>0974-9861</t>
  </si>
  <si>
    <t>0033-2968</t>
  </si>
  <si>
    <t>https://link.springer.com/journal/12646</t>
  </si>
  <si>
    <t>Psychometrika</t>
  </si>
  <si>
    <t>1860-0980</t>
  </si>
  <si>
    <t>0033-3123</t>
  </si>
  <si>
    <t>https://link.springer.com/journal/11336</t>
  </si>
  <si>
    <t>Psychonomic Bulletin &amp; Review</t>
  </si>
  <si>
    <t>1531-5320</t>
  </si>
  <si>
    <t>1069-9384</t>
  </si>
  <si>
    <t>https://link.springer.com/journal/13423</t>
  </si>
  <si>
    <t>Psychopharmacology</t>
  </si>
  <si>
    <t>1432-2072</t>
  </si>
  <si>
    <t>0033-3158</t>
  </si>
  <si>
    <t>https://link.springer.com/journal/213</t>
  </si>
  <si>
    <t>psychopraxis. neuropraxis</t>
  </si>
  <si>
    <t>2197-9715</t>
  </si>
  <si>
    <t>2197-9707</t>
  </si>
  <si>
    <t>https://link.springer.com/journal/739</t>
  </si>
  <si>
    <t>Die Psychotherapie</t>
  </si>
  <si>
    <t>2731-717X</t>
  </si>
  <si>
    <t>2731-7161</t>
  </si>
  <si>
    <t>https://link.springer.com/journal/278</t>
  </si>
  <si>
    <t>Psychotherapie Forum</t>
  </si>
  <si>
    <t>1613-7604</t>
  </si>
  <si>
    <t>https://link.springer.com/journal/729</t>
  </si>
  <si>
    <t>Public Choice</t>
  </si>
  <si>
    <t>1573-7101</t>
  </si>
  <si>
    <t>0048-5829</t>
  </si>
  <si>
    <t>https://link.springer.com/journal/11127</t>
  </si>
  <si>
    <t>Public Organization Review</t>
  </si>
  <si>
    <t>1573-7098</t>
  </si>
  <si>
    <t>1566-7170</t>
  </si>
  <si>
    <t>https://link.springer.com/journal/11115</t>
  </si>
  <si>
    <t>Public Transport</t>
  </si>
  <si>
    <t>1613-7159</t>
  </si>
  <si>
    <t>https://link.springer.com/journal/12469</t>
  </si>
  <si>
    <t>Publishing Research Quarterly</t>
  </si>
  <si>
    <t>1936-4792</t>
  </si>
  <si>
    <t>1053-8801</t>
  </si>
  <si>
    <t>https://link.springer.com/journal/12109</t>
  </si>
  <si>
    <t>Publizistik</t>
  </si>
  <si>
    <t>1862-2569</t>
  </si>
  <si>
    <t>0033-4006</t>
  </si>
  <si>
    <t>https://link.springer.com/journal/11616</t>
  </si>
  <si>
    <t>Pure and Applied Geophysics</t>
  </si>
  <si>
    <t>1420-9136</t>
  </si>
  <si>
    <t>0033-4553</t>
  </si>
  <si>
    <t>https://link.springer.com/journal/24</t>
  </si>
  <si>
    <t>Purinergic Signalling</t>
  </si>
  <si>
    <t>1573-9546</t>
  </si>
  <si>
    <t>https://link.springer.com/journal/11302</t>
  </si>
  <si>
    <t>Qualitative Sociology</t>
  </si>
  <si>
    <t>1573-7837</t>
  </si>
  <si>
    <t>0162-0436</t>
  </si>
  <si>
    <t>https://link.springer.com/journal/11133</t>
  </si>
  <si>
    <t>Qualitative Theory of Dynamical Systems</t>
  </si>
  <si>
    <t>1662-3592</t>
  </si>
  <si>
    <t>1575-5460</t>
  </si>
  <si>
    <t>https://link.springer.com/journal/12346</t>
  </si>
  <si>
    <t>Quality &amp; Quantity</t>
  </si>
  <si>
    <t>1573-7845</t>
  </si>
  <si>
    <t>0033-5177</t>
  </si>
  <si>
    <t>https://link.springer.com/journal/11135</t>
  </si>
  <si>
    <t>Quality and User Experience</t>
  </si>
  <si>
    <t>2366-0147</t>
  </si>
  <si>
    <t>2366-0139</t>
  </si>
  <si>
    <t>https://link.springer.com/journal/41233</t>
  </si>
  <si>
    <t>Quality of Life Research</t>
  </si>
  <si>
    <t>1573-2649</t>
  </si>
  <si>
    <t>0962-9343</t>
  </si>
  <si>
    <t>https://link.springer.com/journal/11136</t>
  </si>
  <si>
    <t>Quantitative Marketing and Economics</t>
  </si>
  <si>
    <t>1573-711X</t>
  </si>
  <si>
    <t>1570-7156</t>
  </si>
  <si>
    <t>https://link.springer.com/journal/11129</t>
  </si>
  <si>
    <t>Quantum Information Processing</t>
  </si>
  <si>
    <t>1573-1332</t>
  </si>
  <si>
    <t>https://link.springer.com/journal/11128</t>
  </si>
  <si>
    <t>Quantum Machine Intelligence</t>
  </si>
  <si>
    <t>2524-4914</t>
  </si>
  <si>
    <t>2524-4906</t>
  </si>
  <si>
    <t>https://link.springer.com/journal/42484</t>
  </si>
  <si>
    <t>Quantum Studies: Mathematics and Foundations</t>
  </si>
  <si>
    <t>2196-5617</t>
  </si>
  <si>
    <t>2196-5609</t>
  </si>
  <si>
    <t>https://link.springer.com/journal/40509</t>
  </si>
  <si>
    <t>Queueing Systems</t>
  </si>
  <si>
    <t>1572-9443</t>
  </si>
  <si>
    <t>0257-0130</t>
  </si>
  <si>
    <t>https://link.springer.com/journal/11134</t>
  </si>
  <si>
    <t>Race and Social Problems</t>
  </si>
  <si>
    <t>1867-1756</t>
  </si>
  <si>
    <t>1867-1748</t>
  </si>
  <si>
    <t>https://link.springer.com/journal/12552</t>
  </si>
  <si>
    <t>Radiation and Environmental Biophysics</t>
  </si>
  <si>
    <t>1432-2099</t>
  </si>
  <si>
    <t>0301-634X</t>
  </si>
  <si>
    <t>https://link.springer.com/journal/411</t>
  </si>
  <si>
    <t>Radiation Detection Technology and Methods</t>
  </si>
  <si>
    <t>2509-9949</t>
  </si>
  <si>
    <t>2509-9930</t>
  </si>
  <si>
    <t>https://link.springer.com/journal/41605</t>
  </si>
  <si>
    <t>Radiochemistry</t>
  </si>
  <si>
    <t>1608-3288</t>
  </si>
  <si>
    <t>1066-3622</t>
  </si>
  <si>
    <t>https://link.springer.com/journal/11137</t>
  </si>
  <si>
    <t>Radioelectronics and Communications Systems</t>
  </si>
  <si>
    <t>1934-8061</t>
  </si>
  <si>
    <t>0735-2727</t>
  </si>
  <si>
    <t>https://link.springer.com/journal/11976</t>
  </si>
  <si>
    <t>Radiological Physics and Technology</t>
  </si>
  <si>
    <t>1865-0341</t>
  </si>
  <si>
    <t>1865-0333</t>
  </si>
  <si>
    <t>https://link.springer.com/journal/12194</t>
  </si>
  <si>
    <t>Radiophysics and Quantum Electronics</t>
  </si>
  <si>
    <t>1573-9120</t>
  </si>
  <si>
    <t>0033-8443</t>
  </si>
  <si>
    <t>https://link.springer.com/journal/11141</t>
  </si>
  <si>
    <t>Rare Metals</t>
  </si>
  <si>
    <t>1867-7185</t>
  </si>
  <si>
    <t>1001-0521</t>
  </si>
  <si>
    <t>https://link.springer.com/journal/12598</t>
  </si>
  <si>
    <t>Reaction Kinetics, Mechanisms and Catalysis</t>
  </si>
  <si>
    <t>1878-5204</t>
  </si>
  <si>
    <t>1878-5190</t>
  </si>
  <si>
    <t>https://link.springer.com/journal/11144</t>
  </si>
  <si>
    <t>Reading and Writing</t>
  </si>
  <si>
    <t>1573-0905</t>
  </si>
  <si>
    <t>0922-4777</t>
  </si>
  <si>
    <t>https://link.springer.com/journal/11145</t>
  </si>
  <si>
    <t>Real-Time Systems</t>
  </si>
  <si>
    <t>1573-1383</t>
  </si>
  <si>
    <t>0922-6443</t>
  </si>
  <si>
    <t>https://link.springer.com/journal/11241</t>
  </si>
  <si>
    <t>Rechtsmedizin</t>
  </si>
  <si>
    <t>1434-5196</t>
  </si>
  <si>
    <t>0937-9819</t>
  </si>
  <si>
    <t>https://link.springer.com/journal/194</t>
  </si>
  <si>
    <t>Refractories and Industrial Ceramics</t>
  </si>
  <si>
    <t>1573-9139</t>
  </si>
  <si>
    <t>1083-4877</t>
  </si>
  <si>
    <t>https://link.springer.com/journal/11148</t>
  </si>
  <si>
    <t>Regenerative Engineering and Translational Medicine</t>
  </si>
  <si>
    <t>2364-4141</t>
  </si>
  <si>
    <t>2364-4133</t>
  </si>
  <si>
    <t>https://link.springer.com/journal/40883</t>
  </si>
  <si>
    <t>Regional Environmental Change</t>
  </si>
  <si>
    <t>1436-378X</t>
  </si>
  <si>
    <t>1436-3798</t>
  </si>
  <si>
    <t>https://link.springer.com/journal/10113</t>
  </si>
  <si>
    <t>Regional Research of Russia</t>
  </si>
  <si>
    <t>2079-9713</t>
  </si>
  <si>
    <t>2079-9705</t>
  </si>
  <si>
    <t>https://link.springer.com/journal/13393</t>
  </si>
  <si>
    <t>Regular and Chaotic Dynamics</t>
  </si>
  <si>
    <t>1468-4845</t>
  </si>
  <si>
    <t>1560-3547</t>
  </si>
  <si>
    <t>https://link.springer.com/journal/11819</t>
  </si>
  <si>
    <t>Remote Sensing in Earth Systems Sciences</t>
  </si>
  <si>
    <t>2520-8209</t>
  </si>
  <si>
    <t>2520-8195</t>
  </si>
  <si>
    <t>https://link.springer.com/journal/41976</t>
  </si>
  <si>
    <t>Rendiconti del Circolo Matematico di Palermo Series 2</t>
  </si>
  <si>
    <t>1973-4409</t>
  </si>
  <si>
    <t>0009-725X</t>
  </si>
  <si>
    <t>https://link.springer.com/journal/12215</t>
  </si>
  <si>
    <t>Rendiconti Lincei. Scienze Fisiche e Naturali</t>
  </si>
  <si>
    <t>1720-0776</t>
  </si>
  <si>
    <t>2037-4631</t>
  </si>
  <si>
    <t>https://link.springer.com/journal/12210</t>
  </si>
  <si>
    <t>Reproductive Sciences</t>
  </si>
  <si>
    <t>1933-7205</t>
  </si>
  <si>
    <t>https://link.springer.com/journal/43032</t>
  </si>
  <si>
    <t>Requirements Engineering</t>
  </si>
  <si>
    <t>1432-010X</t>
  </si>
  <si>
    <t>0947-3602</t>
  </si>
  <si>
    <t>https://link.springer.com/journal/766</t>
  </si>
  <si>
    <t>Res Publica</t>
  </si>
  <si>
    <t>1572-8692</t>
  </si>
  <si>
    <t>1356-4765</t>
  </si>
  <si>
    <t>https://link.springer.com/journal/11158</t>
  </si>
  <si>
    <t>Research in Engineering Design</t>
  </si>
  <si>
    <t>1435-6066</t>
  </si>
  <si>
    <t>0934-9839</t>
  </si>
  <si>
    <t>https://link.springer.com/journal/163</t>
  </si>
  <si>
    <t>Research in Higher Education</t>
  </si>
  <si>
    <t>1573-188X</t>
  </si>
  <si>
    <t>0361-0365</t>
  </si>
  <si>
    <t>https://link.springer.com/journal/11162</t>
  </si>
  <si>
    <t>Research in Number Theory</t>
  </si>
  <si>
    <t>2363-9555</t>
  </si>
  <si>
    <t>2522-0160</t>
  </si>
  <si>
    <t>https://link.springer.com/journal/40993</t>
  </si>
  <si>
    <t>Research in Science Education</t>
  </si>
  <si>
    <t>1573-1898</t>
  </si>
  <si>
    <t>0157-244X</t>
  </si>
  <si>
    <t>https://link.springer.com/journal/11165</t>
  </si>
  <si>
    <t>Research in the Mathematical Sciences</t>
  </si>
  <si>
    <t>2197-9847</t>
  </si>
  <si>
    <t>2522-0144</t>
  </si>
  <si>
    <t>https://link.springer.com/journal/40687</t>
  </si>
  <si>
    <t>Research on Biomedical Engineering</t>
  </si>
  <si>
    <t>2446-4740</t>
  </si>
  <si>
    <t>https://link.springer.com/journal/42600</t>
  </si>
  <si>
    <t>Research on Chemical Intermediates</t>
  </si>
  <si>
    <t>1568-5675</t>
  </si>
  <si>
    <t>0922-6168</t>
  </si>
  <si>
    <t>https://link.springer.com/journal/11164</t>
  </si>
  <si>
    <t>Research on Child and Adolescent Psychopathology</t>
  </si>
  <si>
    <t>2730-7174</t>
  </si>
  <si>
    <t>2730-7166</t>
  </si>
  <si>
    <t>https://link.springer.com/journal/10802</t>
  </si>
  <si>
    <t>Resonance</t>
  </si>
  <si>
    <t>0973-712X</t>
  </si>
  <si>
    <t>https://link.springer.com/journal/12045</t>
  </si>
  <si>
    <t>Results in Mathematics</t>
  </si>
  <si>
    <t>1420-9012</t>
  </si>
  <si>
    <t>1422-6383</t>
  </si>
  <si>
    <t>https://link.springer.com/journal/25</t>
  </si>
  <si>
    <t>Review Journal of Autism and Developmental Disorders</t>
  </si>
  <si>
    <t>2195-7185</t>
  </si>
  <si>
    <t>2195-7177</t>
  </si>
  <si>
    <t>https://link.springer.com/journal/40489</t>
  </si>
  <si>
    <t>Review of Accounting Studies</t>
  </si>
  <si>
    <t>1573-7136</t>
  </si>
  <si>
    <t>1380-6653</t>
  </si>
  <si>
    <t>https://link.springer.com/journal/11142</t>
  </si>
  <si>
    <t>Review of Agricultural, Food and Environmental Studies</t>
  </si>
  <si>
    <t>2425-6897</t>
  </si>
  <si>
    <t>2425-6870</t>
  </si>
  <si>
    <t>https://link.springer.com/journal/41130</t>
  </si>
  <si>
    <t>Review of Derivatives Research</t>
  </si>
  <si>
    <t>1573-7144</t>
  </si>
  <si>
    <t>1380-6645</t>
  </si>
  <si>
    <t>https://link.springer.com/journal/11147</t>
  </si>
  <si>
    <t>Review of Economic Design</t>
  </si>
  <si>
    <t>1434-4750</t>
  </si>
  <si>
    <t>1434-4742</t>
  </si>
  <si>
    <t>https://link.springer.com/journal/10058</t>
  </si>
  <si>
    <t>Review of Economics of the Household</t>
  </si>
  <si>
    <t>1573-7152</t>
  </si>
  <si>
    <t>1569-5239</t>
  </si>
  <si>
    <t>https://link.springer.com/journal/11150</t>
  </si>
  <si>
    <t>Review of Evolutionary Political Economy</t>
  </si>
  <si>
    <t>2662-6144</t>
  </si>
  <si>
    <t>https://link.springer.com/journal/43253</t>
  </si>
  <si>
    <t>Review of Industrial Organization</t>
  </si>
  <si>
    <t>1573-7160</t>
  </si>
  <si>
    <t>0889-938X</t>
  </si>
  <si>
    <t>https://link.springer.com/journal/11151</t>
  </si>
  <si>
    <t>Review of Managerial Science</t>
  </si>
  <si>
    <t>1863-6691</t>
  </si>
  <si>
    <t>1863-6683</t>
  </si>
  <si>
    <t>https://link.springer.com/journal/11846</t>
  </si>
  <si>
    <t>Review of Philosophy and Psychology</t>
  </si>
  <si>
    <t>1878-5166</t>
  </si>
  <si>
    <t>https://link.springer.com/journal/13164</t>
  </si>
  <si>
    <t>Review of Quantitative Finance and Accounting</t>
  </si>
  <si>
    <t>1573-7179</t>
  </si>
  <si>
    <t>0924-865X</t>
  </si>
  <si>
    <t>https://link.springer.com/journal/11156</t>
  </si>
  <si>
    <t>Review of Regional Research</t>
  </si>
  <si>
    <t>1613-9836</t>
  </si>
  <si>
    <t>0173-7600</t>
  </si>
  <si>
    <t>https://link.springer.com/journal/10037</t>
  </si>
  <si>
    <t>Review of Religious Research</t>
  </si>
  <si>
    <t>2211-4866</t>
  </si>
  <si>
    <t>0034-673X</t>
  </si>
  <si>
    <t>https://link.springer.com/journal/13644</t>
  </si>
  <si>
    <t>Review of World Economics</t>
  </si>
  <si>
    <t>1610-2886</t>
  </si>
  <si>
    <t>1610-2878</t>
  </si>
  <si>
    <t>https://link.springer.com/journal/10290</t>
  </si>
  <si>
    <t>Reviews and Advances in Chemistry</t>
  </si>
  <si>
    <t>2634-8284</t>
  </si>
  <si>
    <t>2634-8276</t>
  </si>
  <si>
    <t>https://link.springer.com/journal/13392</t>
  </si>
  <si>
    <t>Reviews in Endocrine and Metabolic Disorders</t>
  </si>
  <si>
    <t>1573-2606</t>
  </si>
  <si>
    <t>1389-9155</t>
  </si>
  <si>
    <t>https://link.springer.com/journal/11154</t>
  </si>
  <si>
    <t>Reviews in Environmental Science and Bio/Technology</t>
  </si>
  <si>
    <t>1572-9826</t>
  </si>
  <si>
    <t>1569-1705</t>
  </si>
  <si>
    <t>https://link.springer.com/journal/11157</t>
  </si>
  <si>
    <t>Reviews in Fish Biology and Fisheries</t>
  </si>
  <si>
    <t>1573-5184</t>
  </si>
  <si>
    <t>0960-3166</t>
  </si>
  <si>
    <t>https://link.springer.com/journal/11160</t>
  </si>
  <si>
    <t>Reviews of Environmental Contamination and Toxicology</t>
  </si>
  <si>
    <t>2197-6554</t>
  </si>
  <si>
    <t>0179-5953</t>
  </si>
  <si>
    <t>https://link.springer.com/journal/44169</t>
  </si>
  <si>
    <t>Reviews of Modern Plasma Physics</t>
  </si>
  <si>
    <t>2367-3192</t>
  </si>
  <si>
    <t>https://link.springer.com/journal/41614</t>
  </si>
  <si>
    <t>Revista Brasileira de Farmacognosia</t>
  </si>
  <si>
    <t>1981-528X</t>
  </si>
  <si>
    <t>https://link.springer.com/journal/43450</t>
  </si>
  <si>
    <t>Revista de la Real Academia de Ciencias Exactas, Físicas y Naturales. Serie A. Matemáticas</t>
  </si>
  <si>
    <t>1579-1505</t>
  </si>
  <si>
    <t>1578-7303</t>
  </si>
  <si>
    <t>https://link.springer.com/journal/13398</t>
  </si>
  <si>
    <t>Revista Matemática Complutense</t>
  </si>
  <si>
    <t>1988-2807</t>
  </si>
  <si>
    <t>1139-1138</t>
  </si>
  <si>
    <t>https://link.springer.com/journal/13163</t>
  </si>
  <si>
    <t>Rheologica Acta</t>
  </si>
  <si>
    <t>1435-1528</t>
  </si>
  <si>
    <t>0035-4511</t>
  </si>
  <si>
    <t>https://link.springer.com/journal/397</t>
  </si>
  <si>
    <t>rheuma plus</t>
  </si>
  <si>
    <t>2191-2610</t>
  </si>
  <si>
    <t>1868-260X</t>
  </si>
  <si>
    <t>https://link.springer.com/journal/12688</t>
  </si>
  <si>
    <t>Rheumatology International</t>
  </si>
  <si>
    <t>1437-160X</t>
  </si>
  <si>
    <t>https://link.springer.com/journal/296</t>
  </si>
  <si>
    <t>Ricerche di Matematica</t>
  </si>
  <si>
    <t>1827-3491</t>
  </si>
  <si>
    <t>0035-5038</t>
  </si>
  <si>
    <t>https://link.springer.com/journal/11587</t>
  </si>
  <si>
    <t>Rock Mechanics and Rock Engineering</t>
  </si>
  <si>
    <t>1434-453X</t>
  </si>
  <si>
    <t>0723-2632</t>
  </si>
  <si>
    <t>https://link.springer.com/journal/603</t>
  </si>
  <si>
    <t>Russian Aeronautics</t>
  </si>
  <si>
    <t>1934-7901</t>
  </si>
  <si>
    <t>1068-7998</t>
  </si>
  <si>
    <t>https://link.springer.com/journal/11977</t>
  </si>
  <si>
    <t>Russian Agricultural Sciences</t>
  </si>
  <si>
    <t>1934-8037</t>
  </si>
  <si>
    <t>1068-3674</t>
  </si>
  <si>
    <t>https://link.springer.com/journal/11978</t>
  </si>
  <si>
    <t>Russian Chemical Bulletin</t>
  </si>
  <si>
    <t>1573-9171</t>
  </si>
  <si>
    <t>1066-5285</t>
  </si>
  <si>
    <t>https://link.springer.com/journal/11172</t>
  </si>
  <si>
    <t>Russian Electrical Engineering</t>
  </si>
  <si>
    <t>1934-8010</t>
  </si>
  <si>
    <t>1068-3712</t>
  </si>
  <si>
    <t>https://link.springer.com/journal/11979</t>
  </si>
  <si>
    <t>Russian Engineering Research</t>
  </si>
  <si>
    <t>1934-8088</t>
  </si>
  <si>
    <t>1068-798X</t>
  </si>
  <si>
    <t>https://link.springer.com/journal/11980</t>
  </si>
  <si>
    <t>Russian Journal of Applied Chemistry</t>
  </si>
  <si>
    <t>1608-3296</t>
  </si>
  <si>
    <t>1070-4272</t>
  </si>
  <si>
    <t>https://link.springer.com/journal/11167</t>
  </si>
  <si>
    <t>Russian Journal of Biological Invasions</t>
  </si>
  <si>
    <t>2075-1125</t>
  </si>
  <si>
    <t>2075-1117</t>
  </si>
  <si>
    <t>https://link.springer.com/journal/13168</t>
  </si>
  <si>
    <t>Russian Journal of Bioorganic Chemistry</t>
  </si>
  <si>
    <t>1608-330X</t>
  </si>
  <si>
    <t>1068-1620</t>
  </si>
  <si>
    <t>https://link.springer.com/journal/11171</t>
  </si>
  <si>
    <t>Russian Journal of Coordination Chemistry</t>
  </si>
  <si>
    <t>1608-3318</t>
  </si>
  <si>
    <t>1070-3284</t>
  </si>
  <si>
    <t>https://link.springer.com/journal/11173</t>
  </si>
  <si>
    <t>Russian Journal of Developmental Biology</t>
  </si>
  <si>
    <t>1608-3326</t>
  </si>
  <si>
    <t>1062-3604</t>
  </si>
  <si>
    <t>https://link.springer.com/journal/11174</t>
  </si>
  <si>
    <t>Russian Journal of Ecology</t>
  </si>
  <si>
    <t>1608-3334</t>
  </si>
  <si>
    <t>1067-4136</t>
  </si>
  <si>
    <t>https://link.springer.com/journal/11184</t>
  </si>
  <si>
    <t>Russian Journal of Electrochemistry</t>
  </si>
  <si>
    <t>1608-3342</t>
  </si>
  <si>
    <t>1023-1935</t>
  </si>
  <si>
    <t>https://link.springer.com/journal/11175</t>
  </si>
  <si>
    <t>Russian Journal of General Chemistry</t>
  </si>
  <si>
    <t>1608-3350</t>
  </si>
  <si>
    <t>1070-3632</t>
  </si>
  <si>
    <t>https://link.springer.com/journal/11176</t>
  </si>
  <si>
    <t>Russian Journal of Genetics</t>
  </si>
  <si>
    <t>1608-3369</t>
  </si>
  <si>
    <t>1022-7954</t>
  </si>
  <si>
    <t>https://link.springer.com/journal/11177</t>
  </si>
  <si>
    <t>Russian Journal of Inorganic Chemistry</t>
  </si>
  <si>
    <t>1531-8613</t>
  </si>
  <si>
    <t>0036-0236</t>
  </si>
  <si>
    <t>https://link.springer.com/journal/11502</t>
  </si>
  <si>
    <t>Russian Journal of Marine Biology</t>
  </si>
  <si>
    <t>1608-3377</t>
  </si>
  <si>
    <t>1063-0740</t>
  </si>
  <si>
    <t>https://link.springer.com/journal/11179</t>
  </si>
  <si>
    <t>Russian Journal of Mathematical Physics</t>
  </si>
  <si>
    <t>1555-6638</t>
  </si>
  <si>
    <t>1061-9208</t>
  </si>
  <si>
    <t>https://link.springer.com/journal/11503</t>
  </si>
  <si>
    <t>Russian Journal of Nondestructive Testing</t>
  </si>
  <si>
    <t>1608-3385</t>
  </si>
  <si>
    <t>1061-8309</t>
  </si>
  <si>
    <t>https://link.springer.com/journal/11181</t>
  </si>
  <si>
    <t>Russian Journal of Non-Ferrous Metals</t>
  </si>
  <si>
    <t>1934-970X</t>
  </si>
  <si>
    <t>1067-8212</t>
  </si>
  <si>
    <t>https://link.springer.com/journal/11981</t>
  </si>
  <si>
    <t>Russian Journal of Organic Chemistry</t>
  </si>
  <si>
    <t>1608-3393</t>
  </si>
  <si>
    <t>1070-4280</t>
  </si>
  <si>
    <t>https://link.springer.com/journal/11178</t>
  </si>
  <si>
    <t>Russian Journal of Pacific Geology</t>
  </si>
  <si>
    <t>1819-7159</t>
  </si>
  <si>
    <t>1819-7140</t>
  </si>
  <si>
    <t>https://link.springer.com/journal/11720</t>
  </si>
  <si>
    <t>Russian Journal of Physical Chemistry A</t>
  </si>
  <si>
    <t>1531-863X</t>
  </si>
  <si>
    <t>0036-0244</t>
  </si>
  <si>
    <t>https://link.springer.com/journal/11504</t>
  </si>
  <si>
    <t>Russian Journal of Physical Chemistry B</t>
  </si>
  <si>
    <t>1990-7923</t>
  </si>
  <si>
    <t>1990-7931</t>
  </si>
  <si>
    <t>https://link.springer.com/journal/11826</t>
  </si>
  <si>
    <t>Russian Journal of Plant Physiology</t>
  </si>
  <si>
    <t>1608-3407</t>
  </si>
  <si>
    <t>1021-4437</t>
  </si>
  <si>
    <t>https://link.springer.com/journal/11183</t>
  </si>
  <si>
    <t>Russian Linguistics</t>
  </si>
  <si>
    <t>1572-8714</t>
  </si>
  <si>
    <t>0304-3487</t>
  </si>
  <si>
    <t>https://link.springer.com/journal/11185</t>
  </si>
  <si>
    <t>Russian Mathematics</t>
  </si>
  <si>
    <t>1934-810X</t>
  </si>
  <si>
    <t>1066-369X</t>
  </si>
  <si>
    <t>https://link.springer.com/journal/11982</t>
  </si>
  <si>
    <t>Russian Metallurgy (Metally)</t>
  </si>
  <si>
    <t>1555-6255</t>
  </si>
  <si>
    <t>0036-0295</t>
  </si>
  <si>
    <t>https://link.springer.com/journal/11505</t>
  </si>
  <si>
    <t>Russian Meteorology and Hydrology</t>
  </si>
  <si>
    <t>1934-8096</t>
  </si>
  <si>
    <t>1068-3739</t>
  </si>
  <si>
    <t>https://link.springer.com/journal/11983</t>
  </si>
  <si>
    <t>Russian Microelectronics</t>
  </si>
  <si>
    <t>1608-3415</t>
  </si>
  <si>
    <t>1063-7397</t>
  </si>
  <si>
    <t>https://link.springer.com/journal/11180</t>
  </si>
  <si>
    <t>Russian Physics Journal</t>
  </si>
  <si>
    <t>1573-9228</t>
  </si>
  <si>
    <t>1064-8887</t>
  </si>
  <si>
    <t>https://link.springer.com/journal/11182</t>
  </si>
  <si>
    <t>Sādhanā</t>
  </si>
  <si>
    <t>0973-7677</t>
  </si>
  <si>
    <t>https://link.springer.com/journal/12046</t>
  </si>
  <si>
    <t>Safety in Extreme Environments</t>
  </si>
  <si>
    <t>2524-8189</t>
  </si>
  <si>
    <t>2524-8170</t>
  </si>
  <si>
    <t>https://link.springer.com/journal/42797</t>
  </si>
  <si>
    <t>Sankhya</t>
  </si>
  <si>
    <t>https://link.springer.com/journal/13572</t>
  </si>
  <si>
    <t>São Paulo Journal of Mathematical Sciences</t>
  </si>
  <si>
    <t>2316-9028</t>
  </si>
  <si>
    <t>1982-6907</t>
  </si>
  <si>
    <t>https://link.springer.com/journal/40863</t>
  </si>
  <si>
    <t>Schmerzmedizin</t>
  </si>
  <si>
    <t>2364-1010</t>
  </si>
  <si>
    <t>2194-2536</t>
  </si>
  <si>
    <t>https://link.springer.com/journal/940</t>
  </si>
  <si>
    <t>School Mental Health</t>
  </si>
  <si>
    <t>1866-2633</t>
  </si>
  <si>
    <t>1866-2625</t>
  </si>
  <si>
    <t>https://link.springer.com/journal/12310</t>
  </si>
  <si>
    <t>Schweizer Gastroenterologie</t>
  </si>
  <si>
    <t>2662-7159</t>
  </si>
  <si>
    <t>2662-7140</t>
  </si>
  <si>
    <t>https://link.springer.com/journal/43472</t>
  </si>
  <si>
    <t>Science &amp; Education</t>
  </si>
  <si>
    <t>1573-1901</t>
  </si>
  <si>
    <t>0926-7220</t>
  </si>
  <si>
    <t>https://link.springer.com/journal/11191</t>
  </si>
  <si>
    <t>Science and Engineering Ethics</t>
  </si>
  <si>
    <t>1471-5546</t>
  </si>
  <si>
    <t>1353-3452</t>
  </si>
  <si>
    <t>https://link.springer.com/journal/11948</t>
  </si>
  <si>
    <t>Science China Chemistry</t>
  </si>
  <si>
    <t>1869-1870</t>
  </si>
  <si>
    <t>1674-7291</t>
  </si>
  <si>
    <t>https://link.springer.com/journal/11426</t>
  </si>
  <si>
    <t>Science China Press, co-published with Springer</t>
  </si>
  <si>
    <t>Science China Earth Sciences</t>
  </si>
  <si>
    <t>1869-1897</t>
  </si>
  <si>
    <t>1674-7313</t>
  </si>
  <si>
    <t>https://link.springer.com/journal/11430</t>
  </si>
  <si>
    <t>Science China Information Sciences</t>
  </si>
  <si>
    <t>1869-1919</t>
  </si>
  <si>
    <t>1674-733X</t>
  </si>
  <si>
    <t>https://link.springer.com/journal/11432</t>
  </si>
  <si>
    <t>Science China Life Sciences</t>
  </si>
  <si>
    <t>1869-1889</t>
  </si>
  <si>
    <t>1674-7305</t>
  </si>
  <si>
    <t>https://link.springer.com/journal/11427</t>
  </si>
  <si>
    <t>Science China Materials</t>
  </si>
  <si>
    <t>2199-4501</t>
  </si>
  <si>
    <t>2095-8226</t>
  </si>
  <si>
    <t>https://link.springer.com/journal/40843</t>
  </si>
  <si>
    <t>Science China Mathematics</t>
  </si>
  <si>
    <t>1869-1862</t>
  </si>
  <si>
    <t>1674-7283</t>
  </si>
  <si>
    <t>https://link.springer.com/journal/11425</t>
  </si>
  <si>
    <t>Science China Physics, Mechanics &amp; Astronomy</t>
  </si>
  <si>
    <t>1869-1927</t>
  </si>
  <si>
    <t>1674-7348</t>
  </si>
  <si>
    <t>https://link.springer.com/journal/11433</t>
  </si>
  <si>
    <t>Science China Technological Sciences</t>
  </si>
  <si>
    <t>1869-1900</t>
  </si>
  <si>
    <t>1674-7321</t>
  </si>
  <si>
    <t>https://link.springer.com/journal/11431</t>
  </si>
  <si>
    <t>Scientific and Technical Information Processing</t>
  </si>
  <si>
    <t>1934-8118</t>
  </si>
  <si>
    <t>0147-6882</t>
  </si>
  <si>
    <t>https://link.springer.com/journal/11984</t>
  </si>
  <si>
    <t>Scientometrics</t>
  </si>
  <si>
    <t>1588-2861</t>
  </si>
  <si>
    <t>0138-9130</t>
  </si>
  <si>
    <t>https://link.springer.com/journal/11192</t>
  </si>
  <si>
    <t>Seismic Instruments</t>
  </si>
  <si>
    <t>1934-7871</t>
  </si>
  <si>
    <t>0747-9239</t>
  </si>
  <si>
    <t>https://link.springer.com/journal/11990</t>
  </si>
  <si>
    <t>Selecta Mathematica</t>
  </si>
  <si>
    <t>1420-9020</t>
  </si>
  <si>
    <t>1022-1824</t>
  </si>
  <si>
    <t>https://link.springer.com/journal/29</t>
  </si>
  <si>
    <t>SeMA Journal</t>
  </si>
  <si>
    <t>2281-7875</t>
  </si>
  <si>
    <t>2254-3902</t>
  </si>
  <si>
    <t>https://link.springer.com/journal/40324</t>
  </si>
  <si>
    <t>Semiconductors</t>
  </si>
  <si>
    <t>1090-6479</t>
  </si>
  <si>
    <t>1063-7826</t>
  </si>
  <si>
    <t>https://link.springer.com/journal/11453</t>
  </si>
  <si>
    <t>Semigroup Forum</t>
  </si>
  <si>
    <t>1432-2137</t>
  </si>
  <si>
    <t>0037-1912</t>
  </si>
  <si>
    <t>https://link.springer.com/journal/233</t>
  </si>
  <si>
    <t>Seminars in Immunopathology</t>
  </si>
  <si>
    <t>1863-2300</t>
  </si>
  <si>
    <t>1863-2297</t>
  </si>
  <si>
    <t>https://link.springer.com/journal/281</t>
  </si>
  <si>
    <t>Sensing and Imaging</t>
  </si>
  <si>
    <t>1557-2072</t>
  </si>
  <si>
    <t>https://link.springer.com/journal/11220</t>
  </si>
  <si>
    <t>Service Business</t>
  </si>
  <si>
    <t>1862-8508</t>
  </si>
  <si>
    <t>https://link.springer.com/journal/11628</t>
  </si>
  <si>
    <t>Service Oriented Computing and Applications</t>
  </si>
  <si>
    <t>1863-2394</t>
  </si>
  <si>
    <t>https://link.springer.com/journal/11761</t>
  </si>
  <si>
    <t>Set-Valued and Variational Analysis</t>
  </si>
  <si>
    <t>1877-0541</t>
  </si>
  <si>
    <t>1877-0533</t>
  </si>
  <si>
    <t>https://link.springer.com/journal/11228</t>
  </si>
  <si>
    <t>Sex Roles</t>
  </si>
  <si>
    <t>1573-2762</t>
  </si>
  <si>
    <t>0360-0025</t>
  </si>
  <si>
    <t>https://link.springer.com/journal/11199</t>
  </si>
  <si>
    <t>Sexuality &amp; Culture</t>
  </si>
  <si>
    <t>1936-4822</t>
  </si>
  <si>
    <t>1095-5143</t>
  </si>
  <si>
    <t>https://link.springer.com/journal/12119</t>
  </si>
  <si>
    <t>Sexuality and Disability</t>
  </si>
  <si>
    <t>1573-6717</t>
  </si>
  <si>
    <t>0146-1044</t>
  </si>
  <si>
    <t>https://link.springer.com/journal/11195</t>
  </si>
  <si>
    <t>Sexuality Research and Social Policy</t>
  </si>
  <si>
    <t>1553-6610</t>
  </si>
  <si>
    <t>https://link.springer.com/journal/13178</t>
  </si>
  <si>
    <t>Shape Memory and Superelasticity</t>
  </si>
  <si>
    <t>2199-3858</t>
  </si>
  <si>
    <t>2199-384X</t>
  </si>
  <si>
    <t>https://link.springer.com/journal/40830</t>
  </si>
  <si>
    <t>Shock Waves</t>
  </si>
  <si>
    <t>1432-2153</t>
  </si>
  <si>
    <t>0938-1287</t>
  </si>
  <si>
    <t>https://link.springer.com/journal/193</t>
  </si>
  <si>
    <t>Siberian Advances in Mathematics</t>
  </si>
  <si>
    <t>1934-8126</t>
  </si>
  <si>
    <t>1055-1344</t>
  </si>
  <si>
    <t>https://link.springer.com/journal/12002</t>
  </si>
  <si>
    <t>Siberian Mathematical Journal</t>
  </si>
  <si>
    <t>1573-9260</t>
  </si>
  <si>
    <t>0037-4466</t>
  </si>
  <si>
    <t>https://link.springer.com/journal/11202</t>
  </si>
  <si>
    <t>Signal, Image and Video Processing</t>
  </si>
  <si>
    <t>1863-1711</t>
  </si>
  <si>
    <t>https://link.springer.com/journal/11760</t>
  </si>
  <si>
    <t>Silicon</t>
  </si>
  <si>
    <t>1876-9918</t>
  </si>
  <si>
    <t>https://link.springer.com/journal/12633</t>
  </si>
  <si>
    <t>Skeletal Radiology</t>
  </si>
  <si>
    <t>1432-2161</t>
  </si>
  <si>
    <t>0364-2348</t>
  </si>
  <si>
    <t>https://link.springer.com/journal/256</t>
  </si>
  <si>
    <t>Sleep and Biological Rhythms</t>
  </si>
  <si>
    <t>1479-8425</t>
  </si>
  <si>
    <t>1446-9235</t>
  </si>
  <si>
    <t>https://link.springer.com/journal/41105</t>
  </si>
  <si>
    <t>Sleep and Breathing</t>
  </si>
  <si>
    <t>1522-1709</t>
  </si>
  <si>
    <t>https://link.springer.com/journal/11325</t>
  </si>
  <si>
    <t>Sleep and Vigilance</t>
  </si>
  <si>
    <t>2510-2265</t>
  </si>
  <si>
    <t>https://link.springer.com/journal/41782</t>
  </si>
  <si>
    <t>Small Business Economics</t>
  </si>
  <si>
    <t>1573-0913</t>
  </si>
  <si>
    <t>0921-898X</t>
  </si>
  <si>
    <t>https://link.springer.com/journal/11187</t>
  </si>
  <si>
    <t>Small-scale Forestry</t>
  </si>
  <si>
    <t>1873-7854</t>
  </si>
  <si>
    <t>1873-7617</t>
  </si>
  <si>
    <t>https://link.springer.com/journal/11842</t>
  </si>
  <si>
    <t>SN Business &amp; Economics</t>
  </si>
  <si>
    <t>2662-9399</t>
  </si>
  <si>
    <t>https://link.springer.com/journal/43546</t>
  </si>
  <si>
    <t>SN Comprehensive Clinical Medicine</t>
  </si>
  <si>
    <t>2523-8973</t>
  </si>
  <si>
    <t>https://link.springer.com/journal/42399</t>
  </si>
  <si>
    <t>SN Computer Science</t>
  </si>
  <si>
    <t>2661-8907</t>
  </si>
  <si>
    <t>https://link.springer.com/journal/42979</t>
  </si>
  <si>
    <t>SN Social Sciences</t>
  </si>
  <si>
    <t>2662-9283</t>
  </si>
  <si>
    <t>https://link.springer.com/journal/43545</t>
  </si>
  <si>
    <t>Social Choice and Welfare</t>
  </si>
  <si>
    <t>1432-217X</t>
  </si>
  <si>
    <t>0176-1714</t>
  </si>
  <si>
    <t>https://link.springer.com/journal/355</t>
  </si>
  <si>
    <t>Social Indicators Research</t>
  </si>
  <si>
    <t>1573-0921</t>
  </si>
  <si>
    <t>0303-8300</t>
  </si>
  <si>
    <t>https://link.springer.com/journal/11205</t>
  </si>
  <si>
    <t>Social Justice Research</t>
  </si>
  <si>
    <t>1573-6725</t>
  </si>
  <si>
    <t>0885-7466</t>
  </si>
  <si>
    <t>https://link.springer.com/journal/11211</t>
  </si>
  <si>
    <t>Social Network Analysis and Mining</t>
  </si>
  <si>
    <t>1869-5469</t>
  </si>
  <si>
    <t>https://link.springer.com/journal/13278</t>
  </si>
  <si>
    <t>Social Psychiatry and Psychiatric Epidemiology</t>
  </si>
  <si>
    <t>1433-9285</t>
  </si>
  <si>
    <t>0933-7954</t>
  </si>
  <si>
    <t>https://link.springer.com/journal/127</t>
  </si>
  <si>
    <t>Social Psychology of Education</t>
  </si>
  <si>
    <t>1573-1928</t>
  </si>
  <si>
    <t>1381-2890</t>
  </si>
  <si>
    <t>https://link.springer.com/journal/11218</t>
  </si>
  <si>
    <t>Society</t>
  </si>
  <si>
    <t>1936-4725</t>
  </si>
  <si>
    <t>0147-2011</t>
  </si>
  <si>
    <t>https://link.springer.com/journal/12115</t>
  </si>
  <si>
    <t>Socio-Ecological Practice Research</t>
  </si>
  <si>
    <t>2524-5287</t>
  </si>
  <si>
    <t>2524-5279</t>
  </si>
  <si>
    <t>https://link.springer.com/journal/42532</t>
  </si>
  <si>
    <t>Soft Computing</t>
  </si>
  <si>
    <t>1433-7479</t>
  </si>
  <si>
    <t>1432-7643</t>
  </si>
  <si>
    <t>https://link.springer.com/journal/500</t>
  </si>
  <si>
    <t>Software and Systems Modeling</t>
  </si>
  <si>
    <t>1619-1374</t>
  </si>
  <si>
    <t>1619-1366</t>
  </si>
  <si>
    <t>https://link.springer.com/journal/10270</t>
  </si>
  <si>
    <t>Software Quality Journal</t>
  </si>
  <si>
    <t>1573-1367</t>
  </si>
  <si>
    <t>0963-9314</t>
  </si>
  <si>
    <t>https://link.springer.com/journal/11219</t>
  </si>
  <si>
    <t>Soil Ecology Letters</t>
  </si>
  <si>
    <t>2662-2297</t>
  </si>
  <si>
    <t>2662-2289</t>
  </si>
  <si>
    <t>https://link.springer.com/journal/42832</t>
  </si>
  <si>
    <t>Soil Mechanics and Foundation Engineering</t>
  </si>
  <si>
    <t>1573-9279</t>
  </si>
  <si>
    <t>0038-0741</t>
  </si>
  <si>
    <t>https://link.springer.com/journal/11204</t>
  </si>
  <si>
    <t>Solar Physics</t>
  </si>
  <si>
    <t>1573-093X</t>
  </si>
  <si>
    <t>https://link.springer.com/journal/11207</t>
  </si>
  <si>
    <t>Solar System Research</t>
  </si>
  <si>
    <t>1608-3423</t>
  </si>
  <si>
    <t>0038-0946</t>
  </si>
  <si>
    <t>https://link.springer.com/journal/11208</t>
  </si>
  <si>
    <t>Solid Fuel Chemistry</t>
  </si>
  <si>
    <t>1934-8029</t>
  </si>
  <si>
    <t>0361-5219</t>
  </si>
  <si>
    <t>https://link.springer.com/journal/11985</t>
  </si>
  <si>
    <t>Somnologie</t>
  </si>
  <si>
    <t>1439-054X</t>
  </si>
  <si>
    <t>1432-9123</t>
  </si>
  <si>
    <t>https://link.springer.com/journal/11818</t>
  </si>
  <si>
    <t>Sophia</t>
  </si>
  <si>
    <t>1873-930X</t>
  </si>
  <si>
    <t>0038-1527</t>
  </si>
  <si>
    <t>https://link.springer.com/journal/11841</t>
  </si>
  <si>
    <t>Sozial Extra</t>
  </si>
  <si>
    <t>1863-8953</t>
  </si>
  <si>
    <t>0931-279X</t>
  </si>
  <si>
    <t>https://link.springer.com/journal/12054</t>
  </si>
  <si>
    <t>Soziale Passagen</t>
  </si>
  <si>
    <t>1867-0199</t>
  </si>
  <si>
    <t>1867-0180</t>
  </si>
  <si>
    <t>https://link.springer.com/journal/12592</t>
  </si>
  <si>
    <t>Space Science Reviews</t>
  </si>
  <si>
    <t>1572-9672</t>
  </si>
  <si>
    <t>https://link.springer.com/journal/11214</t>
  </si>
  <si>
    <t>Spatial Demography</t>
  </si>
  <si>
    <t>2164-7070</t>
  </si>
  <si>
    <t>2364-2289</t>
  </si>
  <si>
    <t>https://link.springer.com/journal/40980</t>
  </si>
  <si>
    <t>Spatial Information Research</t>
  </si>
  <si>
    <t>2366-3294</t>
  </si>
  <si>
    <t>2366-3286</t>
  </si>
  <si>
    <t>https://link.springer.com/journal/41324</t>
  </si>
  <si>
    <t>Korean Spatial Information Society, co-published with Springer</t>
  </si>
  <si>
    <t>Spektrum der Augenheilkunde</t>
  </si>
  <si>
    <t>1613-7523</t>
  </si>
  <si>
    <t>0930-4282</t>
  </si>
  <si>
    <t>https://link.springer.com/journal/717</t>
  </si>
  <si>
    <t>Spine Deformity</t>
  </si>
  <si>
    <t>2212-1358</t>
  </si>
  <si>
    <t>2212-134X</t>
  </si>
  <si>
    <t>https://link.springer.com/journal/43390</t>
  </si>
  <si>
    <t>Sport Sciences for Health</t>
  </si>
  <si>
    <t>1825-1234</t>
  </si>
  <si>
    <t>https://link.springer.com/journal/11332</t>
  </si>
  <si>
    <t>Sports Engineering</t>
  </si>
  <si>
    <t>1460-2687</t>
  </si>
  <si>
    <t>1369-7072</t>
  </si>
  <si>
    <t>https://link.springer.com/journal/12283</t>
  </si>
  <si>
    <t>Sports Medicine</t>
  </si>
  <si>
    <t>1179-2035</t>
  </si>
  <si>
    <t>0112-1642</t>
  </si>
  <si>
    <t>https://link.springer.com/journal/40279</t>
  </si>
  <si>
    <t>Standort</t>
  </si>
  <si>
    <t>1432-220X</t>
  </si>
  <si>
    <t>0174-3635</t>
  </si>
  <si>
    <t>https://link.springer.com/journal/548</t>
  </si>
  <si>
    <t>Statistical Inference for Stochastic Processes</t>
  </si>
  <si>
    <t>1572-9311</t>
  </si>
  <si>
    <t>1387-0874</t>
  </si>
  <si>
    <t>https://link.springer.com/journal/11203</t>
  </si>
  <si>
    <t>Statistical Methods &amp; Applications</t>
  </si>
  <si>
    <t>1613-981X</t>
  </si>
  <si>
    <t>1618-2510</t>
  </si>
  <si>
    <t>https://link.springer.com/journal/10260</t>
  </si>
  <si>
    <t>Statistical Papers</t>
  </si>
  <si>
    <t>1613-9798</t>
  </si>
  <si>
    <t>0932-5026</t>
  </si>
  <si>
    <t>https://link.springer.com/journal/362</t>
  </si>
  <si>
    <t>Statistics and Computing</t>
  </si>
  <si>
    <t>1573-1375</t>
  </si>
  <si>
    <t>0960-3174</t>
  </si>
  <si>
    <t>https://link.springer.com/journal/11222</t>
  </si>
  <si>
    <t>Statistics in Biosciences</t>
  </si>
  <si>
    <t>1867-1772</t>
  </si>
  <si>
    <t>1867-1764</t>
  </si>
  <si>
    <t>https://link.springer.com/journal/12561</t>
  </si>
  <si>
    <t>Steel in Translation</t>
  </si>
  <si>
    <t>1935-0988</t>
  </si>
  <si>
    <t>0967-0912</t>
  </si>
  <si>
    <t>https://link.springer.com/journal/11986</t>
  </si>
  <si>
    <t>Stem Cell Reviews and Reports</t>
  </si>
  <si>
    <t>2629-3277</t>
  </si>
  <si>
    <t>https://link.springer.com/journal/12015</t>
  </si>
  <si>
    <t>Stochastic Environmental Research and Risk Assessment</t>
  </si>
  <si>
    <t>1436-3259</t>
  </si>
  <si>
    <t>1436-3240</t>
  </si>
  <si>
    <t>https://link.springer.com/journal/477</t>
  </si>
  <si>
    <t>Stochastics and Partial Differential Equations: Analysis and Computations</t>
  </si>
  <si>
    <t>2194-041X</t>
  </si>
  <si>
    <t>2194-0401</t>
  </si>
  <si>
    <t>https://link.springer.com/journal/40072</t>
  </si>
  <si>
    <t>Strahlentherapie und Onkologie</t>
  </si>
  <si>
    <t>1439-099X</t>
  </si>
  <si>
    <t>0179-7158</t>
  </si>
  <si>
    <t>https://link.springer.com/journal/66</t>
  </si>
  <si>
    <t>Stratigraphy and Geological Correlation</t>
  </si>
  <si>
    <t>1555-6263</t>
  </si>
  <si>
    <t>0869-5938</t>
  </si>
  <si>
    <t>https://link.springer.com/journal/11506</t>
  </si>
  <si>
    <t>Strength of Materials</t>
  </si>
  <si>
    <t>1573-9325</t>
  </si>
  <si>
    <t>0039-2316</t>
  </si>
  <si>
    <t>https://link.springer.com/journal/11223</t>
  </si>
  <si>
    <t>Structural and Multidisciplinary Optimization</t>
  </si>
  <si>
    <t>1615-1488</t>
  </si>
  <si>
    <t>1615-147X</t>
  </si>
  <si>
    <t>https://link.springer.com/journal/158</t>
  </si>
  <si>
    <t>Structural Chemistry</t>
  </si>
  <si>
    <t>1572-9001</t>
  </si>
  <si>
    <t>1040-0400</t>
  </si>
  <si>
    <t>https://link.springer.com/journal/11224</t>
  </si>
  <si>
    <t>Studia Geophysica et Geodaetica</t>
  </si>
  <si>
    <t>1573-1626</t>
  </si>
  <si>
    <t>0039-3169</t>
  </si>
  <si>
    <t>https://link.springer.com/journal/11200</t>
  </si>
  <si>
    <t>Studia Logica</t>
  </si>
  <si>
    <t>1572-8730</t>
  </si>
  <si>
    <t>0039-3215</t>
  </si>
  <si>
    <t>https://link.springer.com/journal/11225</t>
  </si>
  <si>
    <t>Studies in Comparative International Development</t>
  </si>
  <si>
    <t>1936-6167</t>
  </si>
  <si>
    <t>0039-3606</t>
  </si>
  <si>
    <t>https://link.springer.com/journal/12116</t>
  </si>
  <si>
    <t>Studies in East European Thought</t>
  </si>
  <si>
    <t>1573-0948</t>
  </si>
  <si>
    <t>0925-9392</t>
  </si>
  <si>
    <t>https://link.springer.com/journal/11212</t>
  </si>
  <si>
    <t>Studies in Philosophy and Education</t>
  </si>
  <si>
    <t>1573-191X</t>
  </si>
  <si>
    <t>0039-3746</t>
  </si>
  <si>
    <t>https://link.springer.com/journal/11217</t>
  </si>
  <si>
    <t>Studies on Russian Economic Development</t>
  </si>
  <si>
    <t>1531-8664</t>
  </si>
  <si>
    <t>1075-7007</t>
  </si>
  <si>
    <t>https://link.springer.com/journal/11507</t>
  </si>
  <si>
    <t>Sugar Tech</t>
  </si>
  <si>
    <t>0974-0740</t>
  </si>
  <si>
    <t>0972-1525</t>
  </si>
  <si>
    <t>https://link.springer.com/journal/12355</t>
  </si>
  <si>
    <t>Supportive Care in Cancer</t>
  </si>
  <si>
    <t>1433-7339</t>
  </si>
  <si>
    <t>0941-4355</t>
  </si>
  <si>
    <t>https://link.springer.com/journal/520</t>
  </si>
  <si>
    <t>Surface Engineering and Applied Electrochemistry</t>
  </si>
  <si>
    <t>1934-8002</t>
  </si>
  <si>
    <t>1068-3755</t>
  </si>
  <si>
    <t>https://link.springer.com/journal/11987</t>
  </si>
  <si>
    <t>Surgery Today</t>
  </si>
  <si>
    <t>1436-2813</t>
  </si>
  <si>
    <t>0941-1291</t>
  </si>
  <si>
    <t>https://link.springer.com/journal/595</t>
  </si>
  <si>
    <t>Surgical and Radiologic Anatomy</t>
  </si>
  <si>
    <t>1279-8517</t>
  </si>
  <si>
    <t>https://link.springer.com/journal/276</t>
  </si>
  <si>
    <t>Surgical Endoscopy</t>
  </si>
  <si>
    <t>1432-2218</t>
  </si>
  <si>
    <t>0930-2794</t>
  </si>
  <si>
    <t>https://link.springer.com/journal/464</t>
  </si>
  <si>
    <t>Surveys in Geophysics</t>
  </si>
  <si>
    <t>1573-0956</t>
  </si>
  <si>
    <t>0169-3298</t>
  </si>
  <si>
    <t>https://link.springer.com/journal/10712</t>
  </si>
  <si>
    <t>Sustainability Nexus Forum</t>
  </si>
  <si>
    <t>2522-5995</t>
  </si>
  <si>
    <t>2522-5987</t>
  </si>
  <si>
    <t>https://link.springer.com/journal/550</t>
  </si>
  <si>
    <t>Sustainability Science</t>
  </si>
  <si>
    <t>1862-4057</t>
  </si>
  <si>
    <t>1862-4065</t>
  </si>
  <si>
    <t>https://link.springer.com/journal/11625</t>
  </si>
  <si>
    <t>Sustainable Water Resources Management</t>
  </si>
  <si>
    <t>2363-5045</t>
  </si>
  <si>
    <t>2363-5037</t>
  </si>
  <si>
    <t>https://link.springer.com/journal/40899</t>
  </si>
  <si>
    <t>Swarm Intelligence</t>
  </si>
  <si>
    <t>1935-3820</t>
  </si>
  <si>
    <t>1935-3812</t>
  </si>
  <si>
    <t>https://link.springer.com/journal/11721</t>
  </si>
  <si>
    <t>Symbiosis</t>
  </si>
  <si>
    <t>1878-7665</t>
  </si>
  <si>
    <t>0334-5114</t>
  </si>
  <si>
    <t>https://link.springer.com/journal/13199</t>
  </si>
  <si>
    <t>Synthese</t>
  </si>
  <si>
    <t>1573-0964</t>
  </si>
  <si>
    <t>https://link.springer.com/journal/11229</t>
  </si>
  <si>
    <t>Systematic Parasitology</t>
  </si>
  <si>
    <t>1573-5192</t>
  </si>
  <si>
    <t>0165-5752</t>
  </si>
  <si>
    <t>https://link.springer.com/journal/11230</t>
  </si>
  <si>
    <t>Systemic Practice and Action Research</t>
  </si>
  <si>
    <t>1573-9295</t>
  </si>
  <si>
    <t>1094-429X</t>
  </si>
  <si>
    <t>https://link.springer.com/journal/11213</t>
  </si>
  <si>
    <t>Systems Microbiology and Biomanufacturing</t>
  </si>
  <si>
    <t>2662-7663</t>
  </si>
  <si>
    <t>2662-7655</t>
  </si>
  <si>
    <t>https://link.springer.com/journal/43393</t>
  </si>
  <si>
    <t>Technical Physics</t>
  </si>
  <si>
    <t>1090-6525</t>
  </si>
  <si>
    <t>1063-7842</t>
  </si>
  <si>
    <t>https://link.springer.com/journal/11454</t>
  </si>
  <si>
    <t>Technical Physics Letters</t>
  </si>
  <si>
    <t>1090-6533</t>
  </si>
  <si>
    <t>1063-7850</t>
  </si>
  <si>
    <t>https://link.springer.com/journal/11455</t>
  </si>
  <si>
    <t>Techniques in Coloproctology</t>
  </si>
  <si>
    <t>1128-045X</t>
  </si>
  <si>
    <t>https://link.springer.com/journal/10151</t>
  </si>
  <si>
    <t>Smart Grids and Sustainable Energy</t>
  </si>
  <si>
    <t>2731-8087</t>
  </si>
  <si>
    <t>https://link.springer.com/journal/40866</t>
  </si>
  <si>
    <t>Technology, Knowledge and Learning</t>
  </si>
  <si>
    <t>2211-1670</t>
  </si>
  <si>
    <t>2211-1662</t>
  </si>
  <si>
    <t>https://link.springer.com/journal/10758</t>
  </si>
  <si>
    <t>TechTrends</t>
  </si>
  <si>
    <t>1559-7075</t>
  </si>
  <si>
    <t>8756-3894</t>
  </si>
  <si>
    <t>https://link.springer.com/journal/11528</t>
  </si>
  <si>
    <t>Telecommunication Systems</t>
  </si>
  <si>
    <t>1572-9451</t>
  </si>
  <si>
    <t>1018-4864</t>
  </si>
  <si>
    <t>https://link.springer.com/journal/11235</t>
  </si>
  <si>
    <t>Tertiary Education and Management</t>
  </si>
  <si>
    <t>1573-1936</t>
  </si>
  <si>
    <t>1358-3883</t>
  </si>
  <si>
    <t>https://link.springer.com/journal/11233</t>
  </si>
  <si>
    <t>TEST</t>
  </si>
  <si>
    <t>1863-8260</t>
  </si>
  <si>
    <t>1133-0686</t>
  </si>
  <si>
    <t>https://link.springer.com/journal/11749</t>
  </si>
  <si>
    <t>Thalassas: An International Journal of Marine Sciences</t>
  </si>
  <si>
    <t>2366-1674</t>
  </si>
  <si>
    <t>0212-5919</t>
  </si>
  <si>
    <t>https://link.springer.com/journal/41208</t>
  </si>
  <si>
    <t>The AAPS Journal</t>
  </si>
  <si>
    <t>1550-7416</t>
  </si>
  <si>
    <t>https://link.springer.com/journal/12248</t>
  </si>
  <si>
    <t>The American Sociologist</t>
  </si>
  <si>
    <t>1936-4784</t>
  </si>
  <si>
    <t>0003-1232</t>
  </si>
  <si>
    <t>https://link.springer.com/journal/12108</t>
  </si>
  <si>
    <t>The Analysis of Verbal Behavior</t>
  </si>
  <si>
    <t>2196-8926</t>
  </si>
  <si>
    <t>0889-9401</t>
  </si>
  <si>
    <t>https://link.springer.com/journal/40616</t>
  </si>
  <si>
    <t>The Annals of Regional Science</t>
  </si>
  <si>
    <t>1432-0592</t>
  </si>
  <si>
    <t>0570-1864</t>
  </si>
  <si>
    <t>https://link.springer.com/journal/168</t>
  </si>
  <si>
    <t>The Asia-Pacific Education Researcher</t>
  </si>
  <si>
    <t>2243-7908</t>
  </si>
  <si>
    <t>0119-5646</t>
  </si>
  <si>
    <t>https://link.springer.com/journal/40299</t>
  </si>
  <si>
    <t>The Astronomy and Astrophysics Review</t>
  </si>
  <si>
    <t>1432-0754</t>
  </si>
  <si>
    <t>0935-4956</t>
  </si>
  <si>
    <t>https://link.springer.com/journal/159</t>
  </si>
  <si>
    <t>The Australian Educational Researcher</t>
  </si>
  <si>
    <t>2210-5328</t>
  </si>
  <si>
    <t>0311-6999</t>
  </si>
  <si>
    <t>https://link.springer.com/journal/13384</t>
  </si>
  <si>
    <t>The Botanical Review</t>
  </si>
  <si>
    <t>1874-9372</t>
  </si>
  <si>
    <t>0006-8101</t>
  </si>
  <si>
    <t>https://link.springer.com/journal/12229</t>
  </si>
  <si>
    <t>The Cerebellum</t>
  </si>
  <si>
    <t>1473-4230</t>
  </si>
  <si>
    <t>https://link.springer.com/journal/12311</t>
  </si>
  <si>
    <t>The European Journal of Health Economics</t>
  </si>
  <si>
    <t>1618-7601</t>
  </si>
  <si>
    <t>1618-7598</t>
  </si>
  <si>
    <t>https://link.springer.com/journal/10198</t>
  </si>
  <si>
    <t>The European Physical Journal A</t>
  </si>
  <si>
    <t>1434-601X</t>
  </si>
  <si>
    <t>https://link.springer.com/journal/10050</t>
  </si>
  <si>
    <t>The European Physical Journal B</t>
  </si>
  <si>
    <t>1434-6036</t>
  </si>
  <si>
    <t>1434-6028</t>
  </si>
  <si>
    <t>https://link.springer.com/journal/10051</t>
  </si>
  <si>
    <t>The European Physical Journal D</t>
  </si>
  <si>
    <t>1434-6079</t>
  </si>
  <si>
    <t>1434-6060</t>
  </si>
  <si>
    <t>https://link.springer.com/journal/10053</t>
  </si>
  <si>
    <t>The European Physical Journal E</t>
  </si>
  <si>
    <t>1292-895X</t>
  </si>
  <si>
    <t>1292-8941</t>
  </si>
  <si>
    <t>https://link.springer.com/journal/10189</t>
  </si>
  <si>
    <t>The European Physical Journal H</t>
  </si>
  <si>
    <t>2102-6467</t>
  </si>
  <si>
    <t>2102-6459</t>
  </si>
  <si>
    <t>https://link.springer.com/journal/13129</t>
  </si>
  <si>
    <t>The European Physical Journal Plus</t>
  </si>
  <si>
    <t>2190-5444</t>
  </si>
  <si>
    <t>https://link.springer.com/journal/13360</t>
  </si>
  <si>
    <t>The European Physical Journal Special Topics</t>
  </si>
  <si>
    <t>1951-6401</t>
  </si>
  <si>
    <t>1951-6355</t>
  </si>
  <si>
    <t>https://link.springer.com/journal/11734</t>
  </si>
  <si>
    <t>The Indian Journal of Labour Economics</t>
  </si>
  <si>
    <t>0019-5308</t>
  </si>
  <si>
    <t>0971-7927</t>
  </si>
  <si>
    <t>https://link.springer.com/journal/41027</t>
  </si>
  <si>
    <t>The International Journal of Advanced Manufacturing Technology</t>
  </si>
  <si>
    <t>1433-3015</t>
  </si>
  <si>
    <t>0268-3768</t>
  </si>
  <si>
    <t>https://link.springer.com/journal/170</t>
  </si>
  <si>
    <t>The International Journal of Cardiovascular Imaging</t>
  </si>
  <si>
    <t>1573-0743</t>
  </si>
  <si>
    <t>https://link.springer.com/journal/10554</t>
  </si>
  <si>
    <t>The International Journal of Life Cycle Assessment</t>
  </si>
  <si>
    <t>1614-7502</t>
  </si>
  <si>
    <t>0948-3349</t>
  </si>
  <si>
    <t>https://link.springer.com/journal/11367</t>
  </si>
  <si>
    <t>The International Sports Law Journal</t>
  </si>
  <si>
    <t>2213-5154</t>
  </si>
  <si>
    <t>1567-7559</t>
  </si>
  <si>
    <t>https://link.springer.com/journal/40318</t>
  </si>
  <si>
    <t>The Japanese Economic Review</t>
  </si>
  <si>
    <t>1468-5876</t>
  </si>
  <si>
    <t>1352-4739</t>
  </si>
  <si>
    <t>https://link.springer.com/journal/42973</t>
  </si>
  <si>
    <t>The Journal of Analysis</t>
  </si>
  <si>
    <t>2367-2501</t>
  </si>
  <si>
    <t>https://link.springer.com/journal/41478</t>
  </si>
  <si>
    <t>The Journal of Behavioral Health Services &amp; Research</t>
  </si>
  <si>
    <t>1556-3308</t>
  </si>
  <si>
    <t>1094-3412</t>
  </si>
  <si>
    <t>https://link.springer.com/journal/11414</t>
  </si>
  <si>
    <t>The Journal of East Asian Philosophy</t>
  </si>
  <si>
    <t>2730-5414</t>
  </si>
  <si>
    <t>2730-5406</t>
  </si>
  <si>
    <t>https://link.springer.com/journal/43493</t>
  </si>
  <si>
    <t>The Journal of Economic Inequality</t>
  </si>
  <si>
    <t>1573-8701</t>
  </si>
  <si>
    <t>1569-1721</t>
  </si>
  <si>
    <t>https://link.springer.com/journal/10888</t>
  </si>
  <si>
    <t>The Journal of Ethics</t>
  </si>
  <si>
    <t>1572-8609</t>
  </si>
  <si>
    <t>1382-4554</t>
  </si>
  <si>
    <t>https://link.springer.com/journal/10892</t>
  </si>
  <si>
    <t>The Journal of Frailty &amp; Aging</t>
  </si>
  <si>
    <t>2273-4309</t>
  </si>
  <si>
    <t>https://link.springer.com/journal/42415</t>
  </si>
  <si>
    <t>Serdi-Editions</t>
  </si>
  <si>
    <t>The Journal of Geometric Analysis</t>
  </si>
  <si>
    <t>1559-002X</t>
  </si>
  <si>
    <t>1050-6926</t>
  </si>
  <si>
    <t>https://link.springer.com/journal/12220</t>
  </si>
  <si>
    <t>The Journal of Membrane Biology</t>
  </si>
  <si>
    <t>1432-1424</t>
  </si>
  <si>
    <t>https://link.springer.com/journal/232</t>
  </si>
  <si>
    <t>The journal of nutrition, health &amp; aging</t>
  </si>
  <si>
    <t>1760-4788</t>
  </si>
  <si>
    <t>https://link.springer.com/journal/12603</t>
  </si>
  <si>
    <t>The Journal of Obstetrics and Gynecology of India</t>
  </si>
  <si>
    <t>0975-6434</t>
  </si>
  <si>
    <t>0971-9202</t>
  </si>
  <si>
    <t>https://link.springer.com/journal/13224</t>
  </si>
  <si>
    <t>The Journal of Prevention of Alzheimer's Disease</t>
  </si>
  <si>
    <t>2426-0266</t>
  </si>
  <si>
    <t>https://link.springer.com/journal/42414</t>
  </si>
  <si>
    <t>The Journal of Real Estate Finance and Economics</t>
  </si>
  <si>
    <t>1573-045X</t>
  </si>
  <si>
    <t>0895-5638</t>
  </si>
  <si>
    <t>https://link.springer.com/journal/11146</t>
  </si>
  <si>
    <t>The Journal of Supercomputing</t>
  </si>
  <si>
    <t>1573-0484</t>
  </si>
  <si>
    <t>0920-8542</t>
  </si>
  <si>
    <t>https://link.springer.com/journal/11227</t>
  </si>
  <si>
    <t>The Journal of Technology Transfer</t>
  </si>
  <si>
    <t>1573-7047</t>
  </si>
  <si>
    <t>0892-9912</t>
  </si>
  <si>
    <t>https://link.springer.com/journal/10961</t>
  </si>
  <si>
    <t>The Journal of the Astronautical Sciences</t>
  </si>
  <si>
    <t>2195-0571</t>
  </si>
  <si>
    <t>https://link.springer.com/journal/40295</t>
  </si>
  <si>
    <t>The Journal of Value Inquiry</t>
  </si>
  <si>
    <t>1573-0492</t>
  </si>
  <si>
    <t>0022-5363</t>
  </si>
  <si>
    <t>https://link.springer.com/journal/10790</t>
  </si>
  <si>
    <t>The Mathematical Intelligencer</t>
  </si>
  <si>
    <t>1866-7414</t>
  </si>
  <si>
    <t>0343-6993</t>
  </si>
  <si>
    <t>https://link.springer.com/journal/283</t>
  </si>
  <si>
    <t>The Nucleus</t>
  </si>
  <si>
    <t>0976-7975</t>
  </si>
  <si>
    <t>0029-568X</t>
  </si>
  <si>
    <t>https://link.springer.com/journal/13237</t>
  </si>
  <si>
    <t>The Protein Journal</t>
  </si>
  <si>
    <t>1573-4943</t>
  </si>
  <si>
    <t>1572-3887</t>
  </si>
  <si>
    <t>https://link.springer.com/journal/10930</t>
  </si>
  <si>
    <t>The Psychological Record</t>
  </si>
  <si>
    <t>2163-3452</t>
  </si>
  <si>
    <t>0033-2933</t>
  </si>
  <si>
    <t>https://link.springer.com/journal/40732</t>
  </si>
  <si>
    <t>The Ramanujan Journal</t>
  </si>
  <si>
    <t>1572-9303</t>
  </si>
  <si>
    <t>1382-4090</t>
  </si>
  <si>
    <t>https://link.springer.com/journal/11139</t>
  </si>
  <si>
    <t>The Review of Austrian Economics</t>
  </si>
  <si>
    <t>1573-7128</t>
  </si>
  <si>
    <t>0889-3047</t>
  </si>
  <si>
    <t>https://link.springer.com/journal/11138</t>
  </si>
  <si>
    <t>The Review of International Organizations</t>
  </si>
  <si>
    <t>1559-744X</t>
  </si>
  <si>
    <t>1559-7431</t>
  </si>
  <si>
    <t>https://link.springer.com/journal/11558</t>
  </si>
  <si>
    <t>The Review of Socionetwork Strategies</t>
  </si>
  <si>
    <t>1867-3236</t>
  </si>
  <si>
    <t>2523-3173</t>
  </si>
  <si>
    <t>https://link.springer.com/journal/12626</t>
  </si>
  <si>
    <t>The Science of Nature</t>
  </si>
  <si>
    <t>1432-1904</t>
  </si>
  <si>
    <t>0028-1042</t>
  </si>
  <si>
    <t>https://link.springer.com/journal/114</t>
  </si>
  <si>
    <t>The Urban Review</t>
  </si>
  <si>
    <t>1573-1960</t>
  </si>
  <si>
    <t>0042-0972</t>
  </si>
  <si>
    <t>https://link.springer.com/journal/11256</t>
  </si>
  <si>
    <t>The Visual Computer</t>
  </si>
  <si>
    <t>1432-2315</t>
  </si>
  <si>
    <t>0178-2789</t>
  </si>
  <si>
    <t>https://link.springer.com/journal/371</t>
  </si>
  <si>
    <t>The VLDB Journal</t>
  </si>
  <si>
    <t>0949-877X</t>
  </si>
  <si>
    <t>1066-8888</t>
  </si>
  <si>
    <t>https://link.springer.com/journal/778</t>
  </si>
  <si>
    <t>Theoretical and Applied Climatology</t>
  </si>
  <si>
    <t>1434-4483</t>
  </si>
  <si>
    <t>0177-798X</t>
  </si>
  <si>
    <t>https://link.springer.com/journal/704</t>
  </si>
  <si>
    <t>Theoretical and Applied Genetics</t>
  </si>
  <si>
    <t>1432-2242</t>
  </si>
  <si>
    <t>0040-5752</t>
  </si>
  <si>
    <t>https://link.springer.com/journal/122</t>
  </si>
  <si>
    <t>Theoretical and Computational Fluid Dynamics</t>
  </si>
  <si>
    <t>1432-2250</t>
  </si>
  <si>
    <t>0935-4964</t>
  </si>
  <si>
    <t>https://link.springer.com/journal/162</t>
  </si>
  <si>
    <t>Theoretical and Experimental Chemistry</t>
  </si>
  <si>
    <t>1573-935X</t>
  </si>
  <si>
    <t>0040-5760</t>
  </si>
  <si>
    <t>https://link.springer.com/journal/11237</t>
  </si>
  <si>
    <t>Theoretical and Experimental Plant Physiology</t>
  </si>
  <si>
    <t>2197-0025</t>
  </si>
  <si>
    <t>https://link.springer.com/journal/40626</t>
  </si>
  <si>
    <t>Theoretical and Mathematical Physics</t>
  </si>
  <si>
    <t>1573-9333</t>
  </si>
  <si>
    <t>0040-5779</t>
  </si>
  <si>
    <t>https://link.springer.com/journal/11232</t>
  </si>
  <si>
    <t>Theoretical Chemistry Accounts</t>
  </si>
  <si>
    <t>1432-2234</t>
  </si>
  <si>
    <t>1432-881X</t>
  </si>
  <si>
    <t>https://link.springer.com/journal/214</t>
  </si>
  <si>
    <t>Theoretical Ecology</t>
  </si>
  <si>
    <t>1874-1746</t>
  </si>
  <si>
    <t>https://link.springer.com/journal/12080</t>
  </si>
  <si>
    <t>Theoretical Foundations of Chemical Engineering</t>
  </si>
  <si>
    <t>1608-3431</t>
  </si>
  <si>
    <t>0040-5795</t>
  </si>
  <si>
    <t>https://link.springer.com/journal/11236</t>
  </si>
  <si>
    <t>Theoretical Medicine and Bioethics</t>
  </si>
  <si>
    <t>1573-1200</t>
  </si>
  <si>
    <t>1386-7415</t>
  </si>
  <si>
    <t>https://link.springer.com/journal/11017</t>
  </si>
  <si>
    <t>Theory and Decision</t>
  </si>
  <si>
    <t>1573-7187</t>
  </si>
  <si>
    <t>0040-5833</t>
  </si>
  <si>
    <t>https://link.springer.com/journal/11238</t>
  </si>
  <si>
    <t>Theory and Society</t>
  </si>
  <si>
    <t>1573-7853</t>
  </si>
  <si>
    <t>0304-2421</t>
  </si>
  <si>
    <t>https://link.springer.com/journal/11186</t>
  </si>
  <si>
    <t>Theory in Biosciences</t>
  </si>
  <si>
    <t>1611-7530</t>
  </si>
  <si>
    <t>1431-7613</t>
  </si>
  <si>
    <t>https://link.springer.com/journal/12064</t>
  </si>
  <si>
    <t>Theory of Computing Systems</t>
  </si>
  <si>
    <t>1433-0490</t>
  </si>
  <si>
    <t>1432-4350</t>
  </si>
  <si>
    <t>https://link.springer.com/journal/224</t>
  </si>
  <si>
    <t>Therapeutic Innovation &amp; Regulatory Science</t>
  </si>
  <si>
    <t>2168-4804</t>
  </si>
  <si>
    <t>2168-4790</t>
  </si>
  <si>
    <t>https://link.springer.com/journal/43441</t>
  </si>
  <si>
    <t>Thermal Engineering</t>
  </si>
  <si>
    <t>1555-6301</t>
  </si>
  <si>
    <t>0040-6015</t>
  </si>
  <si>
    <t>https://link.springer.com/journal/11509</t>
  </si>
  <si>
    <t>Thermophysics and Aeromechanics</t>
  </si>
  <si>
    <t>1531-8699</t>
  </si>
  <si>
    <t>https://link.springer.com/journal/11510</t>
  </si>
  <si>
    <t>Kutateladze Institute of Thermophysics SB RAS</t>
  </si>
  <si>
    <t>Tissue Engineering and Regenerative Medicine</t>
  </si>
  <si>
    <t>2212-5469</t>
  </si>
  <si>
    <t>https://link.springer.com/journal/13770</t>
  </si>
  <si>
    <t>Korean Tissue Engineering and Regenerative Medicine Society, co-published with Springer</t>
  </si>
  <si>
    <t>TOP</t>
  </si>
  <si>
    <t>1863-8279</t>
  </si>
  <si>
    <t>1134-5764</t>
  </si>
  <si>
    <t>https://link.springer.com/journal/11750</t>
  </si>
  <si>
    <t>Topics in Catalysis</t>
  </si>
  <si>
    <t>1572-9028</t>
  </si>
  <si>
    <t>1022-5528</t>
  </si>
  <si>
    <t>https://link.springer.com/journal/11244</t>
  </si>
  <si>
    <t>Topics in Current Chemistry</t>
  </si>
  <si>
    <t>2364-8961</t>
  </si>
  <si>
    <t>https://link.springer.com/journal/41061</t>
  </si>
  <si>
    <t>Topoi</t>
  </si>
  <si>
    <t>1572-8749</t>
  </si>
  <si>
    <t>0167-7411</t>
  </si>
  <si>
    <t>https://link.springer.com/journal/11245</t>
  </si>
  <si>
    <t>Toxicological Research</t>
  </si>
  <si>
    <t>2234-2753</t>
  </si>
  <si>
    <t>1976-8257</t>
  </si>
  <si>
    <t>https://link.springer.com/journal/43188</t>
  </si>
  <si>
    <t>Toxicology and Environmental Health Sciences</t>
  </si>
  <si>
    <t>2233-7784</t>
  </si>
  <si>
    <t>2005-9752</t>
  </si>
  <si>
    <t>https://link.springer.com/journal/13530</t>
  </si>
  <si>
    <t>Korean Society of Environmental Risk Assessment and Health Science, co-published with Springer</t>
  </si>
  <si>
    <t>Transactions of the Indian Institute of Metals</t>
  </si>
  <si>
    <t>0975-1645</t>
  </si>
  <si>
    <t>0972-2815</t>
  </si>
  <si>
    <t>https://link.springer.com/journal/12666</t>
  </si>
  <si>
    <t>Transactions of the Indian National Academy of Engineering</t>
  </si>
  <si>
    <t>2662-5423</t>
  </si>
  <si>
    <t>2662-5415</t>
  </si>
  <si>
    <t>https://link.springer.com/journal/41403</t>
  </si>
  <si>
    <t>Transactions of Tianjin University</t>
  </si>
  <si>
    <t>1995-8196</t>
  </si>
  <si>
    <t>1006-4982</t>
  </si>
  <si>
    <t>https://link.springer.com/journal/12209</t>
  </si>
  <si>
    <t>Transactions on Electrical and Electronic Materials</t>
  </si>
  <si>
    <t>2092-7592</t>
  </si>
  <si>
    <t>1229-7607</t>
  </si>
  <si>
    <t>https://link.springer.com/journal/42341</t>
  </si>
  <si>
    <t>Korean Institute of Electrical and Electronic Material Engineers, co-published with Springer</t>
  </si>
  <si>
    <t>Transformation Groups</t>
  </si>
  <si>
    <t>1531-586X</t>
  </si>
  <si>
    <t>1083-4362</t>
  </si>
  <si>
    <t>https://link.springer.com/journal/31</t>
  </si>
  <si>
    <t>Transgenic Research</t>
  </si>
  <si>
    <t>1573-9368</t>
  </si>
  <si>
    <t>0962-8819</t>
  </si>
  <si>
    <t>https://link.springer.com/journal/11248</t>
  </si>
  <si>
    <t>Transition Metal Chemistry</t>
  </si>
  <si>
    <t>1572-901X</t>
  </si>
  <si>
    <t>0340-4285</t>
  </si>
  <si>
    <t>https://link.springer.com/journal/11243</t>
  </si>
  <si>
    <t>Translational Stroke Research</t>
  </si>
  <si>
    <t>1868-601X</t>
  </si>
  <si>
    <t>https://link.springer.com/journal/12975</t>
  </si>
  <si>
    <t>Transport in Porous Media</t>
  </si>
  <si>
    <t>1573-1634</t>
  </si>
  <si>
    <t>0169-3913</t>
  </si>
  <si>
    <t>https://link.springer.com/journal/11242</t>
  </si>
  <si>
    <t>Transportation</t>
  </si>
  <si>
    <t>1572-9435</t>
  </si>
  <si>
    <t>0049-4488</t>
  </si>
  <si>
    <t>https://link.springer.com/journal/11116</t>
  </si>
  <si>
    <t>Transportation in Developing Economies</t>
  </si>
  <si>
    <t>2199-9295</t>
  </si>
  <si>
    <t>2199-9287</t>
  </si>
  <si>
    <t>https://link.springer.com/journal/40890</t>
  </si>
  <si>
    <t>Transportation Infrastructure Geotechnology</t>
  </si>
  <si>
    <t>2196-7210</t>
  </si>
  <si>
    <t>2196-7202</t>
  </si>
  <si>
    <t>https://link.springer.com/journal/40515</t>
  </si>
  <si>
    <t>Tree Genetics &amp; Genomes</t>
  </si>
  <si>
    <t>1614-2950</t>
  </si>
  <si>
    <t>https://link.springer.com/journal/11295</t>
  </si>
  <si>
    <t>Trees</t>
  </si>
  <si>
    <t>1432-2285</t>
  </si>
  <si>
    <t>0931-1890</t>
  </si>
  <si>
    <t>https://link.springer.com/journal/468</t>
  </si>
  <si>
    <t>Trends in Organized Crime</t>
  </si>
  <si>
    <t>1936-4830</t>
  </si>
  <si>
    <t>1084-4791</t>
  </si>
  <si>
    <t>https://link.springer.com/journal/12117</t>
  </si>
  <si>
    <t>Trends in Psychology</t>
  </si>
  <si>
    <t>2358-1883</t>
  </si>
  <si>
    <t>https://link.springer.com/journal/43076</t>
  </si>
  <si>
    <t>Tribology Letters</t>
  </si>
  <si>
    <t>1573-2711</t>
  </si>
  <si>
    <t>1023-8883</t>
  </si>
  <si>
    <t>https://link.springer.com/journal/11249</t>
  </si>
  <si>
    <t>Tropical Animal Health and Production</t>
  </si>
  <si>
    <t>1573-7438</t>
  </si>
  <si>
    <t>0049-4747</t>
  </si>
  <si>
    <t>https://link.springer.com/journal/11250</t>
  </si>
  <si>
    <t>Tropical Ecology</t>
  </si>
  <si>
    <t>2661-8982</t>
  </si>
  <si>
    <t>0564-3295</t>
  </si>
  <si>
    <t>https://link.springer.com/journal/42965</t>
  </si>
  <si>
    <t>Tropical Plant Biology</t>
  </si>
  <si>
    <t>1935-9764</t>
  </si>
  <si>
    <t>https://link.springer.com/journal/12042</t>
  </si>
  <si>
    <t>Tropical Plant Pathology</t>
  </si>
  <si>
    <t>1983-2052</t>
  </si>
  <si>
    <t>https://link.springer.com/journal/40858</t>
  </si>
  <si>
    <t>Tungsten</t>
  </si>
  <si>
    <t>2661-8036</t>
  </si>
  <si>
    <t>2661-8028</t>
  </si>
  <si>
    <t>https://link.springer.com/journal/42864</t>
  </si>
  <si>
    <t>Ukrainian Mathematical Journal</t>
  </si>
  <si>
    <t>1573-9376</t>
  </si>
  <si>
    <t>0041-5995</t>
  </si>
  <si>
    <t>https://link.springer.com/journal/11253</t>
  </si>
  <si>
    <t>Universal Access in the Information Society</t>
  </si>
  <si>
    <t>1615-5297</t>
  </si>
  <si>
    <t>1615-5289</t>
  </si>
  <si>
    <t>https://link.springer.com/journal/10209</t>
  </si>
  <si>
    <t>Unterrichtswissenschaft</t>
  </si>
  <si>
    <t>2520-873X</t>
  </si>
  <si>
    <t>0340-4099</t>
  </si>
  <si>
    <t>https://link.springer.com/journal/42010</t>
  </si>
  <si>
    <t>Updates in Surgery</t>
  </si>
  <si>
    <t>2038-3312</t>
  </si>
  <si>
    <t>https://link.springer.com/journal/13304</t>
  </si>
  <si>
    <t>Urban Ecosystems</t>
  </si>
  <si>
    <t>1573-1642</t>
  </si>
  <si>
    <t>1083-8155</t>
  </si>
  <si>
    <t>https://link.springer.com/journal/11252</t>
  </si>
  <si>
    <t>Urban Forum</t>
  </si>
  <si>
    <t>1874-6330</t>
  </si>
  <si>
    <t>1015-3802</t>
  </si>
  <si>
    <t>https://link.springer.com/journal/12132</t>
  </si>
  <si>
    <t>Urolithiasis</t>
  </si>
  <si>
    <t>2194-7236</t>
  </si>
  <si>
    <t>https://link.springer.com/journal/240</t>
  </si>
  <si>
    <t>Urologie in der Praxis</t>
  </si>
  <si>
    <t>2661-8745</t>
  </si>
  <si>
    <t>2661-8737</t>
  </si>
  <si>
    <t>https://link.springer.com/journal/41973</t>
  </si>
  <si>
    <t>Uro-News</t>
  </si>
  <si>
    <t>2196-5676</t>
  </si>
  <si>
    <t>1432-9026</t>
  </si>
  <si>
    <t>https://link.springer.com/journal/92</t>
  </si>
  <si>
    <t>User Modeling and User-Adapted Interaction</t>
  </si>
  <si>
    <t>1573-1391</t>
  </si>
  <si>
    <t>0924-1868</t>
  </si>
  <si>
    <t>https://link.springer.com/journal/11257</t>
  </si>
  <si>
    <t>Vegetation History and Archaeobotany</t>
  </si>
  <si>
    <t>1617-6278</t>
  </si>
  <si>
    <t>0939-6314</t>
  </si>
  <si>
    <t>https://link.springer.com/journal/334</t>
  </si>
  <si>
    <t>Vegetos</t>
  </si>
  <si>
    <t>2229-4473</t>
  </si>
  <si>
    <t>https://link.springer.com/journal/42535</t>
  </si>
  <si>
    <t>Vestnik St. Petersburg University, Mathematics</t>
  </si>
  <si>
    <t>1934-7855</t>
  </si>
  <si>
    <t>1063-4541</t>
  </si>
  <si>
    <t>https://link.springer.com/journal/11988</t>
  </si>
  <si>
    <t>Veterinary Research Communications</t>
  </si>
  <si>
    <t>1573-7446</t>
  </si>
  <si>
    <t>0165-7380</t>
  </si>
  <si>
    <t>https://link.springer.com/journal/11259</t>
  </si>
  <si>
    <t>Vietnam Journal of Mathematics</t>
  </si>
  <si>
    <t>2305-2228</t>
  </si>
  <si>
    <t>2305-221X</t>
  </si>
  <si>
    <t>https://link.springer.com/journal/10013</t>
  </si>
  <si>
    <t>Virchows Archiv</t>
  </si>
  <si>
    <t>1432-2307</t>
  </si>
  <si>
    <t>0945-6317</t>
  </si>
  <si>
    <t>https://link.springer.com/journal/428</t>
  </si>
  <si>
    <t>Virtual Reality</t>
  </si>
  <si>
    <t>1434-9957</t>
  </si>
  <si>
    <t>1359-4338</t>
  </si>
  <si>
    <t>https://link.springer.com/journal/10055</t>
  </si>
  <si>
    <t>Virus Genes</t>
  </si>
  <si>
    <t>1572-994X</t>
  </si>
  <si>
    <t>0920-8569</t>
  </si>
  <si>
    <t>https://link.springer.com/journal/11262</t>
  </si>
  <si>
    <t>VirusDisease</t>
  </si>
  <si>
    <t>2347-3517</t>
  </si>
  <si>
    <t>2347-3584</t>
  </si>
  <si>
    <t>https://link.springer.com/journal/13337</t>
  </si>
  <si>
    <t>VOLUNTAS: International Journal of Voluntary and Nonprofit Organizations</t>
  </si>
  <si>
    <t>1573-7888</t>
  </si>
  <si>
    <t>0957-8765</t>
  </si>
  <si>
    <t>https://link.springer.com/journal/11266</t>
  </si>
  <si>
    <t>Waste and Biomass Valorization</t>
  </si>
  <si>
    <t>1877-265X</t>
  </si>
  <si>
    <t>1877-2641</t>
  </si>
  <si>
    <t>https://link.springer.com/journal/12649</t>
  </si>
  <si>
    <t>Waste Disposal &amp; Sustainable Energy</t>
  </si>
  <si>
    <t>2524-7891</t>
  </si>
  <si>
    <t>2524-7980</t>
  </si>
  <si>
    <t>https://link.springer.com/journal/42768</t>
  </si>
  <si>
    <t>Water Conservation Science and Engineering</t>
  </si>
  <si>
    <t>2364-5687</t>
  </si>
  <si>
    <t>https://link.springer.com/journal/41101</t>
  </si>
  <si>
    <t>Water History</t>
  </si>
  <si>
    <t>1877-7244</t>
  </si>
  <si>
    <t>1877-7236</t>
  </si>
  <si>
    <t>https://link.springer.com/journal/12685</t>
  </si>
  <si>
    <t>Water Resources</t>
  </si>
  <si>
    <t>1608-344X</t>
  </si>
  <si>
    <t>0097-8078</t>
  </si>
  <si>
    <t>https://link.springer.com/journal/11268</t>
  </si>
  <si>
    <t>Water Resources Management</t>
  </si>
  <si>
    <t>1573-1650</t>
  </si>
  <si>
    <t>0920-4741</t>
  </si>
  <si>
    <t>https://link.springer.com/journal/11269</t>
  </si>
  <si>
    <t>Water Waves</t>
  </si>
  <si>
    <t>2523-3688</t>
  </si>
  <si>
    <t>2523-367X</t>
  </si>
  <si>
    <t>https://link.springer.com/journal/42286</t>
  </si>
  <si>
    <t>Water, Air, &amp; Soil Pollution</t>
  </si>
  <si>
    <t>1573-2932</t>
  </si>
  <si>
    <t>0049-6979</t>
  </si>
  <si>
    <t>https://link.springer.com/journal/11270</t>
  </si>
  <si>
    <t>Welding in the World</t>
  </si>
  <si>
    <t>1878-6669</t>
  </si>
  <si>
    <t>0043-2288</t>
  </si>
  <si>
    <t>https://link.springer.com/journal/40194</t>
  </si>
  <si>
    <t>Wetlands</t>
  </si>
  <si>
    <t>1943-6246</t>
  </si>
  <si>
    <t>0277-5212</t>
  </si>
  <si>
    <t>https://link.springer.com/journal/13157</t>
  </si>
  <si>
    <t>Wetlands Ecology and Management</t>
  </si>
  <si>
    <t>1572-9834</t>
  </si>
  <si>
    <t>0923-4861</t>
  </si>
  <si>
    <t>https://link.springer.com/journal/11273</t>
  </si>
  <si>
    <t>Wiener klinische Wochenschrift</t>
  </si>
  <si>
    <t>1613-7671</t>
  </si>
  <si>
    <t>0043-5325</t>
  </si>
  <si>
    <t>https://link.springer.com/journal/508</t>
  </si>
  <si>
    <t>Wiener klinisches Magazin</t>
  </si>
  <si>
    <t>1613-7817</t>
  </si>
  <si>
    <t>1869-1757</t>
  </si>
  <si>
    <t>https://link.springer.com/journal/740</t>
  </si>
  <si>
    <t>Wiener Medizinische Wochenschrift</t>
  </si>
  <si>
    <t>1563-258X</t>
  </si>
  <si>
    <t>0043-5341</t>
  </si>
  <si>
    <t>https://link.springer.com/journal/10354</t>
  </si>
  <si>
    <t>Wireless Networks</t>
  </si>
  <si>
    <t>1572-8196</t>
  </si>
  <si>
    <t>1022-0038</t>
  </si>
  <si>
    <t>https://link.springer.com/journal/11276</t>
  </si>
  <si>
    <t>Wireless Personal Communications</t>
  </si>
  <si>
    <t>1572-834X</t>
  </si>
  <si>
    <t>0929-6212</t>
  </si>
  <si>
    <t>https://link.springer.com/journal/11277</t>
  </si>
  <si>
    <t>Wirtschaftsinformatik &amp; Management</t>
  </si>
  <si>
    <t>1867-5913</t>
  </si>
  <si>
    <t>1867-5905</t>
  </si>
  <si>
    <t>https://link.springer.com/journal/35764</t>
  </si>
  <si>
    <t>wissen kompakt</t>
  </si>
  <si>
    <t>2190-3816</t>
  </si>
  <si>
    <t>1863-2637</t>
  </si>
  <si>
    <t>https://link.springer.com/journal/11838</t>
  </si>
  <si>
    <t>WMU Journal of Maritime Affairs</t>
  </si>
  <si>
    <t>1654-1642</t>
  </si>
  <si>
    <t>1651-436X</t>
  </si>
  <si>
    <t>https://link.springer.com/journal/13437</t>
  </si>
  <si>
    <t>Wood Science and Technology</t>
  </si>
  <si>
    <t>1432-5225</t>
  </si>
  <si>
    <t>0043-7719</t>
  </si>
  <si>
    <t>https://link.springer.com/journal/226</t>
  </si>
  <si>
    <t>World Journal of Microbiology and Biotechnology</t>
  </si>
  <si>
    <t>1573-0972</t>
  </si>
  <si>
    <t>https://link.springer.com/journal/11274</t>
  </si>
  <si>
    <t>World Journal of Pediatrics</t>
  </si>
  <si>
    <t>1867-0687</t>
  </si>
  <si>
    <t>1708-8569</t>
  </si>
  <si>
    <t>https://link.springer.com/journal/12519</t>
  </si>
  <si>
    <t>Childrens Hospital, Zhejiang University School of Medicine, co-published with Springer</t>
  </si>
  <si>
    <t>World Journal of Surgery</t>
  </si>
  <si>
    <t>1432-2323</t>
  </si>
  <si>
    <t>0364-2313</t>
  </si>
  <si>
    <t>https://link.springer.com/journal/268</t>
  </si>
  <si>
    <t>World Journal of Urology</t>
  </si>
  <si>
    <t>1433-8726</t>
  </si>
  <si>
    <t>https://link.springer.com/journal/345</t>
  </si>
  <si>
    <t>World Wide Web</t>
  </si>
  <si>
    <t>1573-1413</t>
  </si>
  <si>
    <t>1386-145X</t>
  </si>
  <si>
    <t>https://link.springer.com/journal/11280</t>
  </si>
  <si>
    <t>ZDM – Mathematics Education</t>
  </si>
  <si>
    <t>1863-9704</t>
  </si>
  <si>
    <t>1863-9690</t>
  </si>
  <si>
    <t>https://link.springer.com/journal/11858</t>
  </si>
  <si>
    <t>Zeitschrift für angewandte Mathematik und Physik</t>
  </si>
  <si>
    <t>1420-9039</t>
  </si>
  <si>
    <t>0044-2275</t>
  </si>
  <si>
    <t>https://link.springer.com/journal/33</t>
  </si>
  <si>
    <t>Zeitschrift für Arbeitswissenschaft</t>
  </si>
  <si>
    <t>2366-4681</t>
  </si>
  <si>
    <t>0340-2444</t>
  </si>
  <si>
    <t>https://link.springer.com/journal/41449</t>
  </si>
  <si>
    <t>Zeitschrift für Außen- und Sicherheitspolitik</t>
  </si>
  <si>
    <t>1866-2196</t>
  </si>
  <si>
    <t>1866-2188</t>
  </si>
  <si>
    <t>https://link.springer.com/journal/12399</t>
  </si>
  <si>
    <t>Zeitschrift für Bildungsforschung</t>
  </si>
  <si>
    <t>2190-6904</t>
  </si>
  <si>
    <t>2190-6890</t>
  </si>
  <si>
    <t>https://link.springer.com/journal/35834</t>
  </si>
  <si>
    <t>Zeitschrift für Didaktik der Naturwissenschaften</t>
  </si>
  <si>
    <t>2197-988X</t>
  </si>
  <si>
    <t>https://link.springer.com/journal/40573</t>
  </si>
  <si>
    <t>Zeitschrift für die gesamte Versicherungswissenschaft</t>
  </si>
  <si>
    <t>1865-9748</t>
  </si>
  <si>
    <t>0044-2585</t>
  </si>
  <si>
    <t>https://link.springer.com/journal/12297</t>
  </si>
  <si>
    <t>Zeitschrift für Energiewirtschaft</t>
  </si>
  <si>
    <t>1866-2765</t>
  </si>
  <si>
    <t>0343-5377</t>
  </si>
  <si>
    <t>https://link.springer.com/journal/12398</t>
  </si>
  <si>
    <t>Zeitschrift für Epileptologie</t>
  </si>
  <si>
    <t>1610-0646</t>
  </si>
  <si>
    <t>1617-6782</t>
  </si>
  <si>
    <t>https://link.springer.com/journal/10309</t>
  </si>
  <si>
    <t>Zeitschrift für Erziehungswissenschaft</t>
  </si>
  <si>
    <t>1862-5215</t>
  </si>
  <si>
    <t>1434-663X</t>
  </si>
  <si>
    <t>https://link.springer.com/journal/11618</t>
  </si>
  <si>
    <t>Zeitschrift für Ethik und Moralphilosophie</t>
  </si>
  <si>
    <t>2522-0071</t>
  </si>
  <si>
    <t>https://link.springer.com/journal/42048</t>
  </si>
  <si>
    <t>Zeitschrift für Friedens- und Konfliktforschung</t>
  </si>
  <si>
    <t>2524-6976</t>
  </si>
  <si>
    <t>2192-1741</t>
  </si>
  <si>
    <t>https://link.springer.com/journal/42597</t>
  </si>
  <si>
    <t>Zeitschrift für Gerontologie und Geriatrie</t>
  </si>
  <si>
    <t>1435-1269</t>
  </si>
  <si>
    <t>0948-6704</t>
  </si>
  <si>
    <t>https://link.springer.com/journal/391</t>
  </si>
  <si>
    <t>Zeitschrift für Grundschulforschung</t>
  </si>
  <si>
    <t>2523-3181</t>
  </si>
  <si>
    <t>1865-3553</t>
  </si>
  <si>
    <t>https://link.springer.com/journal/42278</t>
  </si>
  <si>
    <t>Zeitschrift für Herz-,Thorax- und Gefäßchirurgie</t>
  </si>
  <si>
    <t>1435-1277</t>
  </si>
  <si>
    <t>0930-9225</t>
  </si>
  <si>
    <t>https://link.springer.com/journal/398</t>
  </si>
  <si>
    <t>Zeitschrift für Literaturwissenschaft und Linguistik</t>
  </si>
  <si>
    <t>2365-953X</t>
  </si>
  <si>
    <t>0049-8653</t>
  </si>
  <si>
    <t>https://link.springer.com/journal/41244</t>
  </si>
  <si>
    <t>Zeitschrift für Politikwissenschaft</t>
  </si>
  <si>
    <t>2366-2638</t>
  </si>
  <si>
    <t>1430-6387</t>
  </si>
  <si>
    <t>https://link.springer.com/journal/41358</t>
  </si>
  <si>
    <t>Zeitschrift für Psychodrama und Soziometrie</t>
  </si>
  <si>
    <t>1862-2526</t>
  </si>
  <si>
    <t>1619-5507</t>
  </si>
  <si>
    <t>https://link.springer.com/journal/11620</t>
  </si>
  <si>
    <t>Zeitschrift für Religion, Gesellschaft und Politik</t>
  </si>
  <si>
    <t>2510-1226</t>
  </si>
  <si>
    <t>https://link.springer.com/journal/41682</t>
  </si>
  <si>
    <t>Zeitschrift für Rheumatologie</t>
  </si>
  <si>
    <t>1435-1250</t>
  </si>
  <si>
    <t>0340-1855</t>
  </si>
  <si>
    <t>https://link.springer.com/journal/393</t>
  </si>
  <si>
    <t>Zeitschrift für Vergleichende Politikwissenschaft</t>
  </si>
  <si>
    <t>1865-2654</t>
  </si>
  <si>
    <t>https://link.springer.com/journal/12286</t>
  </si>
  <si>
    <t>Zentralblatt für Arbeitsmedizin, Arbeitsschutz und Ergonomie</t>
  </si>
  <si>
    <t>2198-0713</t>
  </si>
  <si>
    <t>0944-2502</t>
  </si>
  <si>
    <t>https://link.springer.com/journal/40664</t>
  </si>
  <si>
    <t>Zoomorphology</t>
  </si>
  <si>
    <t>1432-234X</t>
  </si>
  <si>
    <t>0720-213X</t>
  </si>
  <si>
    <t>https://link.springer.com/journal/435</t>
  </si>
  <si>
    <t>Description</t>
  </si>
  <si>
    <t>変更年</t>
  </si>
  <si>
    <t>subjectcollection_term</t>
  </si>
  <si>
    <t>Remark</t>
  </si>
  <si>
    <t>2023
Legacy/VC/Kosen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</si>
</sst>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Red]\-General"/>
  </numFmts>
  <fonts count="7" x14ac:knownFonts="1">
    <font>
      <sz val="11"/>
      <color rgb="FF000000"/>
      <name val="Calibri"/>
      <scheme val="minor"/>
    </font>
    <font>
      <sz val="11"/>
      <color theme="1"/>
      <name val="Calibri"/>
      <scheme val="minor"/>
    </font>
    <font>
      <b/>
      <sz val="12"/>
      <color theme="1"/>
      <name val="Calibri"/>
      <scheme val="minor"/>
    </font>
    <font>
      <u/>
      <sz val="11"/>
      <color rgb="FF0000FF"/>
      <name val="Calibri"/>
    </font>
    <font>
      <sz val="11"/>
      <color rgb="FFFF0000"/>
      <name val="Calibri"/>
      <scheme val="minor"/>
    </font>
    <font>
      <u/>
      <sz val="11"/>
      <color rgb="FF0000FF"/>
      <name val="Calibri"/>
    </font>
    <font>
      <sz val="6"/>
      <name val="Calibri"/>
      <family val="3"/>
      <charset val="128"/>
      <scheme val="minor"/>
    </font>
  </fonts>
  <fills count="6">
    <fill>
      <patternFill patternType="none"/>
    </fill>
    <fill>
      <patternFill patternType="gray125"/>
    </fill>
    <fill>
      <patternFill patternType="solid">
        <fgColor rgb="FFF3F2E9"/>
        <bgColor rgb="FFF3F2E9"/>
      </patternFill>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s>
  <borders count="3">
    <border>
      <left/>
      <right/>
      <top/>
      <bottom/>
      <diagonal/>
    </border>
    <border>
      <left/>
      <right/>
      <top style="thin">
        <color rgb="FF000000"/>
      </top>
      <bottom/>
      <diagonal/>
    </border>
    <border>
      <left/>
      <right/>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xf numFmtId="0" fontId="1" fillId="0" borderId="0" xfId="0" applyFont="1" applyAlignment="1">
      <alignment horizontal="center"/>
    </xf>
    <xf numFmtId="0" fontId="2" fillId="2" borderId="1" xfId="0" applyFont="1" applyFill="1" applyBorder="1"/>
    <xf numFmtId="0" fontId="1" fillId="2" borderId="1" xfId="0" applyFont="1" applyFill="1" applyBorder="1"/>
    <xf numFmtId="0" fontId="1" fillId="2" borderId="1" xfId="0" applyFont="1" applyFill="1" applyBorder="1" applyAlignment="1">
      <alignment horizontal="center"/>
    </xf>
    <xf numFmtId="0" fontId="1" fillId="2" borderId="0" xfId="0" applyFont="1" applyFill="1"/>
    <xf numFmtId="0" fontId="1" fillId="2" borderId="0" xfId="0" applyFont="1" applyFill="1" applyAlignment="1">
      <alignment horizontal="center"/>
    </xf>
    <xf numFmtId="0" fontId="1" fillId="2" borderId="0" xfId="0" applyFont="1" applyFill="1"/>
    <xf numFmtId="0" fontId="3" fillId="2" borderId="0" xfId="0" applyFont="1" applyFill="1" applyAlignment="1"/>
    <xf numFmtId="0" fontId="4" fillId="2" borderId="0" xfId="0" applyFont="1" applyFill="1" applyAlignment="1"/>
    <xf numFmtId="0" fontId="4" fillId="2" borderId="0" xfId="0" applyFont="1" applyFill="1"/>
    <xf numFmtId="0" fontId="1" fillId="2" borderId="2" xfId="0" applyFont="1" applyFill="1" applyBorder="1"/>
    <xf numFmtId="0" fontId="1" fillId="2" borderId="2" xfId="0" applyFont="1" applyFill="1" applyBorder="1" applyAlignment="1">
      <alignment horizontal="center"/>
    </xf>
    <xf numFmtId="176" fontId="1" fillId="0" borderId="0" xfId="0" applyNumberFormat="1" applyFont="1" applyAlignment="1">
      <alignment wrapText="1"/>
    </xf>
    <xf numFmtId="4" fontId="1" fillId="3" borderId="0" xfId="0" applyNumberFormat="1" applyFont="1" applyFill="1" applyAlignment="1">
      <alignment wrapText="1"/>
    </xf>
    <xf numFmtId="4" fontId="1" fillId="3" borderId="0" xfId="0" applyNumberFormat="1" applyFont="1" applyFill="1" applyAlignment="1">
      <alignment horizontal="center" wrapText="1"/>
    </xf>
    <xf numFmtId="176" fontId="1" fillId="3" borderId="0" xfId="0" applyNumberFormat="1" applyFont="1" applyFill="1" applyAlignment="1">
      <alignment horizontal="center" wrapText="1"/>
    </xf>
    <xf numFmtId="176" fontId="1" fillId="3" borderId="0" xfId="0" applyNumberFormat="1" applyFont="1" applyFill="1" applyAlignment="1">
      <alignment horizontal="center" wrapText="1"/>
    </xf>
    <xf numFmtId="176" fontId="1" fillId="3" borderId="0" xfId="0" applyNumberFormat="1" applyFont="1" applyFill="1" applyAlignment="1">
      <alignment wrapText="1"/>
    </xf>
    <xf numFmtId="0" fontId="1" fillId="4" borderId="0" xfId="0" applyFont="1" applyFill="1"/>
    <xf numFmtId="0" fontId="1" fillId="4" borderId="0" xfId="0" applyFont="1" applyFill="1" applyAlignment="1">
      <alignment horizontal="center"/>
    </xf>
    <xf numFmtId="0" fontId="1" fillId="5" borderId="0" xfId="0" applyFont="1" applyFill="1"/>
    <xf numFmtId="0" fontId="1" fillId="5" borderId="0" xfId="0" applyFont="1" applyFill="1" applyAlignment="1">
      <alignment horizontal="center"/>
    </xf>
    <xf numFmtId="4" fontId="1" fillId="0" borderId="0" xfId="0" applyNumberFormat="1" applyFont="1"/>
    <xf numFmtId="176" fontId="1" fillId="0" borderId="0" xfId="0" applyNumberFormat="1" applyFont="1" applyAlignment="1"/>
    <xf numFmtId="176" fontId="1" fillId="0" borderId="0" xfId="0" applyNumberFormat="1" applyFont="1"/>
    <xf numFmtId="0" fontId="5" fillId="0" borderId="0" xfId="0" applyFont="1"/>
    <xf numFmtId="0" fontId="1" fillId="0" borderId="0" xfId="0" applyFont="1" applyAlignment="1"/>
    <xf numFmtId="0" fontId="1"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xUouE2KIn6tZ1sYb3NHq7zbHFHv3uVqf/edit"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link.springer.com/journal/40204" TargetMode="External"/><Relationship Id="rId170" Type="http://schemas.openxmlformats.org/officeDocument/2006/relationships/hyperlink" Target="https://link.springer.com/journal/13330" TargetMode="External"/><Relationship Id="rId987" Type="http://schemas.openxmlformats.org/officeDocument/2006/relationships/hyperlink" Target="https://link.springer.com/journal/13762" TargetMode="External"/><Relationship Id="rId847" Type="http://schemas.openxmlformats.org/officeDocument/2006/relationships/hyperlink" Target="https://link.springer.com/journal/10741" TargetMode="External"/><Relationship Id="rId1477" Type="http://schemas.openxmlformats.org/officeDocument/2006/relationships/hyperlink" Target="https://link.springer.com/journal/11355" TargetMode="External"/><Relationship Id="rId1684" Type="http://schemas.openxmlformats.org/officeDocument/2006/relationships/hyperlink" Target="https://link.springer.com/journal/11075" TargetMode="External"/><Relationship Id="rId1891" Type="http://schemas.openxmlformats.org/officeDocument/2006/relationships/hyperlink" Target="https://link.springer.com/journal/40489" TargetMode="External"/><Relationship Id="rId707" Type="http://schemas.openxmlformats.org/officeDocument/2006/relationships/hyperlink" Target="https://link.springer.com/journal/238" TargetMode="External"/><Relationship Id="rId914" Type="http://schemas.openxmlformats.org/officeDocument/2006/relationships/hyperlink" Target="https://link.springer.com/journal/11" TargetMode="External"/><Relationship Id="rId1337" Type="http://schemas.openxmlformats.org/officeDocument/2006/relationships/hyperlink" Target="https://link.springer.com/journal/10957" TargetMode="External"/><Relationship Id="rId1544" Type="http://schemas.openxmlformats.org/officeDocument/2006/relationships/hyperlink" Target="https://link.springer.com/journal/209" TargetMode="External"/><Relationship Id="rId1751" Type="http://schemas.openxmlformats.org/officeDocument/2006/relationships/hyperlink" Target="https://link.springer.com/journal/11094" TargetMode="External"/><Relationship Id="rId43" Type="http://schemas.openxmlformats.org/officeDocument/2006/relationships/hyperlink" Target="https://link.springer.com/journal/42765" TargetMode="External"/><Relationship Id="rId1404" Type="http://schemas.openxmlformats.org/officeDocument/2006/relationships/hyperlink" Target="https://link.springer.com/journal/11368" TargetMode="External"/><Relationship Id="rId1611" Type="http://schemas.openxmlformats.org/officeDocument/2006/relationships/hyperlink" Target="https://link.springer.com/journal/40592" TargetMode="External"/><Relationship Id="rId497" Type="http://schemas.openxmlformats.org/officeDocument/2006/relationships/hyperlink" Target="https://link.springer.com/journal/284" TargetMode="External"/><Relationship Id="rId2178" Type="http://schemas.openxmlformats.org/officeDocument/2006/relationships/hyperlink" Target="https://link.springer.com/journal/92" TargetMode="External"/><Relationship Id="rId357" Type="http://schemas.openxmlformats.org/officeDocument/2006/relationships/hyperlink" Target="https://link.springer.com/journal/381" TargetMode="External"/><Relationship Id="rId1194" Type="http://schemas.openxmlformats.org/officeDocument/2006/relationships/hyperlink" Target="https://link.springer.com/journal/10831" TargetMode="External"/><Relationship Id="rId2038" Type="http://schemas.openxmlformats.org/officeDocument/2006/relationships/hyperlink" Target="https://link.springer.com/journal/11223" TargetMode="External"/><Relationship Id="rId217" Type="http://schemas.openxmlformats.org/officeDocument/2006/relationships/hyperlink" Target="https://link.springer.com/journal/10516" TargetMode="External"/><Relationship Id="rId564" Type="http://schemas.openxmlformats.org/officeDocument/2006/relationships/hyperlink" Target="https://link.springer.com/journal/12285" TargetMode="External"/><Relationship Id="rId771" Type="http://schemas.openxmlformats.org/officeDocument/2006/relationships/hyperlink" Target="https://link.springer.com/journal/11707" TargetMode="External"/><Relationship Id="rId424" Type="http://schemas.openxmlformats.org/officeDocument/2006/relationships/hyperlink" Target="https://link.springer.com/journal/10596" TargetMode="External"/><Relationship Id="rId631" Type="http://schemas.openxmlformats.org/officeDocument/2006/relationships/hyperlink" Target="https://link.springer.com/journal/12678" TargetMode="External"/><Relationship Id="rId1054" Type="http://schemas.openxmlformats.org/officeDocument/2006/relationships/hyperlink" Target="https://link.springer.com/journal/40997" TargetMode="External"/><Relationship Id="rId1261" Type="http://schemas.openxmlformats.org/officeDocument/2006/relationships/hyperlink" Target="https://link.springer.com/journal/10903" TargetMode="External"/><Relationship Id="rId2105" Type="http://schemas.openxmlformats.org/officeDocument/2006/relationships/hyperlink" Target="https://link.springer.com/journal/13224" TargetMode="External"/><Relationship Id="rId1121" Type="http://schemas.openxmlformats.org/officeDocument/2006/relationships/hyperlink" Target="https://link.springer.com/journal/10818" TargetMode="External"/><Relationship Id="rId1938" Type="http://schemas.openxmlformats.org/officeDocument/2006/relationships/hyperlink" Target="https://link.springer.com/journal/11178" TargetMode="External"/><Relationship Id="rId281" Type="http://schemas.openxmlformats.org/officeDocument/2006/relationships/hyperlink" Target="https://link.springer.com/journal/13538" TargetMode="External"/><Relationship Id="rId141" Type="http://schemas.openxmlformats.org/officeDocument/2006/relationships/hyperlink" Target="https://link.springer.com/journal/10499" TargetMode="External"/><Relationship Id="rId7" Type="http://schemas.openxmlformats.org/officeDocument/2006/relationships/hyperlink" Target="https://link.springer.com/journal/40596" TargetMode="External"/><Relationship Id="rId958" Type="http://schemas.openxmlformats.org/officeDocument/2006/relationships/hyperlink" Target="https://link.springer.com/journal/12572" TargetMode="External"/><Relationship Id="rId1588" Type="http://schemas.openxmlformats.org/officeDocument/2006/relationships/hyperlink" Target="https://link.springer.com/journal/12671" TargetMode="External"/><Relationship Id="rId1795" Type="http://schemas.openxmlformats.org/officeDocument/2006/relationships/hyperlink" Target="https://link.springer.com/journal/11615" TargetMode="External"/><Relationship Id="rId87" Type="http://schemas.openxmlformats.org/officeDocument/2006/relationships/hyperlink" Target="https://link.springer.com/journal/726" TargetMode="External"/><Relationship Id="rId818" Type="http://schemas.openxmlformats.org/officeDocument/2006/relationships/hyperlink" Target="https://link.springer.com/journal/40171" TargetMode="External"/><Relationship Id="rId1448" Type="http://schemas.openxmlformats.org/officeDocument/2006/relationships/hyperlink" Target="https://link.springer.com/journal/11524" TargetMode="External"/><Relationship Id="rId1655" Type="http://schemas.openxmlformats.org/officeDocument/2006/relationships/hyperlink" Target="https://link.springer.com/journal/42520" TargetMode="External"/><Relationship Id="rId1308" Type="http://schemas.openxmlformats.org/officeDocument/2006/relationships/hyperlink" Target="https://link.springer.com/journal/12275" TargetMode="External"/><Relationship Id="rId1862" Type="http://schemas.openxmlformats.org/officeDocument/2006/relationships/hyperlink" Target="https://link.springer.com/journal/11976" TargetMode="External"/><Relationship Id="rId1515" Type="http://schemas.openxmlformats.org/officeDocument/2006/relationships/hyperlink" Target="https://link.springer.com/journal/229" TargetMode="External"/><Relationship Id="rId1722" Type="http://schemas.openxmlformats.org/officeDocument/2006/relationships/hyperlink" Target="https://link.springer.com/journal/506" TargetMode="External"/><Relationship Id="rId14" Type="http://schemas.openxmlformats.org/officeDocument/2006/relationships/hyperlink" Target="https://link.springer.com/journal/592" TargetMode="External"/><Relationship Id="rId468" Type="http://schemas.openxmlformats.org/officeDocument/2006/relationships/hyperlink" Target="https://link.springer.com/journal/40473" TargetMode="External"/><Relationship Id="rId675" Type="http://schemas.openxmlformats.org/officeDocument/2006/relationships/hyperlink" Target="https://link.springer.com/journal/10676" TargetMode="External"/><Relationship Id="rId882" Type="http://schemas.openxmlformats.org/officeDocument/2006/relationships/hyperlink" Target="https://link.springer.com/journal/10743" TargetMode="External"/><Relationship Id="rId1098" Type="http://schemas.openxmlformats.org/officeDocument/2006/relationships/hyperlink" Target="https://link.springer.com/journal/41468" TargetMode="External"/><Relationship Id="rId2149" Type="http://schemas.openxmlformats.org/officeDocument/2006/relationships/hyperlink" Target="https://link.springer.com/journal/41403" TargetMode="External"/><Relationship Id="rId328" Type="http://schemas.openxmlformats.org/officeDocument/2006/relationships/hyperlink" Target="https://link.springer.com/journal/10561" TargetMode="External"/><Relationship Id="rId535" Type="http://schemas.openxmlformats.org/officeDocument/2006/relationships/hyperlink" Target="https://link.springer.com/journal/40746" TargetMode="External"/><Relationship Id="rId742" Type="http://schemas.openxmlformats.org/officeDocument/2006/relationships/hyperlink" Target="https://link.springer.com/journal/10695" TargetMode="External"/><Relationship Id="rId1165" Type="http://schemas.openxmlformats.org/officeDocument/2006/relationships/hyperlink" Target="https://link.springer.com/journal/11488" TargetMode="External"/><Relationship Id="rId1372" Type="http://schemas.openxmlformats.org/officeDocument/2006/relationships/hyperlink" Target="https://link.springer.com/journal/11123" TargetMode="External"/><Relationship Id="rId2009" Type="http://schemas.openxmlformats.org/officeDocument/2006/relationships/hyperlink" Target="https://link.springer.com/journal/42832" TargetMode="External"/><Relationship Id="rId2216" Type="http://schemas.openxmlformats.org/officeDocument/2006/relationships/hyperlink" Target="https://link.springer.com/journal/33" TargetMode="External"/><Relationship Id="rId602" Type="http://schemas.openxmlformats.org/officeDocument/2006/relationships/hyperlink" Target="https://link.springer.com/journal/11446" TargetMode="External"/><Relationship Id="rId1025" Type="http://schemas.openxmlformats.org/officeDocument/2006/relationships/hyperlink" Target="https://link.springer.com/journal/13198" TargetMode="External"/><Relationship Id="rId1232" Type="http://schemas.openxmlformats.org/officeDocument/2006/relationships/hyperlink" Target="https://link.springer.com/journal/11959" TargetMode="External"/><Relationship Id="rId185" Type="http://schemas.openxmlformats.org/officeDocument/2006/relationships/hyperlink" Target="https://link.springer.com/journal/44204" TargetMode="External"/><Relationship Id="rId1909" Type="http://schemas.openxmlformats.org/officeDocument/2006/relationships/hyperlink" Target="https://link.springer.com/journal/44169" TargetMode="External"/><Relationship Id="rId392" Type="http://schemas.openxmlformats.org/officeDocument/2006/relationships/hyperlink" Target="https://link.springer.com/journal/12018" TargetMode="External"/><Relationship Id="rId2073" Type="http://schemas.openxmlformats.org/officeDocument/2006/relationships/hyperlink" Target="https://link.springer.com/journal/12248" TargetMode="External"/><Relationship Id="rId252" Type="http://schemas.openxmlformats.org/officeDocument/2006/relationships/hyperlink" Target="https://link.springer.com/journal/13399" TargetMode="External"/><Relationship Id="rId2140" Type="http://schemas.openxmlformats.org/officeDocument/2006/relationships/hyperlink" Target="https://link.springer.com/journal/11510" TargetMode="External"/><Relationship Id="rId112" Type="http://schemas.openxmlformats.org/officeDocument/2006/relationships/hyperlink" Target="https://link.springer.com/journal/10434" TargetMode="External"/><Relationship Id="rId1699" Type="http://schemas.openxmlformats.org/officeDocument/2006/relationships/hyperlink" Target="https://link.springer.com/journal/12063" TargetMode="External"/><Relationship Id="rId2000" Type="http://schemas.openxmlformats.org/officeDocument/2006/relationships/hyperlink" Target="https://link.springer.com/journal/11211" TargetMode="External"/><Relationship Id="rId929" Type="http://schemas.openxmlformats.org/officeDocument/2006/relationships/hyperlink" Target="https://link.springer.com/journal/41062" TargetMode="External"/><Relationship Id="rId1559" Type="http://schemas.openxmlformats.org/officeDocument/2006/relationships/hyperlink" Target="https://link.springer.com/journal/9" TargetMode="External"/><Relationship Id="rId1766" Type="http://schemas.openxmlformats.org/officeDocument/2006/relationships/hyperlink" Target="https://link.springer.com/journal/11450" TargetMode="External"/><Relationship Id="rId1973" Type="http://schemas.openxmlformats.org/officeDocument/2006/relationships/hyperlink" Target="https://link.springer.com/journal/281" TargetMode="External"/><Relationship Id="rId58" Type="http://schemas.openxmlformats.org/officeDocument/2006/relationships/hyperlink" Target="https://link.springer.com/journal/10453" TargetMode="External"/><Relationship Id="rId1419" Type="http://schemas.openxmlformats.org/officeDocument/2006/relationships/hyperlink" Target="https://link.springer.com/journal/11747" TargetMode="External"/><Relationship Id="rId1626" Type="http://schemas.openxmlformats.org/officeDocument/2006/relationships/hyperlink" Target="https://link.springer.com/journal/38313" TargetMode="External"/><Relationship Id="rId1833" Type="http://schemas.openxmlformats.org/officeDocument/2006/relationships/hyperlink" Target="https://link.springer.com/journal/426" TargetMode="External"/><Relationship Id="rId1900" Type="http://schemas.openxmlformats.org/officeDocument/2006/relationships/hyperlink" Target="https://link.springer.com/journal/13164" TargetMode="External"/><Relationship Id="rId579" Type="http://schemas.openxmlformats.org/officeDocument/2006/relationships/hyperlink" Target="https://link.springer.com/journal/42212" TargetMode="External"/><Relationship Id="rId786" Type="http://schemas.openxmlformats.org/officeDocument/2006/relationships/hyperlink" Target="https://link.springer.com/journal/10120" TargetMode="External"/><Relationship Id="rId993" Type="http://schemas.openxmlformats.org/officeDocument/2006/relationships/hyperlink" Target="https://link.springer.com/journal/42943" TargetMode="External"/><Relationship Id="rId439" Type="http://schemas.openxmlformats.org/officeDocument/2006/relationships/hyperlink" Target="https://link.springer.com/journal/41693" TargetMode="External"/><Relationship Id="rId646" Type="http://schemas.openxmlformats.org/officeDocument/2006/relationships/hyperlink" Target="https://link.springer.com/journal/12667" TargetMode="External"/><Relationship Id="rId1069" Type="http://schemas.openxmlformats.org/officeDocument/2006/relationships/hyperlink" Target="https://link.springer.com/journal/42081" TargetMode="External"/><Relationship Id="rId1276" Type="http://schemas.openxmlformats.org/officeDocument/2006/relationships/hyperlink" Target="https://link.springer.com/journal/10840" TargetMode="External"/><Relationship Id="rId1483" Type="http://schemas.openxmlformats.org/officeDocument/2006/relationships/hyperlink" Target="https://link.springer.com/journal/41547" TargetMode="External"/><Relationship Id="rId506" Type="http://schemas.openxmlformats.org/officeDocument/2006/relationships/hyperlink" Target="https://link.springer.com/journal/11914" TargetMode="External"/><Relationship Id="rId853" Type="http://schemas.openxmlformats.org/officeDocument/2006/relationships/hyperlink" Target="https://link.springer.com/journal/12072" TargetMode="External"/><Relationship Id="rId1136" Type="http://schemas.openxmlformats.org/officeDocument/2006/relationships/hyperlink" Target="https://link.springer.com/journal/432" TargetMode="External"/><Relationship Id="rId1690" Type="http://schemas.openxmlformats.org/officeDocument/2006/relationships/hyperlink" Target="https://link.springer.com/journal/11695" TargetMode="External"/><Relationship Id="rId713" Type="http://schemas.openxmlformats.org/officeDocument/2006/relationships/hyperlink" Target="https://link.springer.com/journal/330" TargetMode="External"/><Relationship Id="rId920" Type="http://schemas.openxmlformats.org/officeDocument/2006/relationships/hyperlink" Target="https://link.springer.com/journal/41884" TargetMode="External"/><Relationship Id="rId1343" Type="http://schemas.openxmlformats.org/officeDocument/2006/relationships/hyperlink" Target="https://link.springer.com/journal/10933" TargetMode="External"/><Relationship Id="rId1550" Type="http://schemas.openxmlformats.org/officeDocument/2006/relationships/hyperlink" Target="https://link.springer.com/journal/11043" TargetMode="External"/><Relationship Id="rId1203" Type="http://schemas.openxmlformats.org/officeDocument/2006/relationships/hyperlink" Target="https://link.springer.com/journal/42835" TargetMode="External"/><Relationship Id="rId1410" Type="http://schemas.openxmlformats.org/officeDocument/2006/relationships/hyperlink" Target="https://link.springer.com/journal/42519" TargetMode="External"/><Relationship Id="rId296" Type="http://schemas.openxmlformats.org/officeDocument/2006/relationships/hyperlink" Target="https://link.springer.com/journal/40840" TargetMode="External"/><Relationship Id="rId2184" Type="http://schemas.openxmlformats.org/officeDocument/2006/relationships/hyperlink" Target="https://link.springer.com/journal/10013" TargetMode="External"/><Relationship Id="rId156" Type="http://schemas.openxmlformats.org/officeDocument/2006/relationships/hyperlink" Target="https://link.springer.com/journal/43452" TargetMode="External"/><Relationship Id="rId363" Type="http://schemas.openxmlformats.org/officeDocument/2006/relationships/hyperlink" Target="https://link.springer.com/journal/11401" TargetMode="External"/><Relationship Id="rId570" Type="http://schemas.openxmlformats.org/officeDocument/2006/relationships/hyperlink" Target="https://link.springer.com/journal/292" TargetMode="External"/><Relationship Id="rId2044" Type="http://schemas.openxmlformats.org/officeDocument/2006/relationships/hyperlink" Target="https://link.springer.com/journal/11212" TargetMode="External"/><Relationship Id="rId223" Type="http://schemas.openxmlformats.org/officeDocument/2006/relationships/hyperlink" Target="https://link.springer.com/journal/13428" TargetMode="External"/><Relationship Id="rId430" Type="http://schemas.openxmlformats.org/officeDocument/2006/relationships/hyperlink" Target="https://link.springer.com/journal/10589" TargetMode="External"/><Relationship Id="rId1060" Type="http://schemas.openxmlformats.org/officeDocument/2006/relationships/hyperlink" Target="https://link.springer.com/journal/35724" TargetMode="External"/><Relationship Id="rId2111" Type="http://schemas.openxmlformats.org/officeDocument/2006/relationships/hyperlink" Target="https://link.springer.com/journal/10790" TargetMode="External"/><Relationship Id="rId528" Type="http://schemas.openxmlformats.org/officeDocument/2006/relationships/hyperlink" Target="https://link.springer.com/journal/40719" TargetMode="External"/><Relationship Id="rId735" Type="http://schemas.openxmlformats.org/officeDocument/2006/relationships/hyperlink" Target="https://link.springer.com/journal/10691" TargetMode="External"/><Relationship Id="rId942" Type="http://schemas.openxmlformats.org/officeDocument/2006/relationships/hyperlink" Target="https://link.springer.com/journal/12539" TargetMode="External"/><Relationship Id="rId1158" Type="http://schemas.openxmlformats.org/officeDocument/2006/relationships/hyperlink" Target="https://link.springer.com/journal/12687" TargetMode="External"/><Relationship Id="rId1365" Type="http://schemas.openxmlformats.org/officeDocument/2006/relationships/hyperlink" Target="https://link.springer.com/journal/10924" TargetMode="External"/><Relationship Id="rId1572" Type="http://schemas.openxmlformats.org/officeDocument/2006/relationships/hyperlink" Target="https://link.springer.com/journal/11663" TargetMode="External"/><Relationship Id="rId2209" Type="http://schemas.openxmlformats.org/officeDocument/2006/relationships/hyperlink" Target="https://link.springer.com/journal/226" TargetMode="External"/><Relationship Id="rId1018" Type="http://schemas.openxmlformats.org/officeDocument/2006/relationships/hyperlink" Target="https://link.springer.com/journal/10764" TargetMode="External"/><Relationship Id="rId1225" Type="http://schemas.openxmlformats.org/officeDocument/2006/relationships/hyperlink" Target="https://link.springer.com/journal/41981" TargetMode="External"/><Relationship Id="rId1432" Type="http://schemas.openxmlformats.org/officeDocument/2006/relationships/hyperlink" Target="https://link.springer.com/journal/40032" TargetMode="External"/><Relationship Id="rId1877" Type="http://schemas.openxmlformats.org/officeDocument/2006/relationships/hyperlink" Target="https://link.springer.com/journal/12210" TargetMode="External"/><Relationship Id="rId71" Type="http://schemas.openxmlformats.org/officeDocument/2006/relationships/hyperlink" Target="https://link.springer.com/journal/146" TargetMode="External"/><Relationship Id="rId802" Type="http://schemas.openxmlformats.org/officeDocument/2006/relationships/hyperlink" Target="https://link.springer.com/journal/10708" TargetMode="External"/><Relationship Id="rId1737" Type="http://schemas.openxmlformats.org/officeDocument/2006/relationships/hyperlink" Target="https://link.springer.com/journal/246" TargetMode="External"/><Relationship Id="rId1944" Type="http://schemas.openxmlformats.org/officeDocument/2006/relationships/hyperlink" Target="https://link.springer.com/journal/11982" TargetMode="External"/><Relationship Id="rId29" Type="http://schemas.openxmlformats.org/officeDocument/2006/relationships/hyperlink" Target="https://link.springer.com/journal/40195" TargetMode="External"/><Relationship Id="rId178" Type="http://schemas.openxmlformats.org/officeDocument/2006/relationships/hyperlink" Target="https://link.springer.com/journal/12564" TargetMode="External"/><Relationship Id="rId1804" Type="http://schemas.openxmlformats.org/officeDocument/2006/relationships/hyperlink" Target="https://link.springer.com/journal/11540" TargetMode="External"/><Relationship Id="rId385" Type="http://schemas.openxmlformats.org/officeDocument/2006/relationships/hyperlink" Target="https://link.springer.com/journal/10567" TargetMode="External"/><Relationship Id="rId592" Type="http://schemas.openxmlformats.org/officeDocument/2006/relationships/hyperlink" Target="https://link.springer.com/journal/10619" TargetMode="External"/><Relationship Id="rId2066" Type="http://schemas.openxmlformats.org/officeDocument/2006/relationships/hyperlink" Target="https://link.springer.com/journal/40866" TargetMode="External"/><Relationship Id="rId245" Type="http://schemas.openxmlformats.org/officeDocument/2006/relationships/hyperlink" Target="https://link.springer.com/journal/10530" TargetMode="External"/><Relationship Id="rId452" Type="http://schemas.openxmlformats.org/officeDocument/2006/relationships/hyperlink" Target="https://link.springer.com/journal/41701" TargetMode="External"/><Relationship Id="rId897" Type="http://schemas.openxmlformats.org/officeDocument/2006/relationships/hyperlink" Target="https://link.springer.com/journal/12291" TargetMode="External"/><Relationship Id="rId1082" Type="http://schemas.openxmlformats.org/officeDocument/2006/relationships/hyperlink" Target="https://link.springer.com/journal/41975" TargetMode="External"/><Relationship Id="rId2133" Type="http://schemas.openxmlformats.org/officeDocument/2006/relationships/hyperlink" Target="https://link.springer.com/journal/11017" TargetMode="External"/><Relationship Id="rId105" Type="http://schemas.openxmlformats.org/officeDocument/2006/relationships/hyperlink" Target="https://link.springer.com/journal/43034" TargetMode="External"/><Relationship Id="rId312" Type="http://schemas.openxmlformats.org/officeDocument/2006/relationships/hyperlink" Target="https://link.springer.com/journal/42823" TargetMode="External"/><Relationship Id="rId757" Type="http://schemas.openxmlformats.org/officeDocument/2006/relationships/hyperlink" Target="https://link.springer.com/journal/12024" TargetMode="External"/><Relationship Id="rId964" Type="http://schemas.openxmlformats.org/officeDocument/2006/relationships/hyperlink" Target="https://link.springer.com/journal/12529" TargetMode="External"/><Relationship Id="rId1387" Type="http://schemas.openxmlformats.org/officeDocument/2006/relationships/hyperlink" Target="https://link.springer.com/journal/10943" TargetMode="External"/><Relationship Id="rId1594" Type="http://schemas.openxmlformats.org/officeDocument/2006/relationships/hyperlink" Target="https://link.springer.com/journal/11024" TargetMode="External"/><Relationship Id="rId2200" Type="http://schemas.openxmlformats.org/officeDocument/2006/relationships/hyperlink" Target="https://link.springer.com/journal/11273" TargetMode="External"/><Relationship Id="rId93" Type="http://schemas.openxmlformats.org/officeDocument/2006/relationships/hyperlink" Target="https://link.springer.com/journal/12565" TargetMode="External"/><Relationship Id="rId617" Type="http://schemas.openxmlformats.org/officeDocument/2006/relationships/hyperlink" Target="https://link.springer.com/journal/199" TargetMode="External"/><Relationship Id="rId824" Type="http://schemas.openxmlformats.org/officeDocument/2006/relationships/hyperlink" Target="https://link.springer.com/journal/10291" TargetMode="External"/><Relationship Id="rId1247" Type="http://schemas.openxmlformats.org/officeDocument/2006/relationships/hyperlink" Target="https://link.springer.com/journal/10898" TargetMode="External"/><Relationship Id="rId1454" Type="http://schemas.openxmlformats.org/officeDocument/2006/relationships/hyperlink" Target="https://link.springer.com/journal/11595" TargetMode="External"/><Relationship Id="rId1661" Type="http://schemas.openxmlformats.org/officeDocument/2006/relationships/hyperlink" Target="https://link.springer.com/journal/12152" TargetMode="External"/><Relationship Id="rId1899" Type="http://schemas.openxmlformats.org/officeDocument/2006/relationships/hyperlink" Target="https://link.springer.com/journal/11846" TargetMode="External"/><Relationship Id="rId1107" Type="http://schemas.openxmlformats.org/officeDocument/2006/relationships/hyperlink" Target="https://link.springer.com/journal/10816" TargetMode="External"/><Relationship Id="rId1314" Type="http://schemas.openxmlformats.org/officeDocument/2006/relationships/hyperlink" Target="https://link.springer.com/journal/12031" TargetMode="External"/><Relationship Id="rId1521" Type="http://schemas.openxmlformats.org/officeDocument/2006/relationships/hyperlink" Target="https://link.springer.com/journal/42995" TargetMode="External"/><Relationship Id="rId1759" Type="http://schemas.openxmlformats.org/officeDocument/2006/relationships/hyperlink" Target="https://link.springer.com/journal/40926" TargetMode="External"/><Relationship Id="rId1966" Type="http://schemas.openxmlformats.org/officeDocument/2006/relationships/hyperlink" Target="https://link.springer.com/journal/11984" TargetMode="External"/><Relationship Id="rId1619" Type="http://schemas.openxmlformats.org/officeDocument/2006/relationships/hyperlink" Target="https://link.springer.com/journal/11969" TargetMode="External"/><Relationship Id="rId1826" Type="http://schemas.openxmlformats.org/officeDocument/2006/relationships/hyperlink" Target="https://link.springer.com/journal/13748" TargetMode="External"/><Relationship Id="rId20" Type="http://schemas.openxmlformats.org/officeDocument/2006/relationships/hyperlink" Target="https://link.springer.com/journal/236" TargetMode="External"/><Relationship Id="rId2088" Type="http://schemas.openxmlformats.org/officeDocument/2006/relationships/hyperlink" Target="https://link.springer.com/journal/13360" TargetMode="External"/><Relationship Id="rId267" Type="http://schemas.openxmlformats.org/officeDocument/2006/relationships/hyperlink" Target="https://link.springer.com/journal/12268" TargetMode="External"/><Relationship Id="rId474" Type="http://schemas.openxmlformats.org/officeDocument/2006/relationships/hyperlink" Target="https://link.springer.com/journal/40641" TargetMode="External"/><Relationship Id="rId2155" Type="http://schemas.openxmlformats.org/officeDocument/2006/relationships/hyperlink" Target="https://link.springer.com/journal/12975" TargetMode="External"/><Relationship Id="rId127" Type="http://schemas.openxmlformats.org/officeDocument/2006/relationships/hyperlink" Target="https://link.springer.com/journal/11770" TargetMode="External"/><Relationship Id="rId681" Type="http://schemas.openxmlformats.org/officeDocument/2006/relationships/hyperlink" Target="https://link.springer.com/journal/41207" TargetMode="External"/><Relationship Id="rId779" Type="http://schemas.openxmlformats.org/officeDocument/2006/relationships/hyperlink" Target="https://link.springer.com/journal/11467" TargetMode="External"/><Relationship Id="rId986" Type="http://schemas.openxmlformats.org/officeDocument/2006/relationships/hyperlink" Target="https://link.springer.com/journal/41742" TargetMode="External"/><Relationship Id="rId334" Type="http://schemas.openxmlformats.org/officeDocument/2006/relationships/hyperlink" Target="https://link.springer.com/journal/12195" TargetMode="External"/><Relationship Id="rId541" Type="http://schemas.openxmlformats.org/officeDocument/2006/relationships/hyperlink" Target="https://link.springer.com/journal/40547" TargetMode="External"/><Relationship Id="rId639" Type="http://schemas.openxmlformats.org/officeDocument/2006/relationships/hyperlink" Target="https://link.springer.com/journal/10663" TargetMode="External"/><Relationship Id="rId1171" Type="http://schemas.openxmlformats.org/officeDocument/2006/relationships/hyperlink" Target="https://link.springer.com/journal/10603" TargetMode="External"/><Relationship Id="rId1269" Type="http://schemas.openxmlformats.org/officeDocument/2006/relationships/hyperlink" Target="https://link.springer.com/journal/10905" TargetMode="External"/><Relationship Id="rId1476" Type="http://schemas.openxmlformats.org/officeDocument/2006/relationships/hyperlink" Target="https://link.springer.com/journal/40766" TargetMode="External"/><Relationship Id="rId2015" Type="http://schemas.openxmlformats.org/officeDocument/2006/relationships/hyperlink" Target="https://link.springer.com/journal/11841" TargetMode="External"/><Relationship Id="rId2222" Type="http://schemas.openxmlformats.org/officeDocument/2006/relationships/hyperlink" Target="https://link.springer.com/journal/12398" TargetMode="External"/><Relationship Id="rId401" Type="http://schemas.openxmlformats.org/officeDocument/2006/relationships/hyperlink" Target="https://link.springer.com/journal/10339" TargetMode="External"/><Relationship Id="rId846" Type="http://schemas.openxmlformats.org/officeDocument/2006/relationships/hyperlink" Target="https://link.springer.com/journal/380" TargetMode="External"/><Relationship Id="rId1031" Type="http://schemas.openxmlformats.org/officeDocument/2006/relationships/hyperlink" Target="https://link.springer.com/journal/42690" TargetMode="External"/><Relationship Id="rId1129" Type="http://schemas.openxmlformats.org/officeDocument/2006/relationships/hyperlink" Target="https://link.springer.com/journal/774" TargetMode="External"/><Relationship Id="rId1683" Type="http://schemas.openxmlformats.org/officeDocument/2006/relationships/hyperlink" Target="https://link.springer.com/journal/41365" TargetMode="External"/><Relationship Id="rId1890" Type="http://schemas.openxmlformats.org/officeDocument/2006/relationships/hyperlink" Target="https://link.springer.com/journal/25" TargetMode="External"/><Relationship Id="rId1988" Type="http://schemas.openxmlformats.org/officeDocument/2006/relationships/hyperlink" Target="https://link.springer.com/journal/256" TargetMode="External"/><Relationship Id="rId706" Type="http://schemas.openxmlformats.org/officeDocument/2006/relationships/hyperlink" Target="https://link.springer.com/journal/10658" TargetMode="External"/><Relationship Id="rId913" Type="http://schemas.openxmlformats.org/officeDocument/2006/relationships/hyperlink" Target="https://link.springer.com/journal/10753" TargetMode="External"/><Relationship Id="rId1336" Type="http://schemas.openxmlformats.org/officeDocument/2006/relationships/hyperlink" Target="https://link.springer.com/journal/12596" TargetMode="External"/><Relationship Id="rId1543" Type="http://schemas.openxmlformats.org/officeDocument/2006/relationships/hyperlink" Target="https://link.springer.com/journal/591" TargetMode="External"/><Relationship Id="rId1750" Type="http://schemas.openxmlformats.org/officeDocument/2006/relationships/hyperlink" Target="https://link.springer.com/journal/424" TargetMode="External"/><Relationship Id="rId42" Type="http://schemas.openxmlformats.org/officeDocument/2006/relationships/hyperlink" Target="https://link.springer.com/journal/42114" TargetMode="External"/><Relationship Id="rId1403" Type="http://schemas.openxmlformats.org/officeDocument/2006/relationships/hyperlink" Target="https://link.springer.com/journal/42729" TargetMode="External"/><Relationship Id="rId1610" Type="http://schemas.openxmlformats.org/officeDocument/2006/relationships/hyperlink" Target="https://link.springer.com/journal/12035" TargetMode="External"/><Relationship Id="rId1848" Type="http://schemas.openxmlformats.org/officeDocument/2006/relationships/hyperlink" Target="https://link.springer.com/journal/11133" TargetMode="External"/><Relationship Id="rId191" Type="http://schemas.openxmlformats.org/officeDocument/2006/relationships/hyperlink" Target="https://link.springer.com/journal/12634" TargetMode="External"/><Relationship Id="rId1708" Type="http://schemas.openxmlformats.org/officeDocument/2006/relationships/hyperlink" Target="https://link.springer.com/journal/11590" TargetMode="External"/><Relationship Id="rId1915" Type="http://schemas.openxmlformats.org/officeDocument/2006/relationships/hyperlink" Target="https://link.springer.com/journal/12688" TargetMode="External"/><Relationship Id="rId289" Type="http://schemas.openxmlformats.org/officeDocument/2006/relationships/hyperlink" Target="https://link.springer.com/journal/128" TargetMode="External"/><Relationship Id="rId496" Type="http://schemas.openxmlformats.org/officeDocument/2006/relationships/hyperlink" Target="https://link.springer.com/journal/11596" TargetMode="External"/><Relationship Id="rId2177" Type="http://schemas.openxmlformats.org/officeDocument/2006/relationships/hyperlink" Target="https://link.springer.com/journal/41973" TargetMode="External"/><Relationship Id="rId149" Type="http://schemas.openxmlformats.org/officeDocument/2006/relationships/hyperlink" Target="https://link.springer.com/journal/44150" TargetMode="External"/><Relationship Id="rId356" Type="http://schemas.openxmlformats.org/officeDocument/2006/relationships/hyperlink" Target="https://link.springer.com/journal/10583" TargetMode="External"/><Relationship Id="rId563" Type="http://schemas.openxmlformats.org/officeDocument/2006/relationships/hyperlink" Target="https://link.springer.com/journal/12181" TargetMode="External"/><Relationship Id="rId770" Type="http://schemas.openxmlformats.org/officeDocument/2006/relationships/hyperlink" Target="https://link.springer.com/journal/11704" TargetMode="External"/><Relationship Id="rId1193" Type="http://schemas.openxmlformats.org/officeDocument/2006/relationships/hyperlink" Target="https://link.springer.com/journal/12040" TargetMode="External"/><Relationship Id="rId2037" Type="http://schemas.openxmlformats.org/officeDocument/2006/relationships/hyperlink" Target="https://link.springer.com/journal/11506" TargetMode="External"/><Relationship Id="rId216" Type="http://schemas.openxmlformats.org/officeDocument/2006/relationships/hyperlink" Target="https://link.springer.com/journal/10514" TargetMode="External"/><Relationship Id="rId423" Type="http://schemas.openxmlformats.org/officeDocument/2006/relationships/hyperlink" Target="https://link.springer.com/journal/10614" TargetMode="External"/><Relationship Id="rId868" Type="http://schemas.openxmlformats.org/officeDocument/2006/relationships/hyperlink" Target="https://link.springer.com/journal/41412" TargetMode="External"/><Relationship Id="rId1053" Type="http://schemas.openxmlformats.org/officeDocument/2006/relationships/hyperlink" Target="https://link.springer.com/journal/40998" TargetMode="External"/><Relationship Id="rId1260" Type="http://schemas.openxmlformats.org/officeDocument/2006/relationships/hyperlink" Target="https://link.springer.com/journal/11489" TargetMode="External"/><Relationship Id="rId1498" Type="http://schemas.openxmlformats.org/officeDocument/2006/relationships/hyperlink" Target="https://link.springer.com/journal/10987" TargetMode="External"/><Relationship Id="rId2104" Type="http://schemas.openxmlformats.org/officeDocument/2006/relationships/hyperlink" Target="https://link.springer.com/journal/12603" TargetMode="External"/><Relationship Id="rId630" Type="http://schemas.openxmlformats.org/officeDocument/2006/relationships/hyperlink" Target="https://link.springer.com/journal/202" TargetMode="External"/><Relationship Id="rId728" Type="http://schemas.openxmlformats.org/officeDocument/2006/relationships/hyperlink" Target="https://link.springer.com/journal/40799" TargetMode="External"/><Relationship Id="rId935" Type="http://schemas.openxmlformats.org/officeDocument/2006/relationships/hyperlink" Target="https://link.springer.com/journal/20" TargetMode="External"/><Relationship Id="rId1358" Type="http://schemas.openxmlformats.org/officeDocument/2006/relationships/hyperlink" Target="https://link.springer.com/journal/41348" TargetMode="External"/><Relationship Id="rId1565" Type="http://schemas.openxmlformats.org/officeDocument/2006/relationships/hyperlink" Target="https://link.springer.com/journal/13421" TargetMode="External"/><Relationship Id="rId1772" Type="http://schemas.openxmlformats.org/officeDocument/2006/relationships/hyperlink" Target="https://link.springer.com/journal/11101" TargetMode="External"/><Relationship Id="rId64" Type="http://schemas.openxmlformats.org/officeDocument/2006/relationships/hyperlink" Target="https://link.springer.com/journal/10437" TargetMode="External"/><Relationship Id="rId1120" Type="http://schemas.openxmlformats.org/officeDocument/2006/relationships/hyperlink" Target="https://link.springer.com/journal/40735" TargetMode="External"/><Relationship Id="rId1218" Type="http://schemas.openxmlformats.org/officeDocument/2006/relationships/hyperlink" Target="https://link.springer.com/journal/11447" TargetMode="External"/><Relationship Id="rId1425" Type="http://schemas.openxmlformats.org/officeDocument/2006/relationships/hyperlink" Target="https://link.springer.com/journal/10739" TargetMode="External"/><Relationship Id="rId1632" Type="http://schemas.openxmlformats.org/officeDocument/2006/relationships/hyperlink" Target="https://link.springer.com/journal/42493" TargetMode="External"/><Relationship Id="rId1937" Type="http://schemas.openxmlformats.org/officeDocument/2006/relationships/hyperlink" Target="https://link.springer.com/journal/11981" TargetMode="External"/><Relationship Id="rId2199" Type="http://schemas.openxmlformats.org/officeDocument/2006/relationships/hyperlink" Target="https://link.springer.com/journal/13157" TargetMode="External"/><Relationship Id="rId280" Type="http://schemas.openxmlformats.org/officeDocument/2006/relationships/hyperlink" Target="https://link.springer.com/journal/42770" TargetMode="External"/><Relationship Id="rId140" Type="http://schemas.openxmlformats.org/officeDocument/2006/relationships/hyperlink" Target="https://link.springer.com/journal/12061" TargetMode="External"/><Relationship Id="rId378" Type="http://schemas.openxmlformats.org/officeDocument/2006/relationships/hyperlink" Target="https://link.springer.com/journal/10584" TargetMode="External"/><Relationship Id="rId585" Type="http://schemas.openxmlformats.org/officeDocument/2006/relationships/hyperlink" Target="https://link.springer.com/journal/12591" TargetMode="External"/><Relationship Id="rId792" Type="http://schemas.openxmlformats.org/officeDocument/2006/relationships/hyperlink" Target="https://link.springer.com/journal/11748" TargetMode="External"/><Relationship Id="rId2059" Type="http://schemas.openxmlformats.org/officeDocument/2006/relationships/hyperlink" Target="https://link.springer.com/journal/11229" TargetMode="External"/><Relationship Id="rId6" Type="http://schemas.openxmlformats.org/officeDocument/2006/relationships/hyperlink" Target="https://link.springer.com/journal/42994" TargetMode="External"/><Relationship Id="rId238" Type="http://schemas.openxmlformats.org/officeDocument/2006/relationships/hyperlink" Target="https://link.springer.com/journal/10531" TargetMode="External"/><Relationship Id="rId445" Type="http://schemas.openxmlformats.org/officeDocument/2006/relationships/hyperlink" Target="https://link.springer.com/journal/40688" TargetMode="External"/><Relationship Id="rId652" Type="http://schemas.openxmlformats.org/officeDocument/2006/relationships/hyperlink" Target="https://link.springer.com/journal/10669" TargetMode="External"/><Relationship Id="rId1075" Type="http://schemas.openxmlformats.org/officeDocument/2006/relationships/hyperlink" Target="https://link.springer.com/journal/11837" TargetMode="External"/><Relationship Id="rId1282" Type="http://schemas.openxmlformats.org/officeDocument/2006/relationships/hyperlink" Target="https://link.springer.com/journal/10914" TargetMode="External"/><Relationship Id="rId2126" Type="http://schemas.openxmlformats.org/officeDocument/2006/relationships/hyperlink" Target="https://link.springer.com/journal/162" TargetMode="External"/><Relationship Id="rId305" Type="http://schemas.openxmlformats.org/officeDocument/2006/relationships/hyperlink" Target="https://link.springer.com/journal/41997" TargetMode="External"/><Relationship Id="rId512" Type="http://schemas.openxmlformats.org/officeDocument/2006/relationships/hyperlink" Target="https://link.springer.com/journal/40141" TargetMode="External"/><Relationship Id="rId957" Type="http://schemas.openxmlformats.org/officeDocument/2006/relationships/hyperlink" Target="https://link.springer.com/journal/11196" TargetMode="External"/><Relationship Id="rId1142" Type="http://schemas.openxmlformats.org/officeDocument/2006/relationships/hyperlink" Target="https://link.springer.com/journal/10886" TargetMode="External"/><Relationship Id="rId1587" Type="http://schemas.openxmlformats.org/officeDocument/2006/relationships/hyperlink" Target="https://link.springer.com/journal/11299" TargetMode="External"/><Relationship Id="rId1794" Type="http://schemas.openxmlformats.org/officeDocument/2006/relationships/hyperlink" Target="https://link.springer.com/journal/11109" TargetMode="External"/><Relationship Id="rId86" Type="http://schemas.openxmlformats.org/officeDocument/2006/relationships/hyperlink" Target="https://link.springer.com/journal/12230" TargetMode="External"/><Relationship Id="rId817" Type="http://schemas.openxmlformats.org/officeDocument/2006/relationships/hyperlink" Target="https://link.springer.com/journal/43477" TargetMode="External"/><Relationship Id="rId1002" Type="http://schemas.openxmlformats.org/officeDocument/2006/relationships/hyperlink" Target="https://link.springer.com/journal/41603" TargetMode="External"/><Relationship Id="rId1447" Type="http://schemas.openxmlformats.org/officeDocument/2006/relationships/hyperlink" Target="https://link.springer.com/journal/40477" TargetMode="External"/><Relationship Id="rId1654" Type="http://schemas.openxmlformats.org/officeDocument/2006/relationships/hyperlink" Target="https://link.springer.com/journal/11067" TargetMode="External"/><Relationship Id="rId1861" Type="http://schemas.openxmlformats.org/officeDocument/2006/relationships/hyperlink" Target="https://link.springer.com/journal/11137" TargetMode="External"/><Relationship Id="rId1307" Type="http://schemas.openxmlformats.org/officeDocument/2006/relationships/hyperlink" Target="https://link.springer.com/journal/12213" TargetMode="External"/><Relationship Id="rId1514" Type="http://schemas.openxmlformats.org/officeDocument/2006/relationships/hyperlink" Target="https://link.springer.com/journal/337" TargetMode="External"/><Relationship Id="rId1721" Type="http://schemas.openxmlformats.org/officeDocument/2006/relationships/hyperlink" Target="https://link.springer.com/journal/198" TargetMode="External"/><Relationship Id="rId1959" Type="http://schemas.openxmlformats.org/officeDocument/2006/relationships/hyperlink" Target="https://link.springer.com/journal/11430" TargetMode="External"/><Relationship Id="rId13" Type="http://schemas.openxmlformats.org/officeDocument/2006/relationships/hyperlink" Target="https://link.springer.com/journal/10441" TargetMode="External"/><Relationship Id="rId1819" Type="http://schemas.openxmlformats.org/officeDocument/2006/relationships/hyperlink" Target="https://link.springer.com/journal/40011" TargetMode="External"/><Relationship Id="rId2190" Type="http://schemas.openxmlformats.org/officeDocument/2006/relationships/hyperlink" Target="https://link.springer.com/journal/12649" TargetMode="External"/><Relationship Id="rId162" Type="http://schemas.openxmlformats.org/officeDocument/2006/relationships/hyperlink" Target="https://link.springer.com/journal/402" TargetMode="External"/><Relationship Id="rId467" Type="http://schemas.openxmlformats.org/officeDocument/2006/relationships/hyperlink" Target="https://link.springer.com/journal/11883" TargetMode="External"/><Relationship Id="rId1097" Type="http://schemas.openxmlformats.org/officeDocument/2006/relationships/hyperlink" Target="https://link.springer.com/journal/540" TargetMode="External"/><Relationship Id="rId2050" Type="http://schemas.openxmlformats.org/officeDocument/2006/relationships/hyperlink" Target="https://link.springer.com/journal/595" TargetMode="External"/><Relationship Id="rId2148" Type="http://schemas.openxmlformats.org/officeDocument/2006/relationships/hyperlink" Target="https://link.springer.com/journal/12666" TargetMode="External"/><Relationship Id="rId674" Type="http://schemas.openxmlformats.org/officeDocument/2006/relationships/hyperlink" Target="https://link.springer.com/journal/10677" TargetMode="External"/><Relationship Id="rId881" Type="http://schemas.openxmlformats.org/officeDocument/2006/relationships/hyperlink" Target="https://link.springer.com/journal/41463" TargetMode="External"/><Relationship Id="rId979" Type="http://schemas.openxmlformats.org/officeDocument/2006/relationships/hyperlink" Target="https://link.springer.com/journal/42803" TargetMode="External"/><Relationship Id="rId327" Type="http://schemas.openxmlformats.org/officeDocument/2006/relationships/hyperlink" Target="https://link.springer.com/journal/10569" TargetMode="External"/><Relationship Id="rId534" Type="http://schemas.openxmlformats.org/officeDocument/2006/relationships/hyperlink" Target="https://link.springer.com/journal/11864" TargetMode="External"/><Relationship Id="rId741" Type="http://schemas.openxmlformats.org/officeDocument/2006/relationships/hyperlink" Target="https://link.springer.com/journal/10694" TargetMode="External"/><Relationship Id="rId839" Type="http://schemas.openxmlformats.org/officeDocument/2006/relationships/hyperlink" Target="https://link.springer.com/journal/15012" TargetMode="External"/><Relationship Id="rId1164" Type="http://schemas.openxmlformats.org/officeDocument/2006/relationships/hyperlink" Target="https://link.springer.com/journal/42001" TargetMode="External"/><Relationship Id="rId1371" Type="http://schemas.openxmlformats.org/officeDocument/2006/relationships/hyperlink" Target="https://link.springer.com/journal/10935" TargetMode="External"/><Relationship Id="rId1469" Type="http://schemas.openxmlformats.org/officeDocument/2006/relationships/hyperlink" Target="https://link.springer.com/journal/10115" TargetMode="External"/><Relationship Id="rId2008" Type="http://schemas.openxmlformats.org/officeDocument/2006/relationships/hyperlink" Target="https://link.springer.com/journal/11219" TargetMode="External"/><Relationship Id="rId2215" Type="http://schemas.openxmlformats.org/officeDocument/2006/relationships/hyperlink" Target="https://link.springer.com/journal/11858" TargetMode="External"/><Relationship Id="rId601" Type="http://schemas.openxmlformats.org/officeDocument/2006/relationships/hyperlink" Target="https://link.springer.com/journal/10634" TargetMode="External"/><Relationship Id="rId1024" Type="http://schemas.openxmlformats.org/officeDocument/2006/relationships/hyperlink" Target="https://link.springer.com/journal/13296" TargetMode="External"/><Relationship Id="rId1231" Type="http://schemas.openxmlformats.org/officeDocument/2006/relationships/hyperlink" Target="https://link.springer.com/journal/41" TargetMode="External"/><Relationship Id="rId1676" Type="http://schemas.openxmlformats.org/officeDocument/2006/relationships/hyperlink" Target="https://link.springer.com/journal/354" TargetMode="External"/><Relationship Id="rId1883" Type="http://schemas.openxmlformats.org/officeDocument/2006/relationships/hyperlink" Target="https://link.springer.com/journal/40993" TargetMode="External"/><Relationship Id="rId906" Type="http://schemas.openxmlformats.org/officeDocument/2006/relationships/hyperlink" Target="https://link.springer.com/journal/13226" TargetMode="External"/><Relationship Id="rId1329" Type="http://schemas.openxmlformats.org/officeDocument/2006/relationships/hyperlink" Target="https://link.springer.com/journal/10919" TargetMode="External"/><Relationship Id="rId1536" Type="http://schemas.openxmlformats.org/officeDocument/2006/relationships/hyperlink" Target="https://link.springer.com/journal/12532" TargetMode="External"/><Relationship Id="rId1743" Type="http://schemas.openxmlformats.org/officeDocument/2006/relationships/hyperlink" Target="https://link.springer.com/journal/10998" TargetMode="External"/><Relationship Id="rId1950" Type="http://schemas.openxmlformats.org/officeDocument/2006/relationships/hyperlink" Target="https://link.springer.com/journal/42797" TargetMode="External"/><Relationship Id="rId35" Type="http://schemas.openxmlformats.org/officeDocument/2006/relationships/hyperlink" Target="https://link.springer.com/journal/11738" TargetMode="External"/><Relationship Id="rId1603" Type="http://schemas.openxmlformats.org/officeDocument/2006/relationships/hyperlink" Target="https://link.springer.com/journal/11033" TargetMode="External"/><Relationship Id="rId1810" Type="http://schemas.openxmlformats.org/officeDocument/2006/relationships/hyperlink" Target="https://link.springer.com/journal/11119" TargetMode="External"/><Relationship Id="rId184" Type="http://schemas.openxmlformats.org/officeDocument/2006/relationships/hyperlink" Target="https://link.springer.com/journal/11417" TargetMode="External"/><Relationship Id="rId391" Type="http://schemas.openxmlformats.org/officeDocument/2006/relationships/hyperlink" Target="https://link.springer.com/journal/12016" TargetMode="External"/><Relationship Id="rId1908" Type="http://schemas.openxmlformats.org/officeDocument/2006/relationships/hyperlink" Target="https://link.springer.com/journal/11160" TargetMode="External"/><Relationship Id="rId2072" Type="http://schemas.openxmlformats.org/officeDocument/2006/relationships/hyperlink" Target="https://link.springer.com/journal/41208" TargetMode="External"/><Relationship Id="rId251" Type="http://schemas.openxmlformats.org/officeDocument/2006/relationships/hyperlink" Target="https://link.springer.com/journal/13335" TargetMode="External"/><Relationship Id="rId489" Type="http://schemas.openxmlformats.org/officeDocument/2006/relationships/hyperlink" Target="https://link.springer.com/journal/11897" TargetMode="External"/><Relationship Id="rId696" Type="http://schemas.openxmlformats.org/officeDocument/2006/relationships/hyperlink" Target="https://link.springer.com/journal/228" TargetMode="External"/><Relationship Id="rId349" Type="http://schemas.openxmlformats.org/officeDocument/2006/relationships/hyperlink" Target="https://link.springer.com/journal/49" TargetMode="External"/><Relationship Id="rId556" Type="http://schemas.openxmlformats.org/officeDocument/2006/relationships/hyperlink" Target="https://link.springer.com/journal/11428" TargetMode="External"/><Relationship Id="rId763" Type="http://schemas.openxmlformats.org/officeDocument/2006/relationships/hyperlink" Target="https://link.springer.com/journal/451" TargetMode="External"/><Relationship Id="rId1186" Type="http://schemas.openxmlformats.org/officeDocument/2006/relationships/hyperlink" Target="https://link.springer.com/journal/42240" TargetMode="External"/><Relationship Id="rId1393" Type="http://schemas.openxmlformats.org/officeDocument/2006/relationships/hyperlink" Target="https://link.springer.com/journal/10946" TargetMode="External"/><Relationship Id="rId2237" Type="http://schemas.openxmlformats.org/officeDocument/2006/relationships/hyperlink" Target="https://link.springer.com/journal/435" TargetMode="External"/><Relationship Id="rId111" Type="http://schemas.openxmlformats.org/officeDocument/2006/relationships/hyperlink" Target="https://link.springer.com/journal/40818" TargetMode="External"/><Relationship Id="rId209" Type="http://schemas.openxmlformats.org/officeDocument/2006/relationships/hyperlink" Target="https://link.springer.com/journal/10515" TargetMode="External"/><Relationship Id="rId416" Type="http://schemas.openxmlformats.org/officeDocument/2006/relationships/hyperlink" Target="https://link.springer.com/journal/580" TargetMode="External"/><Relationship Id="rId970" Type="http://schemas.openxmlformats.org/officeDocument/2006/relationships/hyperlink" Target="https://link.springer.com/journal/41811" TargetMode="External"/><Relationship Id="rId1046" Type="http://schemas.openxmlformats.org/officeDocument/2006/relationships/hyperlink" Target="https://link.springer.com/journal/11255" TargetMode="External"/><Relationship Id="rId1253" Type="http://schemas.openxmlformats.org/officeDocument/2006/relationships/hyperlink" Target="https://link.springer.com/journal/12308" TargetMode="External"/><Relationship Id="rId1698" Type="http://schemas.openxmlformats.org/officeDocument/2006/relationships/hyperlink" Target="https://link.springer.com/journal/12351" TargetMode="External"/><Relationship Id="rId623" Type="http://schemas.openxmlformats.org/officeDocument/2006/relationships/hyperlink" Target="https://link.springer.com/journal/10639" TargetMode="External"/><Relationship Id="rId830" Type="http://schemas.openxmlformats.org/officeDocument/2006/relationships/hyperlink" Target="https://link.springer.com/journal/12267" TargetMode="External"/><Relationship Id="rId928" Type="http://schemas.openxmlformats.org/officeDocument/2006/relationships/hyperlink" Target="https://link.springer.com/journal/10755" TargetMode="External"/><Relationship Id="rId1460" Type="http://schemas.openxmlformats.org/officeDocument/2006/relationships/hyperlink" Target="https://link.springer.com/journal/42439" TargetMode="External"/><Relationship Id="rId1558" Type="http://schemas.openxmlformats.org/officeDocument/2006/relationships/hyperlink" Target="https://link.springer.com/journal/42990" TargetMode="External"/><Relationship Id="rId1765" Type="http://schemas.openxmlformats.org/officeDocument/2006/relationships/hyperlink" Target="https://link.springer.com/journal/16" TargetMode="External"/><Relationship Id="rId57" Type="http://schemas.openxmlformats.org/officeDocument/2006/relationships/hyperlink" Target="https://link.springer.com/journal/10" TargetMode="External"/><Relationship Id="rId1113" Type="http://schemas.openxmlformats.org/officeDocument/2006/relationships/hyperlink" Target="https://link.springer.com/journal/10874" TargetMode="External"/><Relationship Id="rId1320" Type="http://schemas.openxmlformats.org/officeDocument/2006/relationships/hyperlink" Target="https://link.springer.com/journal/40620" TargetMode="External"/><Relationship Id="rId1418" Type="http://schemas.openxmlformats.org/officeDocument/2006/relationships/hyperlink" Target="https://link.springer.com/journal/41347" TargetMode="External"/><Relationship Id="rId1972" Type="http://schemas.openxmlformats.org/officeDocument/2006/relationships/hyperlink" Target="https://link.springer.com/journal/233" TargetMode="External"/><Relationship Id="rId1625" Type="http://schemas.openxmlformats.org/officeDocument/2006/relationships/hyperlink" Target="https://link.springer.com/journal/35146" TargetMode="External"/><Relationship Id="rId1832" Type="http://schemas.openxmlformats.org/officeDocument/2006/relationships/hyperlink" Target="https://link.springer.com/journal/12207" TargetMode="External"/><Relationship Id="rId2094" Type="http://schemas.openxmlformats.org/officeDocument/2006/relationships/hyperlink" Target="https://link.springer.com/journal/40318" TargetMode="External"/><Relationship Id="rId273" Type="http://schemas.openxmlformats.org/officeDocument/2006/relationships/hyperlink" Target="https://link.springer.com/journal/10546" TargetMode="External"/><Relationship Id="rId480" Type="http://schemas.openxmlformats.org/officeDocument/2006/relationships/hyperlink" Target="https://link.springer.com/journal/40138" TargetMode="External"/><Relationship Id="rId2161" Type="http://schemas.openxmlformats.org/officeDocument/2006/relationships/hyperlink" Target="https://link.springer.com/journal/468" TargetMode="External"/><Relationship Id="rId133" Type="http://schemas.openxmlformats.org/officeDocument/2006/relationships/hyperlink" Target="https://link.springer.com/journal/253" TargetMode="External"/><Relationship Id="rId340" Type="http://schemas.openxmlformats.org/officeDocument/2006/relationships/hyperlink" Target="https://link.springer.com/journal/10100" TargetMode="External"/><Relationship Id="rId578" Type="http://schemas.openxmlformats.org/officeDocument/2006/relationships/hyperlink" Target="https://link.springer.com/journal/41245" TargetMode="External"/><Relationship Id="rId785" Type="http://schemas.openxmlformats.org/officeDocument/2006/relationships/hyperlink" Target="https://link.springer.com/journal/10700" TargetMode="External"/><Relationship Id="rId992" Type="http://schemas.openxmlformats.org/officeDocument/2006/relationships/hyperlink" Target="https://link.springer.com/journal/40891" TargetMode="External"/><Relationship Id="rId2021" Type="http://schemas.openxmlformats.org/officeDocument/2006/relationships/hyperlink" Target="https://link.springer.com/journal/717" TargetMode="External"/><Relationship Id="rId200" Type="http://schemas.openxmlformats.org/officeDocument/2006/relationships/hyperlink" Target="https://link.springer.com/journal/10512" TargetMode="External"/><Relationship Id="rId438" Type="http://schemas.openxmlformats.org/officeDocument/2006/relationships/hyperlink" Target="https://link.springer.com/journal/10601" TargetMode="External"/><Relationship Id="rId645" Type="http://schemas.openxmlformats.org/officeDocument/2006/relationships/hyperlink" Target="https://link.springer.com/journal/12053" TargetMode="External"/><Relationship Id="rId852" Type="http://schemas.openxmlformats.org/officeDocument/2006/relationships/hyperlink" Target="https://link.springer.com/journal/16024" TargetMode="External"/><Relationship Id="rId1068" Type="http://schemas.openxmlformats.org/officeDocument/2006/relationships/hyperlink" Target="https://link.springer.com/journal/11604" TargetMode="External"/><Relationship Id="rId1275" Type="http://schemas.openxmlformats.org/officeDocument/2006/relationships/hyperlink" Target="https://link.springer.com/journal/12134" TargetMode="External"/><Relationship Id="rId1482" Type="http://schemas.openxmlformats.org/officeDocument/2006/relationships/hyperlink" Target="https://link.springer.com/journal/10579" TargetMode="External"/><Relationship Id="rId2119" Type="http://schemas.openxmlformats.org/officeDocument/2006/relationships/hyperlink" Target="https://link.springer.com/journal/12626" TargetMode="External"/><Relationship Id="rId505" Type="http://schemas.openxmlformats.org/officeDocument/2006/relationships/hyperlink" Target="https://link.springer.com/journal/40496" TargetMode="External"/><Relationship Id="rId712" Type="http://schemas.openxmlformats.org/officeDocument/2006/relationships/hyperlink" Target="https://link.springer.com/journal/10610" TargetMode="External"/><Relationship Id="rId1135" Type="http://schemas.openxmlformats.org/officeDocument/2006/relationships/hyperlink" Target="https://link.springer.com/journal/13187" TargetMode="External"/><Relationship Id="rId1342" Type="http://schemas.openxmlformats.org/officeDocument/2006/relationships/hyperlink" Target="https://link.springer.com/journal/41783" TargetMode="External"/><Relationship Id="rId1787" Type="http://schemas.openxmlformats.org/officeDocument/2006/relationships/hyperlink" Target="https://link.springer.com/journal/425" TargetMode="External"/><Relationship Id="rId1994" Type="http://schemas.openxmlformats.org/officeDocument/2006/relationships/hyperlink" Target="https://link.springer.com/journal/43546" TargetMode="External"/><Relationship Id="rId79" Type="http://schemas.openxmlformats.org/officeDocument/2006/relationships/hyperlink" Target="https://link.springer.com/journal/453" TargetMode="External"/><Relationship Id="rId1202" Type="http://schemas.openxmlformats.org/officeDocument/2006/relationships/hyperlink" Target="https://link.springer.com/journal/10659" TargetMode="External"/><Relationship Id="rId1647" Type="http://schemas.openxmlformats.org/officeDocument/2006/relationships/hyperlink" Target="https://link.springer.com/journal/11053" TargetMode="External"/><Relationship Id="rId1854" Type="http://schemas.openxmlformats.org/officeDocument/2006/relationships/hyperlink" Target="https://link.springer.com/journal/11128" TargetMode="External"/><Relationship Id="rId1507" Type="http://schemas.openxmlformats.org/officeDocument/2006/relationships/hyperlink" Target="https://link.springer.com/journal/13233" TargetMode="External"/><Relationship Id="rId1714" Type="http://schemas.openxmlformats.org/officeDocument/2006/relationships/hyperlink" Target="https://link.springer.com/journal/11083" TargetMode="External"/><Relationship Id="rId295" Type="http://schemas.openxmlformats.org/officeDocument/2006/relationships/hyperlink" Target="https://link.springer.com/journal/11953" TargetMode="External"/><Relationship Id="rId1921" Type="http://schemas.openxmlformats.org/officeDocument/2006/relationships/hyperlink" Target="https://link.springer.com/journal/11172" TargetMode="External"/><Relationship Id="rId2183" Type="http://schemas.openxmlformats.org/officeDocument/2006/relationships/hyperlink" Target="https://link.springer.com/journal/11259" TargetMode="External"/><Relationship Id="rId155" Type="http://schemas.openxmlformats.org/officeDocument/2006/relationships/hyperlink" Target="https://link.springer.com/journal/419" TargetMode="External"/><Relationship Id="rId362" Type="http://schemas.openxmlformats.org/officeDocument/2006/relationships/hyperlink" Target="https://link.springer.com/journal/12689" TargetMode="External"/><Relationship Id="rId1297" Type="http://schemas.openxmlformats.org/officeDocument/2006/relationships/hyperlink" Target="https://link.springer.com/journal/10857" TargetMode="External"/><Relationship Id="rId2043" Type="http://schemas.openxmlformats.org/officeDocument/2006/relationships/hyperlink" Target="https://link.springer.com/journal/12116" TargetMode="External"/><Relationship Id="rId222" Type="http://schemas.openxmlformats.org/officeDocument/2006/relationships/hyperlink" Target="https://link.springer.com/journal/10519" TargetMode="External"/><Relationship Id="rId667" Type="http://schemas.openxmlformats.org/officeDocument/2006/relationships/hyperlink" Target="https://link.springer.com/journal/42398" TargetMode="External"/><Relationship Id="rId874" Type="http://schemas.openxmlformats.org/officeDocument/2006/relationships/hyperlink" Target="https://link.springer.com/journal/41314" TargetMode="External"/><Relationship Id="rId2110" Type="http://schemas.openxmlformats.org/officeDocument/2006/relationships/hyperlink" Target="https://link.springer.com/journal/40295" TargetMode="External"/><Relationship Id="rId527" Type="http://schemas.openxmlformats.org/officeDocument/2006/relationships/hyperlink" Target="https://link.springer.com/journal/40472" TargetMode="External"/><Relationship Id="rId734" Type="http://schemas.openxmlformats.org/officeDocument/2006/relationships/hyperlink" Target="https://link.springer.com/journal/10689" TargetMode="External"/><Relationship Id="rId941" Type="http://schemas.openxmlformats.org/officeDocument/2006/relationships/hyperlink" Target="https://link.springer.com/journal/10780" TargetMode="External"/><Relationship Id="rId1157" Type="http://schemas.openxmlformats.org/officeDocument/2006/relationships/hyperlink" Target="https://link.springer.com/journal/11487" TargetMode="External"/><Relationship Id="rId1364" Type="http://schemas.openxmlformats.org/officeDocument/2006/relationships/hyperlink" Target="https://link.springer.com/journal/10965" TargetMode="External"/><Relationship Id="rId1571" Type="http://schemas.openxmlformats.org/officeDocument/2006/relationships/hyperlink" Target="https://link.springer.com/journal/11661" TargetMode="External"/><Relationship Id="rId2208" Type="http://schemas.openxmlformats.org/officeDocument/2006/relationships/hyperlink" Target="https://link.springer.com/journal/13437" TargetMode="External"/><Relationship Id="rId70" Type="http://schemas.openxmlformats.org/officeDocument/2006/relationships/hyperlink" Target="https://link.springer.com/journal/13593" TargetMode="External"/><Relationship Id="rId801" Type="http://schemas.openxmlformats.org/officeDocument/2006/relationships/hyperlink" Target="https://link.springer.com/journal/10707" TargetMode="External"/><Relationship Id="rId1017" Type="http://schemas.openxmlformats.org/officeDocument/2006/relationships/hyperlink" Target="https://link.springer.com/journal/40684" TargetMode="External"/><Relationship Id="rId1224" Type="http://schemas.openxmlformats.org/officeDocument/2006/relationships/hyperlink" Target="https://link.springer.com/journal/11784" TargetMode="External"/><Relationship Id="rId1431" Type="http://schemas.openxmlformats.org/officeDocument/2006/relationships/hyperlink" Target="https://link.springer.com/journal/40031" TargetMode="External"/><Relationship Id="rId1669" Type="http://schemas.openxmlformats.org/officeDocument/2006/relationships/hyperlink" Target="https://link.springer.com/journal/234" TargetMode="External"/><Relationship Id="rId1876" Type="http://schemas.openxmlformats.org/officeDocument/2006/relationships/hyperlink" Target="https://link.springer.com/journal/12215" TargetMode="External"/><Relationship Id="rId1529" Type="http://schemas.openxmlformats.org/officeDocument/2006/relationships/hyperlink" Target="https://link.springer.com/journal/11004" TargetMode="External"/><Relationship Id="rId1736" Type="http://schemas.openxmlformats.org/officeDocument/2006/relationships/hyperlink" Target="https://link.springer.com/journal/11493" TargetMode="External"/><Relationship Id="rId1943" Type="http://schemas.openxmlformats.org/officeDocument/2006/relationships/hyperlink" Target="https://link.springer.com/journal/11185" TargetMode="External"/><Relationship Id="rId28" Type="http://schemas.openxmlformats.org/officeDocument/2006/relationships/hyperlink" Target="https://link.springer.com/journal/10338" TargetMode="External"/><Relationship Id="rId1803" Type="http://schemas.openxmlformats.org/officeDocument/2006/relationships/hyperlink" Target="https://link.springer.com/journal/42438" TargetMode="External"/><Relationship Id="rId177" Type="http://schemas.openxmlformats.org/officeDocument/2006/relationships/hyperlink" Target="https://link.springer.com/journal/10308" TargetMode="External"/><Relationship Id="rId384" Type="http://schemas.openxmlformats.org/officeDocument/2006/relationships/hyperlink" Target="https://link.springer.com/journal/10286" TargetMode="External"/><Relationship Id="rId591" Type="http://schemas.openxmlformats.org/officeDocument/2006/relationships/hyperlink" Target="https://link.springer.com/journal/10626" TargetMode="External"/><Relationship Id="rId2065" Type="http://schemas.openxmlformats.org/officeDocument/2006/relationships/hyperlink" Target="https://link.springer.com/journal/10151" TargetMode="External"/><Relationship Id="rId244" Type="http://schemas.openxmlformats.org/officeDocument/2006/relationships/hyperlink" Target="https://link.springer.com/journal/422" TargetMode="External"/><Relationship Id="rId689" Type="http://schemas.openxmlformats.org/officeDocument/2006/relationships/hyperlink" Target="https://link.springer.com/journal/40698" TargetMode="External"/><Relationship Id="rId896" Type="http://schemas.openxmlformats.org/officeDocument/2006/relationships/hyperlink" Target="https://link.springer.com/journal/40098" TargetMode="External"/><Relationship Id="rId1081" Type="http://schemas.openxmlformats.org/officeDocument/2006/relationships/hyperlink" Target="https://link.springer.com/journal/41974" TargetMode="External"/><Relationship Id="rId451" Type="http://schemas.openxmlformats.org/officeDocument/2006/relationships/hyperlink" Target="https://link.springer.com/journal/338" TargetMode="External"/><Relationship Id="rId549" Type="http://schemas.openxmlformats.org/officeDocument/2006/relationships/hyperlink" Target="https://link.springer.com/journal/13222" TargetMode="External"/><Relationship Id="rId756" Type="http://schemas.openxmlformats.org/officeDocument/2006/relationships/hyperlink" Target="https://link.springer.com/journal/12571" TargetMode="External"/><Relationship Id="rId1179" Type="http://schemas.openxmlformats.org/officeDocument/2006/relationships/hyperlink" Target="https://link.springer.com/journal/13389" TargetMode="External"/><Relationship Id="rId1386" Type="http://schemas.openxmlformats.org/officeDocument/2006/relationships/hyperlink" Target="https://link.springer.com/journal/40860" TargetMode="External"/><Relationship Id="rId1593" Type="http://schemas.openxmlformats.org/officeDocument/2006/relationships/hyperlink" Target="https://link.springer.com/journal/710" TargetMode="External"/><Relationship Id="rId2132" Type="http://schemas.openxmlformats.org/officeDocument/2006/relationships/hyperlink" Target="https://link.springer.com/journal/11236" TargetMode="External"/><Relationship Id="rId104" Type="http://schemas.openxmlformats.org/officeDocument/2006/relationships/hyperlink" Target="https://link.springer.com/journal/10436" TargetMode="External"/><Relationship Id="rId311" Type="http://schemas.openxmlformats.org/officeDocument/2006/relationships/hyperlink" Target="https://link.springer.com/journal/262" TargetMode="External"/><Relationship Id="rId409" Type="http://schemas.openxmlformats.org/officeDocument/2006/relationships/hyperlink" Target="https://link.springer.com/journal/493" TargetMode="External"/><Relationship Id="rId963" Type="http://schemas.openxmlformats.org/officeDocument/2006/relationships/hyperlink" Target="https://link.springer.com/journal/12239" TargetMode="External"/><Relationship Id="rId1039" Type="http://schemas.openxmlformats.org/officeDocument/2006/relationships/hyperlink" Target="https://link.springer.com/journal/10792" TargetMode="External"/><Relationship Id="rId1246" Type="http://schemas.openxmlformats.org/officeDocument/2006/relationships/hyperlink" Target="https://link.springer.com/journal/40497" TargetMode="External"/><Relationship Id="rId1898" Type="http://schemas.openxmlformats.org/officeDocument/2006/relationships/hyperlink" Target="https://link.springer.com/journal/11151" TargetMode="External"/><Relationship Id="rId92" Type="http://schemas.openxmlformats.org/officeDocument/2006/relationships/hyperlink" Target="https://link.springer.com/journal/216" TargetMode="External"/><Relationship Id="rId616" Type="http://schemas.openxmlformats.org/officeDocument/2006/relationships/hyperlink" Target="https://link.springer.com/journal/10644" TargetMode="External"/><Relationship Id="rId823" Type="http://schemas.openxmlformats.org/officeDocument/2006/relationships/hyperlink" Target="https://link.springer.com/journal/13404" TargetMode="External"/><Relationship Id="rId1453" Type="http://schemas.openxmlformats.org/officeDocument/2006/relationships/hyperlink" Target="https://link.springer.com/journal/10963" TargetMode="External"/><Relationship Id="rId1660" Type="http://schemas.openxmlformats.org/officeDocument/2006/relationships/hyperlink" Target="https://link.springer.com/journal/12028" TargetMode="External"/><Relationship Id="rId1758" Type="http://schemas.openxmlformats.org/officeDocument/2006/relationships/hyperlink" Target="https://link.springer.com/journal/13347" TargetMode="External"/><Relationship Id="rId1106" Type="http://schemas.openxmlformats.org/officeDocument/2006/relationships/hyperlink" Target="https://link.springer.com/journal/43151" TargetMode="External"/><Relationship Id="rId1313" Type="http://schemas.openxmlformats.org/officeDocument/2006/relationships/hyperlink" Target="https://link.springer.com/journal/894" TargetMode="External"/><Relationship Id="rId1520" Type="http://schemas.openxmlformats.org/officeDocument/2006/relationships/hyperlink" Target="https://link.springer.com/journal/11001" TargetMode="External"/><Relationship Id="rId1965" Type="http://schemas.openxmlformats.org/officeDocument/2006/relationships/hyperlink" Target="https://link.springer.com/journal/11431" TargetMode="External"/><Relationship Id="rId1618" Type="http://schemas.openxmlformats.org/officeDocument/2006/relationships/hyperlink" Target="https://link.springer.com/journal/11968" TargetMode="External"/><Relationship Id="rId1825" Type="http://schemas.openxmlformats.org/officeDocument/2006/relationships/hyperlink" Target="https://link.springer.com/journal/40964" TargetMode="External"/><Relationship Id="rId199" Type="http://schemas.openxmlformats.org/officeDocument/2006/relationships/hyperlink" Target="https://link.springer.com/journal/12605" TargetMode="External"/><Relationship Id="rId2087" Type="http://schemas.openxmlformats.org/officeDocument/2006/relationships/hyperlink" Target="https://link.springer.com/journal/13129" TargetMode="External"/><Relationship Id="rId266" Type="http://schemas.openxmlformats.org/officeDocument/2006/relationships/hyperlink" Target="https://link.springer.com/journal/12304" TargetMode="External"/><Relationship Id="rId473" Type="http://schemas.openxmlformats.org/officeDocument/2006/relationships/hyperlink" Target="https://link.springer.com/journal/12170" TargetMode="External"/><Relationship Id="rId680" Type="http://schemas.openxmlformats.org/officeDocument/2006/relationships/hyperlink" Target="https://link.springer.com/journal/11475" TargetMode="External"/><Relationship Id="rId2154" Type="http://schemas.openxmlformats.org/officeDocument/2006/relationships/hyperlink" Target="https://link.springer.com/journal/11243" TargetMode="External"/><Relationship Id="rId126" Type="http://schemas.openxmlformats.org/officeDocument/2006/relationships/hyperlink" Target="https://link.springer.com/journal/12518" TargetMode="External"/><Relationship Id="rId333" Type="http://schemas.openxmlformats.org/officeDocument/2006/relationships/hyperlink" Target="https://link.springer.com/journal/12192" TargetMode="External"/><Relationship Id="rId540" Type="http://schemas.openxmlformats.org/officeDocument/2006/relationships/hyperlink" Target="https://link.springer.com/journal/41297" TargetMode="External"/><Relationship Id="rId778" Type="http://schemas.openxmlformats.org/officeDocument/2006/relationships/hyperlink" Target="https://link.springer.com/journal/11684" TargetMode="External"/><Relationship Id="rId985" Type="http://schemas.openxmlformats.org/officeDocument/2006/relationships/hyperlink" Target="https://link.springer.com/journal/42108" TargetMode="External"/><Relationship Id="rId1170" Type="http://schemas.openxmlformats.org/officeDocument/2006/relationships/hyperlink" Target="https://link.springer.com/journal/12528" TargetMode="External"/><Relationship Id="rId2014" Type="http://schemas.openxmlformats.org/officeDocument/2006/relationships/hyperlink" Target="https://link.springer.com/journal/11818" TargetMode="External"/><Relationship Id="rId2221" Type="http://schemas.openxmlformats.org/officeDocument/2006/relationships/hyperlink" Target="https://link.springer.com/journal/12297" TargetMode="External"/><Relationship Id="rId638" Type="http://schemas.openxmlformats.org/officeDocument/2006/relationships/hyperlink" Target="https://link.springer.com/journal/40825" TargetMode="External"/><Relationship Id="rId845" Type="http://schemas.openxmlformats.org/officeDocument/2006/relationships/hyperlink" Target="https://link.springer.com/journal/10742" TargetMode="External"/><Relationship Id="rId1030" Type="http://schemas.openxmlformats.org/officeDocument/2006/relationships/hyperlink" Target="https://link.springer.com/journal/10765" TargetMode="External"/><Relationship Id="rId1268" Type="http://schemas.openxmlformats.org/officeDocument/2006/relationships/hyperlink" Target="https://link.springer.com/journal/10904" TargetMode="External"/><Relationship Id="rId1475" Type="http://schemas.openxmlformats.org/officeDocument/2006/relationships/hyperlink" Target="https://link.springer.com/journal/11547" TargetMode="External"/><Relationship Id="rId1682" Type="http://schemas.openxmlformats.org/officeDocument/2006/relationships/hyperlink" Target="https://link.springer.com/journal/13139" TargetMode="External"/><Relationship Id="rId400" Type="http://schemas.openxmlformats.org/officeDocument/2006/relationships/hyperlink" Target="https://link.springer.com/journal/11571" TargetMode="External"/><Relationship Id="rId705" Type="http://schemas.openxmlformats.org/officeDocument/2006/relationships/hyperlink" Target="https://link.springer.com/journal/431" TargetMode="External"/><Relationship Id="rId1128" Type="http://schemas.openxmlformats.org/officeDocument/2006/relationships/hyperlink" Target="https://link.springer.com/journal/42853" TargetMode="External"/><Relationship Id="rId1335" Type="http://schemas.openxmlformats.org/officeDocument/2006/relationships/hyperlink" Target="https://link.springer.com/journal/343" TargetMode="External"/><Relationship Id="rId1542" Type="http://schemas.openxmlformats.org/officeDocument/2006/relationships/hyperlink" Target="https://link.springer.com/journal/208" TargetMode="External"/><Relationship Id="rId1987" Type="http://schemas.openxmlformats.org/officeDocument/2006/relationships/hyperlink" Target="https://link.springer.com/journal/12633" TargetMode="External"/><Relationship Id="rId912" Type="http://schemas.openxmlformats.org/officeDocument/2006/relationships/hyperlink" Target="https://link.springer.com/journal/15010" TargetMode="External"/><Relationship Id="rId1847" Type="http://schemas.openxmlformats.org/officeDocument/2006/relationships/hyperlink" Target="https://link.springer.com/journal/11302" TargetMode="External"/><Relationship Id="rId41" Type="http://schemas.openxmlformats.org/officeDocument/2006/relationships/hyperlink" Target="https://link.springer.com/journal/10450" TargetMode="External"/><Relationship Id="rId1402" Type="http://schemas.openxmlformats.org/officeDocument/2006/relationships/hyperlink" Target="https://link.springer.com/journal/40847" TargetMode="External"/><Relationship Id="rId1707" Type="http://schemas.openxmlformats.org/officeDocument/2006/relationships/hyperlink" Target="https://link.springer.com/journal/11081" TargetMode="External"/><Relationship Id="rId190" Type="http://schemas.openxmlformats.org/officeDocument/2006/relationships/hyperlink" Target="https://link.springer.com/journal/11943" TargetMode="External"/><Relationship Id="rId288" Type="http://schemas.openxmlformats.org/officeDocument/2006/relationships/hyperlink" Target="https://link.springer.com/journal/10064" TargetMode="External"/><Relationship Id="rId1914" Type="http://schemas.openxmlformats.org/officeDocument/2006/relationships/hyperlink" Target="https://link.springer.com/journal/397" TargetMode="External"/><Relationship Id="rId495" Type="http://schemas.openxmlformats.org/officeDocument/2006/relationships/hyperlink" Target="https://link.springer.com/journal/40823" TargetMode="External"/><Relationship Id="rId2176" Type="http://schemas.openxmlformats.org/officeDocument/2006/relationships/hyperlink" Target="https://link.springer.com/journal/240" TargetMode="External"/><Relationship Id="rId148" Type="http://schemas.openxmlformats.org/officeDocument/2006/relationships/hyperlink" Target="https://link.springer.com/journal/11759" TargetMode="External"/><Relationship Id="rId355" Type="http://schemas.openxmlformats.org/officeDocument/2006/relationships/hyperlink" Target="https://link.springer.com/journal/10578" TargetMode="External"/><Relationship Id="rId562" Type="http://schemas.openxmlformats.org/officeDocument/2006/relationships/hyperlink" Target="https://link.springer.com/journal/13279" TargetMode="External"/><Relationship Id="rId1192" Type="http://schemas.openxmlformats.org/officeDocument/2006/relationships/hyperlink" Target="https://link.springer.com/journal/12583" TargetMode="External"/><Relationship Id="rId2036" Type="http://schemas.openxmlformats.org/officeDocument/2006/relationships/hyperlink" Target="https://link.springer.com/journal/66" TargetMode="External"/><Relationship Id="rId215" Type="http://schemas.openxmlformats.org/officeDocument/2006/relationships/hyperlink" Target="https://link.springer.com/journal/10458" TargetMode="External"/><Relationship Id="rId422" Type="http://schemas.openxmlformats.org/officeDocument/2006/relationships/hyperlink" Target="https://link.springer.com/journal/37" TargetMode="External"/><Relationship Id="rId867" Type="http://schemas.openxmlformats.org/officeDocument/2006/relationships/hyperlink" Target="https://link.springer.com/journal/60" TargetMode="External"/><Relationship Id="rId1052" Type="http://schemas.openxmlformats.org/officeDocument/2006/relationships/hyperlink" Target="https://link.springer.com/journal/40996" TargetMode="External"/><Relationship Id="rId1497" Type="http://schemas.openxmlformats.org/officeDocument/2006/relationships/hyperlink" Target="https://link.springer.com/journal/41025" TargetMode="External"/><Relationship Id="rId2103" Type="http://schemas.openxmlformats.org/officeDocument/2006/relationships/hyperlink" Target="https://link.springer.com/journal/232" TargetMode="External"/><Relationship Id="rId727" Type="http://schemas.openxmlformats.org/officeDocument/2006/relationships/hyperlink" Target="https://link.springer.com/journal/11340" TargetMode="External"/><Relationship Id="rId934" Type="http://schemas.openxmlformats.org/officeDocument/2006/relationships/hyperlink" Target="https://link.springer.com/journal/10786" TargetMode="External"/><Relationship Id="rId1357" Type="http://schemas.openxmlformats.org/officeDocument/2006/relationships/hyperlink" Target="https://link.springer.com/journal/12374" TargetMode="External"/><Relationship Id="rId1564" Type="http://schemas.openxmlformats.org/officeDocument/2006/relationships/hyperlink" Target="https://link.springer.com/journal/12254" TargetMode="External"/><Relationship Id="rId1771" Type="http://schemas.openxmlformats.org/officeDocument/2006/relationships/hyperlink" Target="https://link.springer.com/journal/12298" TargetMode="External"/><Relationship Id="rId63" Type="http://schemas.openxmlformats.org/officeDocument/2006/relationships/hyperlink" Target="https://link.springer.com/journal/42761" TargetMode="External"/><Relationship Id="rId1217" Type="http://schemas.openxmlformats.org/officeDocument/2006/relationships/hyperlink" Target="https://link.springer.com/journal/191" TargetMode="External"/><Relationship Id="rId1424" Type="http://schemas.openxmlformats.org/officeDocument/2006/relationships/hyperlink" Target="https://link.springer.com/journal/12594" TargetMode="External"/><Relationship Id="rId1631" Type="http://schemas.openxmlformats.org/officeDocument/2006/relationships/hyperlink" Target="https://link.springer.com/journal/41939" TargetMode="External"/><Relationship Id="rId1869" Type="http://schemas.openxmlformats.org/officeDocument/2006/relationships/hyperlink" Target="https://link.springer.com/journal/194" TargetMode="External"/><Relationship Id="rId1729" Type="http://schemas.openxmlformats.org/officeDocument/2006/relationships/hyperlink" Target="https://link.springer.com/journal/12549" TargetMode="External"/><Relationship Id="rId1936" Type="http://schemas.openxmlformats.org/officeDocument/2006/relationships/hyperlink" Target="https://link.springer.com/journal/11181" TargetMode="External"/><Relationship Id="rId2198" Type="http://schemas.openxmlformats.org/officeDocument/2006/relationships/hyperlink" Target="https://link.springer.com/journal/40194" TargetMode="External"/><Relationship Id="rId377" Type="http://schemas.openxmlformats.org/officeDocument/2006/relationships/hyperlink" Target="https://link.springer.com/journal/382" TargetMode="External"/><Relationship Id="rId584" Type="http://schemas.openxmlformats.org/officeDocument/2006/relationships/hyperlink" Target="https://link.springer.com/journal/10625" TargetMode="External"/><Relationship Id="rId2058" Type="http://schemas.openxmlformats.org/officeDocument/2006/relationships/hyperlink" Target="https://link.springer.com/journal/13199" TargetMode="External"/><Relationship Id="rId5" Type="http://schemas.openxmlformats.org/officeDocument/2006/relationships/hyperlink" Target="https://link.springer.com/journal/12188" TargetMode="External"/><Relationship Id="rId237" Type="http://schemas.openxmlformats.org/officeDocument/2006/relationships/hyperlink" Target="https://link.springer.com/journal/42242" TargetMode="External"/><Relationship Id="rId791" Type="http://schemas.openxmlformats.org/officeDocument/2006/relationships/hyperlink" Target="https://link.springer.com/journal/10714" TargetMode="External"/><Relationship Id="rId889" Type="http://schemas.openxmlformats.org/officeDocument/2006/relationships/hyperlink" Target="https://link.springer.com/journal/251" TargetMode="External"/><Relationship Id="rId1074" Type="http://schemas.openxmlformats.org/officeDocument/2006/relationships/hyperlink" Target="https://link.springer.com/journal/42791" TargetMode="External"/><Relationship Id="rId444" Type="http://schemas.openxmlformats.org/officeDocument/2006/relationships/hyperlink" Target="https://link.springer.com/journal/12259" TargetMode="External"/><Relationship Id="rId651" Type="http://schemas.openxmlformats.org/officeDocument/2006/relationships/hyperlink" Target="https://link.springer.com/journal/41959" TargetMode="External"/><Relationship Id="rId749" Type="http://schemas.openxmlformats.org/officeDocument/2006/relationships/hyperlink" Target="https://link.springer.com/journal/12161" TargetMode="External"/><Relationship Id="rId1281" Type="http://schemas.openxmlformats.org/officeDocument/2006/relationships/hyperlink" Target="https://link.springer.com/journal/12001" TargetMode="External"/><Relationship Id="rId1379" Type="http://schemas.openxmlformats.org/officeDocument/2006/relationships/hyperlink" Target="https://link.springer.com/journal/10940" TargetMode="External"/><Relationship Id="rId1586" Type="http://schemas.openxmlformats.org/officeDocument/2006/relationships/hyperlink" Target="https://link.springer.com/journal/32" TargetMode="External"/><Relationship Id="rId2125" Type="http://schemas.openxmlformats.org/officeDocument/2006/relationships/hyperlink" Target="https://link.springer.com/journal/122" TargetMode="External"/><Relationship Id="rId304" Type="http://schemas.openxmlformats.org/officeDocument/2006/relationships/hyperlink" Target="https://link.springer.com/journal/12630" TargetMode="External"/><Relationship Id="rId511" Type="http://schemas.openxmlformats.org/officeDocument/2006/relationships/hyperlink" Target="https://link.springer.com/journal/40495" TargetMode="External"/><Relationship Id="rId609" Type="http://schemas.openxmlformats.org/officeDocument/2006/relationships/hyperlink" Target="https://link.springer.com/journal/41748" TargetMode="External"/><Relationship Id="rId956" Type="http://schemas.openxmlformats.org/officeDocument/2006/relationships/hyperlink" Target="https://link.springer.com/journal/10447" TargetMode="External"/><Relationship Id="rId1141" Type="http://schemas.openxmlformats.org/officeDocument/2006/relationships/hyperlink" Target="https://link.springer.com/journal/10870" TargetMode="External"/><Relationship Id="rId1239" Type="http://schemas.openxmlformats.org/officeDocument/2006/relationships/hyperlink" Target="https://link.springer.com/journal/10327" TargetMode="External"/><Relationship Id="rId1793" Type="http://schemas.openxmlformats.org/officeDocument/2006/relationships/hyperlink" Target="https://link.springer.com/journal/11077" TargetMode="External"/><Relationship Id="rId85" Type="http://schemas.openxmlformats.org/officeDocument/2006/relationships/hyperlink" Target="https://link.springer.com/journal/10465" TargetMode="External"/><Relationship Id="rId816" Type="http://schemas.openxmlformats.org/officeDocument/2006/relationships/hyperlink" Target="https://link.springer.com/journal/40940" TargetMode="External"/><Relationship Id="rId1001" Type="http://schemas.openxmlformats.org/officeDocument/2006/relationships/hyperlink" Target="https://link.springer.com/journal/13177" TargetMode="External"/><Relationship Id="rId1446" Type="http://schemas.openxmlformats.org/officeDocument/2006/relationships/hyperlink" Target="https://link.springer.com/journal/12198" TargetMode="External"/><Relationship Id="rId1653" Type="http://schemas.openxmlformats.org/officeDocument/2006/relationships/hyperlink" Target="https://link.springer.com/journal/13721" TargetMode="External"/><Relationship Id="rId1860" Type="http://schemas.openxmlformats.org/officeDocument/2006/relationships/hyperlink" Target="https://link.springer.com/journal/41605" TargetMode="External"/><Relationship Id="rId1306" Type="http://schemas.openxmlformats.org/officeDocument/2006/relationships/hyperlink" Target="https://link.springer.com/journal/13351" TargetMode="External"/><Relationship Id="rId1513" Type="http://schemas.openxmlformats.org/officeDocument/2006/relationships/hyperlink" Target="https://link.springer.com/journal/11301" TargetMode="External"/><Relationship Id="rId1720" Type="http://schemas.openxmlformats.org/officeDocument/2006/relationships/hyperlink" Target="https://link.springer.com/journal/15002" TargetMode="External"/><Relationship Id="rId1958" Type="http://schemas.openxmlformats.org/officeDocument/2006/relationships/hyperlink" Target="https://link.springer.com/journal/11426" TargetMode="External"/><Relationship Id="rId12" Type="http://schemas.openxmlformats.org/officeDocument/2006/relationships/hyperlink" Target="https://link.springer.com/journal/10440" TargetMode="External"/><Relationship Id="rId1818" Type="http://schemas.openxmlformats.org/officeDocument/2006/relationships/hyperlink" Target="https://link.springer.com/journal/40010" TargetMode="External"/><Relationship Id="rId161" Type="http://schemas.openxmlformats.org/officeDocument/2006/relationships/hyperlink" Target="https://link.springer.com/journal/203" TargetMode="External"/><Relationship Id="rId399" Type="http://schemas.openxmlformats.org/officeDocument/2006/relationships/hyperlink" Target="https://link.springer.com/journal/12559" TargetMode="External"/><Relationship Id="rId259" Type="http://schemas.openxmlformats.org/officeDocument/2006/relationships/hyperlink" Target="https://link.springer.com/journal/10534" TargetMode="External"/><Relationship Id="rId466" Type="http://schemas.openxmlformats.org/officeDocument/2006/relationships/hyperlink" Target="https://link.springer.com/journal/40140" TargetMode="External"/><Relationship Id="rId673" Type="http://schemas.openxmlformats.org/officeDocument/2006/relationships/hyperlink" Target="https://link.springer.com/journal/12237" TargetMode="External"/><Relationship Id="rId880" Type="http://schemas.openxmlformats.org/officeDocument/2006/relationships/hyperlink" Target="https://link.springer.com/journal/42454" TargetMode="External"/><Relationship Id="rId1096" Type="http://schemas.openxmlformats.org/officeDocument/2006/relationships/hyperlink" Target="https://link.springer.com/journal/10809" TargetMode="External"/><Relationship Id="rId2147" Type="http://schemas.openxmlformats.org/officeDocument/2006/relationships/hyperlink" Target="https://link.springer.com/journal/13530" TargetMode="External"/><Relationship Id="rId119" Type="http://schemas.openxmlformats.org/officeDocument/2006/relationships/hyperlink" Target="https://link.springer.com/journal/200" TargetMode="External"/><Relationship Id="rId326" Type="http://schemas.openxmlformats.org/officeDocument/2006/relationships/hyperlink" Target="https://link.springer.com/journal/12567" TargetMode="External"/><Relationship Id="rId533" Type="http://schemas.openxmlformats.org/officeDocument/2006/relationships/hyperlink" Target="https://link.springer.com/journal/11940" TargetMode="External"/><Relationship Id="rId978" Type="http://schemas.openxmlformats.org/officeDocument/2006/relationships/hyperlink" Target="https://link.springer.com/journal/13410" TargetMode="External"/><Relationship Id="rId1163" Type="http://schemas.openxmlformats.org/officeDocument/2006/relationships/hyperlink" Target="https://link.springer.com/journal/10827" TargetMode="External"/><Relationship Id="rId1370" Type="http://schemas.openxmlformats.org/officeDocument/2006/relationships/hyperlink" Target="https://link.springer.com/journal/43236" TargetMode="External"/><Relationship Id="rId2007" Type="http://schemas.openxmlformats.org/officeDocument/2006/relationships/hyperlink" Target="https://link.springer.com/journal/10270" TargetMode="External"/><Relationship Id="rId2214" Type="http://schemas.openxmlformats.org/officeDocument/2006/relationships/hyperlink" Target="https://link.springer.com/journal/11280" TargetMode="External"/><Relationship Id="rId740" Type="http://schemas.openxmlformats.org/officeDocument/2006/relationships/hyperlink" Target="https://link.springer.com/journal/11408" TargetMode="External"/><Relationship Id="rId838" Type="http://schemas.openxmlformats.org/officeDocument/2006/relationships/hyperlink" Target="https://link.springer.com/journal/12326" TargetMode="External"/><Relationship Id="rId1023" Type="http://schemas.openxmlformats.org/officeDocument/2006/relationships/hyperlink" Target="https://link.springer.com/journal/10772" TargetMode="External"/><Relationship Id="rId1468" Type="http://schemas.openxmlformats.org/officeDocument/2006/relationships/hyperlink" Target="https://link.springer.com/journal/43205" TargetMode="External"/><Relationship Id="rId1675" Type="http://schemas.openxmlformats.org/officeDocument/2006/relationships/hyperlink" Target="https://link.springer.com/journal/11056" TargetMode="External"/><Relationship Id="rId1882" Type="http://schemas.openxmlformats.org/officeDocument/2006/relationships/hyperlink" Target="https://link.springer.com/journal/11162" TargetMode="External"/><Relationship Id="rId600" Type="http://schemas.openxmlformats.org/officeDocument/2006/relationships/hyperlink" Target="https://link.springer.com/journal/11472" TargetMode="External"/><Relationship Id="rId1230" Type="http://schemas.openxmlformats.org/officeDocument/2006/relationships/hyperlink" Target="https://link.springer.com/journal/41686" TargetMode="External"/><Relationship Id="rId1328" Type="http://schemas.openxmlformats.org/officeDocument/2006/relationships/hyperlink" Target="https://link.springer.com/journal/332" TargetMode="External"/><Relationship Id="rId1535" Type="http://schemas.openxmlformats.org/officeDocument/2006/relationships/hyperlink" Target="https://link.springer.com/journal/10107" TargetMode="External"/><Relationship Id="rId905" Type="http://schemas.openxmlformats.org/officeDocument/2006/relationships/hyperlink" Target="https://link.springer.com/journal/12648" TargetMode="External"/><Relationship Id="rId1742" Type="http://schemas.openxmlformats.org/officeDocument/2006/relationships/hyperlink" Target="https://link.springer.com/journal/42543" TargetMode="External"/><Relationship Id="rId34" Type="http://schemas.openxmlformats.org/officeDocument/2006/relationships/hyperlink" Target="https://link.springer.com/journal/11686" TargetMode="External"/><Relationship Id="rId1602" Type="http://schemas.openxmlformats.org/officeDocument/2006/relationships/hyperlink" Target="https://link.springer.com/journal/11008" TargetMode="External"/><Relationship Id="rId183" Type="http://schemas.openxmlformats.org/officeDocument/2006/relationships/hyperlink" Target="https://link.springer.com/journal/42107" TargetMode="External"/><Relationship Id="rId390" Type="http://schemas.openxmlformats.org/officeDocument/2006/relationships/hyperlink" Target="https://link.springer.com/journal/392" TargetMode="External"/><Relationship Id="rId1907" Type="http://schemas.openxmlformats.org/officeDocument/2006/relationships/hyperlink" Target="https://link.springer.com/journal/11157" TargetMode="External"/><Relationship Id="rId2071" Type="http://schemas.openxmlformats.org/officeDocument/2006/relationships/hyperlink" Target="https://link.springer.com/journal/11749" TargetMode="External"/><Relationship Id="rId250" Type="http://schemas.openxmlformats.org/officeDocument/2006/relationships/hyperlink" Target="https://link.springer.com/journal/10525" TargetMode="External"/><Relationship Id="rId488" Type="http://schemas.openxmlformats.org/officeDocument/2006/relationships/hyperlink" Target="https://link.springer.com/journal/13670" TargetMode="External"/><Relationship Id="rId695" Type="http://schemas.openxmlformats.org/officeDocument/2006/relationships/hyperlink" Target="https://link.springer.com/journal/10096" TargetMode="External"/><Relationship Id="rId2169" Type="http://schemas.openxmlformats.org/officeDocument/2006/relationships/hyperlink" Target="https://link.springer.com/journal/42864" TargetMode="External"/><Relationship Id="rId110" Type="http://schemas.openxmlformats.org/officeDocument/2006/relationships/hyperlink" Target="https://link.springer.com/journal/10479" TargetMode="External"/><Relationship Id="rId348" Type="http://schemas.openxmlformats.org/officeDocument/2006/relationships/hyperlink" Target="https://link.springer.com/journal/10600" TargetMode="External"/><Relationship Id="rId555" Type="http://schemas.openxmlformats.org/officeDocument/2006/relationships/hyperlink" Target="https://link.springer.com/journal/104" TargetMode="External"/><Relationship Id="rId762" Type="http://schemas.openxmlformats.org/officeDocument/2006/relationships/hyperlink" Target="https://link.springer.com/journal/12312" TargetMode="External"/><Relationship Id="rId1185" Type="http://schemas.openxmlformats.org/officeDocument/2006/relationships/hyperlink" Target="https://link.springer.com/journal/10882" TargetMode="External"/><Relationship Id="rId1392" Type="http://schemas.openxmlformats.org/officeDocument/2006/relationships/hyperlink" Target="https://link.springer.com/journal/42464" TargetMode="External"/><Relationship Id="rId2029" Type="http://schemas.openxmlformats.org/officeDocument/2006/relationships/hyperlink" Target="https://link.springer.com/journal/362" TargetMode="External"/><Relationship Id="rId2236" Type="http://schemas.openxmlformats.org/officeDocument/2006/relationships/hyperlink" Target="https://link.springer.com/journal/40664" TargetMode="External"/><Relationship Id="rId208" Type="http://schemas.openxmlformats.org/officeDocument/2006/relationships/hyperlink" Target="https://link.springer.com/journal/13313" TargetMode="External"/><Relationship Id="rId415" Type="http://schemas.openxmlformats.org/officeDocument/2006/relationships/hyperlink" Target="https://link.springer.com/journal/10597" TargetMode="External"/><Relationship Id="rId622" Type="http://schemas.openxmlformats.org/officeDocument/2006/relationships/hyperlink" Target="https://link.springer.com/journal/10646" TargetMode="External"/><Relationship Id="rId1045" Type="http://schemas.openxmlformats.org/officeDocument/2006/relationships/hyperlink" Target="https://link.springer.com/journal/192" TargetMode="External"/><Relationship Id="rId1252" Type="http://schemas.openxmlformats.org/officeDocument/2006/relationships/hyperlink" Target="https://link.springer.com/journal/41666" TargetMode="External"/><Relationship Id="rId1697" Type="http://schemas.openxmlformats.org/officeDocument/2006/relationships/hyperlink" Target="https://link.springer.com/journal/11079" TargetMode="External"/><Relationship Id="rId927" Type="http://schemas.openxmlformats.org/officeDocument/2006/relationships/hyperlink" Target="https://link.springer.com/journal/11334" TargetMode="External"/><Relationship Id="rId1112" Type="http://schemas.openxmlformats.org/officeDocument/2006/relationships/hyperlink" Target="https://link.springer.com/journal/12036" TargetMode="External"/><Relationship Id="rId1557" Type="http://schemas.openxmlformats.org/officeDocument/2006/relationships/hyperlink" Target="https://link.springer.com/journal/11019" TargetMode="External"/><Relationship Id="rId1764" Type="http://schemas.openxmlformats.org/officeDocument/2006/relationships/hyperlink" Target="https://link.springer.com/journal/269" TargetMode="External"/><Relationship Id="rId1971" Type="http://schemas.openxmlformats.org/officeDocument/2006/relationships/hyperlink" Target="https://link.springer.com/journal/11453" TargetMode="External"/><Relationship Id="rId56" Type="http://schemas.openxmlformats.org/officeDocument/2006/relationships/hyperlink" Target="https://link.springer.com/journal/42844" TargetMode="External"/><Relationship Id="rId1417" Type="http://schemas.openxmlformats.org/officeDocument/2006/relationships/hyperlink" Target="https://link.springer.com/journal/11518" TargetMode="External"/><Relationship Id="rId1624" Type="http://schemas.openxmlformats.org/officeDocument/2006/relationships/hyperlink" Target="https://link.springer.com/journal/11031" TargetMode="External"/><Relationship Id="rId1831" Type="http://schemas.openxmlformats.org/officeDocument/2006/relationships/hyperlink" Target="https://link.springer.com/journal/11126" TargetMode="External"/><Relationship Id="rId1929" Type="http://schemas.openxmlformats.org/officeDocument/2006/relationships/hyperlink" Target="https://link.springer.com/journal/11184" TargetMode="External"/><Relationship Id="rId2093" Type="http://schemas.openxmlformats.org/officeDocument/2006/relationships/hyperlink" Target="https://link.springer.com/journal/11367" TargetMode="External"/><Relationship Id="rId272" Type="http://schemas.openxmlformats.org/officeDocument/2006/relationships/hyperlink" Target="https://link.springer.com/journal/40574" TargetMode="External"/><Relationship Id="rId577" Type="http://schemas.openxmlformats.org/officeDocument/2006/relationships/hyperlink" Target="https://link.springer.com/journal/10623" TargetMode="External"/><Relationship Id="rId2160" Type="http://schemas.openxmlformats.org/officeDocument/2006/relationships/hyperlink" Target="https://link.springer.com/journal/11295" TargetMode="External"/><Relationship Id="rId132" Type="http://schemas.openxmlformats.org/officeDocument/2006/relationships/hyperlink" Target="https://link.springer.com/journal/11766" TargetMode="External"/><Relationship Id="rId784" Type="http://schemas.openxmlformats.org/officeDocument/2006/relationships/hyperlink" Target="https://link.springer.com/journal/13225" TargetMode="External"/><Relationship Id="rId991" Type="http://schemas.openxmlformats.org/officeDocument/2006/relationships/hyperlink" Target="https://link.springer.com/journal/182" TargetMode="External"/><Relationship Id="rId1067" Type="http://schemas.openxmlformats.org/officeDocument/2006/relationships/hyperlink" Target="https://link.springer.com/journal/10384" TargetMode="External"/><Relationship Id="rId2020" Type="http://schemas.openxmlformats.org/officeDocument/2006/relationships/hyperlink" Target="https://link.springer.com/journal/41324" TargetMode="External"/><Relationship Id="rId437" Type="http://schemas.openxmlformats.org/officeDocument/2006/relationships/hyperlink" Target="https://link.springer.com/journal/10602" TargetMode="External"/><Relationship Id="rId644" Type="http://schemas.openxmlformats.org/officeDocument/2006/relationships/hyperlink" Target="https://link.springer.com/journal/12022" TargetMode="External"/><Relationship Id="rId851" Type="http://schemas.openxmlformats.org/officeDocument/2006/relationships/hyperlink" Target="https://link.springer.com/journal/58" TargetMode="External"/><Relationship Id="rId1274" Type="http://schemas.openxmlformats.org/officeDocument/2006/relationships/hyperlink" Target="https://link.springer.com/journal/10843" TargetMode="External"/><Relationship Id="rId1481" Type="http://schemas.openxmlformats.org/officeDocument/2006/relationships/hyperlink" Target="https://link.springer.com/journal/10993" TargetMode="External"/><Relationship Id="rId1579" Type="http://schemas.openxmlformats.org/officeDocument/2006/relationships/hyperlink" Target="https://link.springer.com/journal/40300" TargetMode="External"/><Relationship Id="rId2118" Type="http://schemas.openxmlformats.org/officeDocument/2006/relationships/hyperlink" Target="https://link.springer.com/journal/11558" TargetMode="External"/><Relationship Id="rId504" Type="http://schemas.openxmlformats.org/officeDocument/2006/relationships/hyperlink" Target="https://link.springer.com/journal/40135" TargetMode="External"/><Relationship Id="rId711" Type="http://schemas.openxmlformats.org/officeDocument/2006/relationships/hyperlink" Target="https://link.springer.com/journal/107" TargetMode="External"/><Relationship Id="rId949" Type="http://schemas.openxmlformats.org/officeDocument/2006/relationships/hyperlink" Target="https://link.springer.com/journal/43576" TargetMode="External"/><Relationship Id="rId1134" Type="http://schemas.openxmlformats.org/officeDocument/2006/relationships/hyperlink" Target="https://link.springer.com/journal/10551" TargetMode="External"/><Relationship Id="rId1341" Type="http://schemas.openxmlformats.org/officeDocument/2006/relationships/hyperlink" Target="https://link.springer.com/journal/42322" TargetMode="External"/><Relationship Id="rId1786" Type="http://schemas.openxmlformats.org/officeDocument/2006/relationships/hyperlink" Target="https://link.springer.com/journal/606" TargetMode="External"/><Relationship Id="rId1993" Type="http://schemas.openxmlformats.org/officeDocument/2006/relationships/hyperlink" Target="https://link.springer.com/journal/11842" TargetMode="External"/><Relationship Id="rId78" Type="http://schemas.openxmlformats.org/officeDocument/2006/relationships/hyperlink" Target="https://link.springer.com/journal/10468" TargetMode="External"/><Relationship Id="rId809" Type="http://schemas.openxmlformats.org/officeDocument/2006/relationships/hyperlink" Target="https://link.springer.com/journal/10706" TargetMode="External"/><Relationship Id="rId1201" Type="http://schemas.openxmlformats.org/officeDocument/2006/relationships/hyperlink" Target="https://link.springer.com/journal/10833" TargetMode="External"/><Relationship Id="rId1439" Type="http://schemas.openxmlformats.org/officeDocument/2006/relationships/hyperlink" Target="https://link.springer.com/journal/42952" TargetMode="External"/><Relationship Id="rId1646" Type="http://schemas.openxmlformats.org/officeDocument/2006/relationships/hyperlink" Target="https://link.springer.com/journal/11050" TargetMode="External"/><Relationship Id="rId1853" Type="http://schemas.openxmlformats.org/officeDocument/2006/relationships/hyperlink" Target="https://link.springer.com/journal/11129" TargetMode="External"/><Relationship Id="rId1506" Type="http://schemas.openxmlformats.org/officeDocument/2006/relationships/hyperlink" Target="https://link.springer.com/journal/138" TargetMode="External"/><Relationship Id="rId1713" Type="http://schemas.openxmlformats.org/officeDocument/2006/relationships/hyperlink" Target="https://link.springer.com/journal/11282" TargetMode="External"/><Relationship Id="rId1920" Type="http://schemas.openxmlformats.org/officeDocument/2006/relationships/hyperlink" Target="https://link.springer.com/journal/11978" TargetMode="External"/><Relationship Id="rId294" Type="http://schemas.openxmlformats.org/officeDocument/2006/relationships/hyperlink" Target="https://link.springer.com/journal/41980" TargetMode="External"/><Relationship Id="rId2182" Type="http://schemas.openxmlformats.org/officeDocument/2006/relationships/hyperlink" Target="https://link.springer.com/journal/11988" TargetMode="External"/><Relationship Id="rId154" Type="http://schemas.openxmlformats.org/officeDocument/2006/relationships/hyperlink" Target="https://link.springer.com/journal/205" TargetMode="External"/><Relationship Id="rId361" Type="http://schemas.openxmlformats.org/officeDocument/2006/relationships/hyperlink" Target="https://link.springer.com/journal/42379" TargetMode="External"/><Relationship Id="rId599" Type="http://schemas.openxmlformats.org/officeDocument/2006/relationships/hyperlink" Target="https://link.springer.com/journal/11471" TargetMode="External"/><Relationship Id="rId2042" Type="http://schemas.openxmlformats.org/officeDocument/2006/relationships/hyperlink" Target="https://link.springer.com/journal/11225" TargetMode="External"/><Relationship Id="rId459" Type="http://schemas.openxmlformats.org/officeDocument/2006/relationships/hyperlink" Target="https://link.springer.com/journal/11445" TargetMode="External"/><Relationship Id="rId666" Type="http://schemas.openxmlformats.org/officeDocument/2006/relationships/hyperlink" Target="https://link.springer.com/journal/11356" TargetMode="External"/><Relationship Id="rId873" Type="http://schemas.openxmlformats.org/officeDocument/2006/relationships/hyperlink" Target="https://link.springer.com/journal/10745" TargetMode="External"/><Relationship Id="rId1089" Type="http://schemas.openxmlformats.org/officeDocument/2006/relationships/hyperlink" Target="https://link.springer.com/journal/10804" TargetMode="External"/><Relationship Id="rId1296" Type="http://schemas.openxmlformats.org/officeDocument/2006/relationships/hyperlink" Target="https://link.springer.com/journal/10958" TargetMode="External"/><Relationship Id="rId221" Type="http://schemas.openxmlformats.org/officeDocument/2006/relationships/hyperlink" Target="https://link.springer.com/journal/42822" TargetMode="External"/><Relationship Id="rId319" Type="http://schemas.openxmlformats.org/officeDocument/2006/relationships/hyperlink" Target="https://link.springer.com/journal/12012" TargetMode="External"/><Relationship Id="rId526" Type="http://schemas.openxmlformats.org/officeDocument/2006/relationships/hyperlink" Target="https://link.springer.com/journal/43152" TargetMode="External"/><Relationship Id="rId1156" Type="http://schemas.openxmlformats.org/officeDocument/2006/relationships/hyperlink" Target="https://link.springer.com/journal/10878" TargetMode="External"/><Relationship Id="rId1363" Type="http://schemas.openxmlformats.org/officeDocument/2006/relationships/hyperlink" Target="https://link.springer.com/journal/42972" TargetMode="External"/><Relationship Id="rId2207" Type="http://schemas.openxmlformats.org/officeDocument/2006/relationships/hyperlink" Target="https://link.springer.com/journal/11838" TargetMode="External"/><Relationship Id="rId733" Type="http://schemas.openxmlformats.org/officeDocument/2006/relationships/hyperlink" Target="https://link.springer.com/journal/10347" TargetMode="External"/><Relationship Id="rId940" Type="http://schemas.openxmlformats.org/officeDocument/2006/relationships/hyperlink" Target="https://link.springer.com/journal/42411" TargetMode="External"/><Relationship Id="rId1016" Type="http://schemas.openxmlformats.org/officeDocument/2006/relationships/hyperlink" Target="https://link.springer.com/journal/12541" TargetMode="External"/><Relationship Id="rId1570" Type="http://schemas.openxmlformats.org/officeDocument/2006/relationships/hyperlink" Target="https://link.springer.com/journal/13632" TargetMode="External"/><Relationship Id="rId1668" Type="http://schemas.openxmlformats.org/officeDocument/2006/relationships/hyperlink" Target="https://link.springer.com/journal/11065" TargetMode="External"/><Relationship Id="rId1875" Type="http://schemas.openxmlformats.org/officeDocument/2006/relationships/hyperlink" Target="https://link.springer.com/journal/41976" TargetMode="External"/><Relationship Id="rId800" Type="http://schemas.openxmlformats.org/officeDocument/2006/relationships/hyperlink" Target="https://link.springer.com/journal/12371" TargetMode="External"/><Relationship Id="rId1223" Type="http://schemas.openxmlformats.org/officeDocument/2006/relationships/hyperlink" Target="https://link.springer.com/journal/10693" TargetMode="External"/><Relationship Id="rId1430" Type="http://schemas.openxmlformats.org/officeDocument/2006/relationships/hyperlink" Target="https://link.springer.com/journal/40030" TargetMode="External"/><Relationship Id="rId1528" Type="http://schemas.openxmlformats.org/officeDocument/2006/relationships/hyperlink" Target="https://link.springer.com/journal/10995" TargetMode="External"/><Relationship Id="rId1735" Type="http://schemas.openxmlformats.org/officeDocument/2006/relationships/hyperlink" Target="https://link.springer.com/journal/10044" TargetMode="External"/><Relationship Id="rId1942" Type="http://schemas.openxmlformats.org/officeDocument/2006/relationships/hyperlink" Target="https://link.springer.com/journal/11183" TargetMode="External"/><Relationship Id="rId27" Type="http://schemas.openxmlformats.org/officeDocument/2006/relationships/hyperlink" Target="https://link.springer.com/journal/10409" TargetMode="External"/><Relationship Id="rId1802" Type="http://schemas.openxmlformats.org/officeDocument/2006/relationships/hyperlink" Target="https://link.springer.com/journal/11117" TargetMode="External"/><Relationship Id="rId176" Type="http://schemas.openxmlformats.org/officeDocument/2006/relationships/hyperlink" Target="https://link.springer.com/journal/10015" TargetMode="External"/><Relationship Id="rId383" Type="http://schemas.openxmlformats.org/officeDocument/2006/relationships/hyperlink" Target="https://link.springer.com/journal/12094" TargetMode="External"/><Relationship Id="rId590" Type="http://schemas.openxmlformats.org/officeDocument/2006/relationships/hyperlink" Target="https://link.springer.com/journal/454" TargetMode="External"/><Relationship Id="rId2064" Type="http://schemas.openxmlformats.org/officeDocument/2006/relationships/hyperlink" Target="https://link.springer.com/journal/11455" TargetMode="External"/><Relationship Id="rId243" Type="http://schemas.openxmlformats.org/officeDocument/2006/relationships/hyperlink" Target="https://link.springer.com/journal/42977" TargetMode="External"/><Relationship Id="rId450" Type="http://schemas.openxmlformats.org/officeDocument/2006/relationships/hyperlink" Target="https://link.springer.com/journal/12176" TargetMode="External"/><Relationship Id="rId688" Type="http://schemas.openxmlformats.org/officeDocument/2006/relationships/hyperlink" Target="https://link.springer.com/journal/787" TargetMode="External"/><Relationship Id="rId895" Type="http://schemas.openxmlformats.org/officeDocument/2006/relationships/hyperlink" Target="https://link.springer.com/journal/41775" TargetMode="External"/><Relationship Id="rId1080" Type="http://schemas.openxmlformats.org/officeDocument/2006/relationships/hyperlink" Target="https://link.springer.com/journal/41971" TargetMode="External"/><Relationship Id="rId2131" Type="http://schemas.openxmlformats.org/officeDocument/2006/relationships/hyperlink" Target="https://link.springer.com/journal/12080" TargetMode="External"/><Relationship Id="rId103" Type="http://schemas.openxmlformats.org/officeDocument/2006/relationships/hyperlink" Target="https://link.springer.com/journal/11881" TargetMode="External"/><Relationship Id="rId310" Type="http://schemas.openxmlformats.org/officeDocument/2006/relationships/hyperlink" Target="https://link.springer.com/journal/280" TargetMode="External"/><Relationship Id="rId548" Type="http://schemas.openxmlformats.org/officeDocument/2006/relationships/hyperlink" Target="https://link.springer.com/journal/10618" TargetMode="External"/><Relationship Id="rId755" Type="http://schemas.openxmlformats.org/officeDocument/2006/relationships/hyperlink" Target="https://link.springer.com/journal/10068" TargetMode="External"/><Relationship Id="rId962" Type="http://schemas.openxmlformats.org/officeDocument/2006/relationships/hyperlink" Target="https://link.springer.com/journal/40593" TargetMode="External"/><Relationship Id="rId1178" Type="http://schemas.openxmlformats.org/officeDocument/2006/relationships/hyperlink" Target="https://link.springer.com/journal/10823" TargetMode="External"/><Relationship Id="rId1385" Type="http://schemas.openxmlformats.org/officeDocument/2006/relationships/hyperlink" Target="https://link.springer.com/journal/11149" TargetMode="External"/><Relationship Id="rId1592" Type="http://schemas.openxmlformats.org/officeDocument/2006/relationships/hyperlink" Target="https://link.springer.com/journal/126" TargetMode="External"/><Relationship Id="rId2229" Type="http://schemas.openxmlformats.org/officeDocument/2006/relationships/hyperlink" Target="https://link.springer.com/journal/398" TargetMode="External"/><Relationship Id="rId91" Type="http://schemas.openxmlformats.org/officeDocument/2006/relationships/hyperlink" Target="https://link.springer.com/journal/10476" TargetMode="External"/><Relationship Id="rId408" Type="http://schemas.openxmlformats.org/officeDocument/2006/relationships/hyperlink" Target="https://link.springer.com/journal/53" TargetMode="External"/><Relationship Id="rId615" Type="http://schemas.openxmlformats.org/officeDocument/2006/relationships/hyperlink" Target="https://link.springer.com/journal/12231" TargetMode="External"/><Relationship Id="rId822" Type="http://schemas.openxmlformats.org/officeDocument/2006/relationships/hyperlink" Target="https://link.springer.com/journal/10719" TargetMode="External"/><Relationship Id="rId1038" Type="http://schemas.openxmlformats.org/officeDocument/2006/relationships/hyperlink" Target="https://link.springer.com/journal/40089" TargetMode="External"/><Relationship Id="rId1245" Type="http://schemas.openxmlformats.org/officeDocument/2006/relationships/hyperlink" Target="https://link.springer.com/journal/41651" TargetMode="External"/><Relationship Id="rId1452" Type="http://schemas.openxmlformats.org/officeDocument/2006/relationships/hyperlink" Target="https://link.springer.com/journal/11962" TargetMode="External"/><Relationship Id="rId1897" Type="http://schemas.openxmlformats.org/officeDocument/2006/relationships/hyperlink" Target="https://link.springer.com/journal/43253" TargetMode="External"/><Relationship Id="rId1105" Type="http://schemas.openxmlformats.org/officeDocument/2006/relationships/hyperlink" Target="https://link.springer.com/journal/10812" TargetMode="External"/><Relationship Id="rId1312" Type="http://schemas.openxmlformats.org/officeDocument/2006/relationships/hyperlink" Target="https://link.springer.com/journal/109" TargetMode="External"/><Relationship Id="rId1757" Type="http://schemas.openxmlformats.org/officeDocument/2006/relationships/hyperlink" Target="https://link.springer.com/journal/11098" TargetMode="External"/><Relationship Id="rId1964" Type="http://schemas.openxmlformats.org/officeDocument/2006/relationships/hyperlink" Target="https://link.springer.com/journal/11433" TargetMode="External"/><Relationship Id="rId49" Type="http://schemas.openxmlformats.org/officeDocument/2006/relationships/hyperlink" Target="https://link.springer.com/journal/11634" TargetMode="External"/><Relationship Id="rId1617" Type="http://schemas.openxmlformats.org/officeDocument/2006/relationships/hyperlink" Target="https://link.springer.com/journal/11967" TargetMode="External"/><Relationship Id="rId1824" Type="http://schemas.openxmlformats.org/officeDocument/2006/relationships/hyperlink" Target="https://link.springer.com/journal/11086" TargetMode="External"/><Relationship Id="rId198" Type="http://schemas.openxmlformats.org/officeDocument/2006/relationships/hyperlink" Target="https://link.springer.com/journal/11293" TargetMode="External"/><Relationship Id="rId2086" Type="http://schemas.openxmlformats.org/officeDocument/2006/relationships/hyperlink" Target="https://link.springer.com/journal/10189" TargetMode="External"/><Relationship Id="rId265" Type="http://schemas.openxmlformats.org/officeDocument/2006/relationships/hyperlink" Target="https://link.springer.com/journal/449" TargetMode="External"/><Relationship Id="rId472" Type="http://schemas.openxmlformats.org/officeDocument/2006/relationships/hyperlink" Target="https://link.springer.com/journal/12410" TargetMode="External"/><Relationship Id="rId2153" Type="http://schemas.openxmlformats.org/officeDocument/2006/relationships/hyperlink" Target="https://link.springer.com/journal/11248" TargetMode="External"/><Relationship Id="rId125" Type="http://schemas.openxmlformats.org/officeDocument/2006/relationships/hyperlink" Target="https://link.springer.com/journal/13355" TargetMode="External"/><Relationship Id="rId332" Type="http://schemas.openxmlformats.org/officeDocument/2006/relationships/hyperlink" Target="https://link.springer.com/journal/10565" TargetMode="External"/><Relationship Id="rId777" Type="http://schemas.openxmlformats.org/officeDocument/2006/relationships/hyperlink" Target="https://link.springer.com/journal/11465" TargetMode="External"/><Relationship Id="rId984" Type="http://schemas.openxmlformats.org/officeDocument/2006/relationships/hyperlink" Target="https://link.springer.com/journal/40095" TargetMode="External"/><Relationship Id="rId2013" Type="http://schemas.openxmlformats.org/officeDocument/2006/relationships/hyperlink" Target="https://link.springer.com/journal/11985" TargetMode="External"/><Relationship Id="rId2220" Type="http://schemas.openxmlformats.org/officeDocument/2006/relationships/hyperlink" Target="https://link.springer.com/journal/40573" TargetMode="External"/><Relationship Id="rId637" Type="http://schemas.openxmlformats.org/officeDocument/2006/relationships/hyperlink" Target="https://link.springer.com/journal/42247" TargetMode="External"/><Relationship Id="rId844" Type="http://schemas.openxmlformats.org/officeDocument/2006/relationships/hyperlink" Target="https://link.springer.com/journal/13755" TargetMode="External"/><Relationship Id="rId1267" Type="http://schemas.openxmlformats.org/officeDocument/2006/relationships/hyperlink" Target="https://link.springer.com/journal/10762" TargetMode="External"/><Relationship Id="rId1474" Type="http://schemas.openxmlformats.org/officeDocument/2006/relationships/hyperlink" Target="https://link.springer.com/journal/44007" TargetMode="External"/><Relationship Id="rId1681" Type="http://schemas.openxmlformats.org/officeDocument/2006/relationships/hyperlink" Target="https://link.springer.com/journal/10049" TargetMode="External"/><Relationship Id="rId704" Type="http://schemas.openxmlformats.org/officeDocument/2006/relationships/hyperlink" Target="https://link.springer.com/journal/590" TargetMode="External"/><Relationship Id="rId911" Type="http://schemas.openxmlformats.org/officeDocument/2006/relationships/hyperlink" Target="https://link.springer.com/journal/42360" TargetMode="External"/><Relationship Id="rId1127" Type="http://schemas.openxmlformats.org/officeDocument/2006/relationships/hyperlink" Target="https://link.springer.com/journal/12038" TargetMode="External"/><Relationship Id="rId1334" Type="http://schemas.openxmlformats.org/officeDocument/2006/relationships/hyperlink" Target="https://link.springer.com/journal/10872" TargetMode="External"/><Relationship Id="rId1541" Type="http://schemas.openxmlformats.org/officeDocument/2006/relationships/hyperlink" Target="https://link.springer.com/journal/498" TargetMode="External"/><Relationship Id="rId1779" Type="http://schemas.openxmlformats.org/officeDocument/2006/relationships/hyperlink" Target="https://link.springer.com/journal/11258" TargetMode="External"/><Relationship Id="rId1986" Type="http://schemas.openxmlformats.org/officeDocument/2006/relationships/hyperlink" Target="https://link.springer.com/journal/11760" TargetMode="External"/><Relationship Id="rId40" Type="http://schemas.openxmlformats.org/officeDocument/2006/relationships/hyperlink" Target="https://link.springer.com/journal/40894" TargetMode="External"/><Relationship Id="rId1401" Type="http://schemas.openxmlformats.org/officeDocument/2006/relationships/hyperlink" Target="https://link.springer.com/journal/11265" TargetMode="External"/><Relationship Id="rId1639" Type="http://schemas.openxmlformats.org/officeDocument/2006/relationships/hyperlink" Target="https://link.springer.com/journal/12201" TargetMode="External"/><Relationship Id="rId1846" Type="http://schemas.openxmlformats.org/officeDocument/2006/relationships/hyperlink" Target="https://link.springer.com/journal/24" TargetMode="External"/><Relationship Id="rId1706" Type="http://schemas.openxmlformats.org/officeDocument/2006/relationships/hyperlink" Target="https://link.springer.com/journal/11449" TargetMode="External"/><Relationship Id="rId1913" Type="http://schemas.openxmlformats.org/officeDocument/2006/relationships/hyperlink" Target="https://link.springer.com/journal/13163" TargetMode="External"/><Relationship Id="rId287" Type="http://schemas.openxmlformats.org/officeDocument/2006/relationships/hyperlink" Target="https://link.springer.com/journal/10518" TargetMode="External"/><Relationship Id="rId494" Type="http://schemas.openxmlformats.org/officeDocument/2006/relationships/hyperlink" Target="https://link.springer.com/journal/11908" TargetMode="External"/><Relationship Id="rId2175" Type="http://schemas.openxmlformats.org/officeDocument/2006/relationships/hyperlink" Target="https://link.springer.com/journal/12132" TargetMode="External"/><Relationship Id="rId147" Type="http://schemas.openxmlformats.org/officeDocument/2006/relationships/hyperlink" Target="https://link.springer.com/journal/12520" TargetMode="External"/><Relationship Id="rId354" Type="http://schemas.openxmlformats.org/officeDocument/2006/relationships/hyperlink" Target="https://link.springer.com/journal/12187" TargetMode="External"/><Relationship Id="rId799" Type="http://schemas.openxmlformats.org/officeDocument/2006/relationships/hyperlink" Target="https://link.springer.com/journal/13541" TargetMode="External"/><Relationship Id="rId1191" Type="http://schemas.openxmlformats.org/officeDocument/2006/relationships/hyperlink" Target="https://link.springer.com/journal/10884" TargetMode="External"/><Relationship Id="rId2035" Type="http://schemas.openxmlformats.org/officeDocument/2006/relationships/hyperlink" Target="https://link.springer.com/journal/40072" TargetMode="External"/><Relationship Id="rId561" Type="http://schemas.openxmlformats.org/officeDocument/2006/relationships/hyperlink" Target="https://link.springer.com/journal/108" TargetMode="External"/><Relationship Id="rId659" Type="http://schemas.openxmlformats.org/officeDocument/2006/relationships/hyperlink" Target="https://link.springer.com/journal/10018" TargetMode="External"/><Relationship Id="rId866" Type="http://schemas.openxmlformats.org/officeDocument/2006/relationships/hyperlink" Target="https://link.springer.com/journal/106" TargetMode="External"/><Relationship Id="rId1289" Type="http://schemas.openxmlformats.org/officeDocument/2006/relationships/hyperlink" Target="https://link.springer.com/journal/11665" TargetMode="External"/><Relationship Id="rId1496" Type="http://schemas.openxmlformats.org/officeDocument/2006/relationships/hyperlink" Target="https://link.springer.com/journal/10988" TargetMode="External"/><Relationship Id="rId214" Type="http://schemas.openxmlformats.org/officeDocument/2006/relationships/hyperlink" Target="https://link.springer.com/journal/42154" TargetMode="External"/><Relationship Id="rId421" Type="http://schemas.openxmlformats.org/officeDocument/2006/relationships/hyperlink" Target="https://link.springer.com/journal/42113" TargetMode="External"/><Relationship Id="rId519" Type="http://schemas.openxmlformats.org/officeDocument/2006/relationships/hyperlink" Target="https://link.springer.com/journal/11926" TargetMode="External"/><Relationship Id="rId1051" Type="http://schemas.openxmlformats.org/officeDocument/2006/relationships/hyperlink" Target="https://link.springer.com/journal/40995" TargetMode="External"/><Relationship Id="rId1149" Type="http://schemas.openxmlformats.org/officeDocument/2006/relationships/hyperlink" Target="https://link.springer.com/journal/10875" TargetMode="External"/><Relationship Id="rId1356" Type="http://schemas.openxmlformats.org/officeDocument/2006/relationships/hyperlink" Target="https://link.springer.com/journal/13562" TargetMode="External"/><Relationship Id="rId2102" Type="http://schemas.openxmlformats.org/officeDocument/2006/relationships/hyperlink" Target="https://link.springer.com/journal/12220" TargetMode="External"/><Relationship Id="rId726" Type="http://schemas.openxmlformats.org/officeDocument/2006/relationships/hyperlink" Target="https://link.springer.com/journal/10683" TargetMode="External"/><Relationship Id="rId933" Type="http://schemas.openxmlformats.org/officeDocument/2006/relationships/hyperlink" Target="https://link.springer.com/journal/11251" TargetMode="External"/><Relationship Id="rId1009" Type="http://schemas.openxmlformats.org/officeDocument/2006/relationships/hyperlink" Target="https://link.springer.com/journal/12613" TargetMode="External"/><Relationship Id="rId1563" Type="http://schemas.openxmlformats.org/officeDocument/2006/relationships/hyperlink" Target="https://link.springer.com/journal/12293" TargetMode="External"/><Relationship Id="rId1770" Type="http://schemas.openxmlformats.org/officeDocument/2006/relationships/hyperlink" Target="https://link.springer.com/journal/11975" TargetMode="External"/><Relationship Id="rId1868" Type="http://schemas.openxmlformats.org/officeDocument/2006/relationships/hyperlink" Target="https://link.springer.com/journal/11241" TargetMode="External"/><Relationship Id="rId62" Type="http://schemas.openxmlformats.org/officeDocument/2006/relationships/hyperlink" Target="https://link.springer.com/journal/266" TargetMode="External"/><Relationship Id="rId1216" Type="http://schemas.openxmlformats.org/officeDocument/2006/relationships/hyperlink" Target="https://link.springer.com/journal/10893" TargetMode="External"/><Relationship Id="rId1423" Type="http://schemas.openxmlformats.org/officeDocument/2006/relationships/hyperlink" Target="https://link.springer.com/journal/40881" TargetMode="External"/><Relationship Id="rId1630" Type="http://schemas.openxmlformats.org/officeDocument/2006/relationships/hyperlink" Target="https://link.springer.com/journal/11042" TargetMode="External"/><Relationship Id="rId1728" Type="http://schemas.openxmlformats.org/officeDocument/2006/relationships/hyperlink" Target="https://link.springer.com/journal/12607" TargetMode="External"/><Relationship Id="rId1935" Type="http://schemas.openxmlformats.org/officeDocument/2006/relationships/hyperlink" Target="https://link.springer.com/journal/11503" TargetMode="External"/><Relationship Id="rId2197" Type="http://schemas.openxmlformats.org/officeDocument/2006/relationships/hyperlink" Target="https://link.springer.com/journal/11270" TargetMode="External"/><Relationship Id="rId169" Type="http://schemas.openxmlformats.org/officeDocument/2006/relationships/hyperlink" Target="https://link.springer.com/journal/10503" TargetMode="External"/><Relationship Id="rId376" Type="http://schemas.openxmlformats.org/officeDocument/2006/relationships/hyperlink" Target="https://link.springer.com/journal/10098" TargetMode="External"/><Relationship Id="rId583" Type="http://schemas.openxmlformats.org/officeDocument/2006/relationships/hyperlink" Target="https://link.springer.com/journal/10624" TargetMode="External"/><Relationship Id="rId790" Type="http://schemas.openxmlformats.org/officeDocument/2006/relationships/hyperlink" Target="https://link.springer.com/journal/12147" TargetMode="External"/><Relationship Id="rId2057" Type="http://schemas.openxmlformats.org/officeDocument/2006/relationships/hyperlink" Target="https://link.springer.com/journal/11721" TargetMode="External"/><Relationship Id="rId4" Type="http://schemas.openxmlformats.org/officeDocument/2006/relationships/hyperlink" Target="https://link.springer.com/journal/261" TargetMode="External"/><Relationship Id="rId236" Type="http://schemas.openxmlformats.org/officeDocument/2006/relationships/hyperlink" Target="https://link.springer.com/journal/10532" TargetMode="External"/><Relationship Id="rId443" Type="http://schemas.openxmlformats.org/officeDocument/2006/relationships/hyperlink" Target="https://link.springer.com/journal/12397" TargetMode="External"/><Relationship Id="rId650" Type="http://schemas.openxmlformats.org/officeDocument/2006/relationships/hyperlink" Target="https://link.springer.com/journal/11474" TargetMode="External"/><Relationship Id="rId888" Type="http://schemas.openxmlformats.org/officeDocument/2006/relationships/hyperlink" Target="https://link.springer.com/journal/15015" TargetMode="External"/><Relationship Id="rId1073" Type="http://schemas.openxmlformats.org/officeDocument/2006/relationships/hyperlink" Target="https://link.springer.com/journal/41020" TargetMode="External"/><Relationship Id="rId1280" Type="http://schemas.openxmlformats.org/officeDocument/2006/relationships/hyperlink" Target="https://link.springer.com/journal/10909" TargetMode="External"/><Relationship Id="rId2124" Type="http://schemas.openxmlformats.org/officeDocument/2006/relationships/hyperlink" Target="https://link.springer.com/journal/704" TargetMode="External"/><Relationship Id="rId303" Type="http://schemas.openxmlformats.org/officeDocument/2006/relationships/hyperlink" Target="https://link.springer.com/journal/526" TargetMode="External"/><Relationship Id="rId748" Type="http://schemas.openxmlformats.org/officeDocument/2006/relationships/hyperlink" Target="https://link.springer.com/journal/12223" TargetMode="External"/><Relationship Id="rId955" Type="http://schemas.openxmlformats.org/officeDocument/2006/relationships/hyperlink" Target="https://link.springer.com/journal/11153" TargetMode="External"/><Relationship Id="rId1140" Type="http://schemas.openxmlformats.org/officeDocument/2006/relationships/hyperlink" Target="https://link.springer.com/journal/11771" TargetMode="External"/><Relationship Id="rId1378" Type="http://schemas.openxmlformats.org/officeDocument/2006/relationships/hyperlink" Target="https://link.springer.com/journal/10389" TargetMode="External"/><Relationship Id="rId1585" Type="http://schemas.openxmlformats.org/officeDocument/2006/relationships/hyperlink" Target="https://link.springer.com/journal/542" TargetMode="External"/><Relationship Id="rId1792" Type="http://schemas.openxmlformats.org/officeDocument/2006/relationships/hyperlink" Target="https://link.springer.com/journal/300" TargetMode="External"/><Relationship Id="rId84" Type="http://schemas.openxmlformats.org/officeDocument/2006/relationships/hyperlink" Target="https://link.springer.com/journal/12103" TargetMode="External"/><Relationship Id="rId510" Type="http://schemas.openxmlformats.org/officeDocument/2006/relationships/hyperlink" Target="https://link.springer.com/journal/40124" TargetMode="External"/><Relationship Id="rId608" Type="http://schemas.openxmlformats.org/officeDocument/2006/relationships/hyperlink" Target="https://link.springer.com/journal/12145" TargetMode="External"/><Relationship Id="rId815" Type="http://schemas.openxmlformats.org/officeDocument/2006/relationships/hyperlink" Target="https://link.springer.com/journal/10720" TargetMode="External"/><Relationship Id="rId1238" Type="http://schemas.openxmlformats.org/officeDocument/2006/relationships/hyperlink" Target="https://link.springer.com/journal/11606" TargetMode="External"/><Relationship Id="rId1445" Type="http://schemas.openxmlformats.org/officeDocument/2006/relationships/hyperlink" Target="https://link.springer.com/journal/11239" TargetMode="External"/><Relationship Id="rId1652" Type="http://schemas.openxmlformats.org/officeDocument/2006/relationships/hyperlink" Target="https://link.springer.com/journal/40802" TargetMode="External"/><Relationship Id="rId1000" Type="http://schemas.openxmlformats.org/officeDocument/2006/relationships/hyperlink" Target="https://link.springer.com/journal/41315" TargetMode="External"/><Relationship Id="rId1305" Type="http://schemas.openxmlformats.org/officeDocument/2006/relationships/hyperlink" Target="https://link.springer.com/journal/41965" TargetMode="External"/><Relationship Id="rId1957" Type="http://schemas.openxmlformats.org/officeDocument/2006/relationships/hyperlink" Target="https://link.springer.com/journal/11948" TargetMode="External"/><Relationship Id="rId1512" Type="http://schemas.openxmlformats.org/officeDocument/2006/relationships/hyperlink" Target="https://link.springer.com/journal/11575" TargetMode="External"/><Relationship Id="rId1817" Type="http://schemas.openxmlformats.org/officeDocument/2006/relationships/hyperlink" Target="https://link.springer.com/journal/12044" TargetMode="External"/><Relationship Id="rId11" Type="http://schemas.openxmlformats.org/officeDocument/2006/relationships/hyperlink" Target="https://link.springer.com/journal/12136" TargetMode="External"/><Relationship Id="rId398" Type="http://schemas.openxmlformats.org/officeDocument/2006/relationships/hyperlink" Target="https://link.springer.com/journal/10111" TargetMode="External"/><Relationship Id="rId2079" Type="http://schemas.openxmlformats.org/officeDocument/2006/relationships/hyperlink" Target="https://link.springer.com/journal/13384" TargetMode="External"/><Relationship Id="rId160" Type="http://schemas.openxmlformats.org/officeDocument/2006/relationships/hyperlink" Target="https://link.springer.com/journal/404" TargetMode="External"/><Relationship Id="rId258" Type="http://schemas.openxmlformats.org/officeDocument/2006/relationships/hyperlink" Target="https://link.springer.com/journal/10544" TargetMode="External"/><Relationship Id="rId465" Type="http://schemas.openxmlformats.org/officeDocument/2006/relationships/hyperlink" Target="https://link.springer.com/journal/11882" TargetMode="External"/><Relationship Id="rId672" Type="http://schemas.openxmlformats.org/officeDocument/2006/relationships/hyperlink" Target="https://link.springer.com/journal/10388" TargetMode="External"/><Relationship Id="rId1095" Type="http://schemas.openxmlformats.org/officeDocument/2006/relationships/hyperlink" Target="https://link.springer.com/journal/41664" TargetMode="External"/><Relationship Id="rId2146" Type="http://schemas.openxmlformats.org/officeDocument/2006/relationships/hyperlink" Target="https://link.springer.com/journal/43188" TargetMode="External"/><Relationship Id="rId118" Type="http://schemas.openxmlformats.org/officeDocument/2006/relationships/hyperlink" Target="https://link.springer.com/journal/10495" TargetMode="External"/><Relationship Id="rId325" Type="http://schemas.openxmlformats.org/officeDocument/2006/relationships/hyperlink" Target="https://link.springer.com/journal/13272" TargetMode="External"/><Relationship Id="rId532" Type="http://schemas.openxmlformats.org/officeDocument/2006/relationships/hyperlink" Target="https://link.springer.com/journal/40506" TargetMode="External"/><Relationship Id="rId977" Type="http://schemas.openxmlformats.org/officeDocument/2006/relationships/hyperlink" Target="https://link.springer.com/journal/41060" TargetMode="External"/><Relationship Id="rId1162" Type="http://schemas.openxmlformats.org/officeDocument/2006/relationships/hyperlink" Target="https://link.springer.com/journal/10825" TargetMode="External"/><Relationship Id="rId2006" Type="http://schemas.openxmlformats.org/officeDocument/2006/relationships/hyperlink" Target="https://link.springer.com/journal/500" TargetMode="External"/><Relationship Id="rId2213" Type="http://schemas.openxmlformats.org/officeDocument/2006/relationships/hyperlink" Target="https://link.springer.com/journal/345" TargetMode="External"/><Relationship Id="rId837" Type="http://schemas.openxmlformats.org/officeDocument/2006/relationships/hyperlink" Target="https://link.springer.com/journal/40803" TargetMode="External"/><Relationship Id="rId1022" Type="http://schemas.openxmlformats.org/officeDocument/2006/relationships/hyperlink" Target="https://link.springer.com/journal/12369" TargetMode="External"/><Relationship Id="rId1467" Type="http://schemas.openxmlformats.org/officeDocument/2006/relationships/hyperlink" Target="https://link.springer.com/journal/167" TargetMode="External"/><Relationship Id="rId1674" Type="http://schemas.openxmlformats.org/officeDocument/2006/relationships/hyperlink" Target="https://link.springer.com/journal/12640" TargetMode="External"/><Relationship Id="rId1881" Type="http://schemas.openxmlformats.org/officeDocument/2006/relationships/hyperlink" Target="https://link.springer.com/journal/163" TargetMode="External"/><Relationship Id="rId904" Type="http://schemas.openxmlformats.org/officeDocument/2006/relationships/hyperlink" Target="https://link.springer.com/journal/12098" TargetMode="External"/><Relationship Id="rId1327" Type="http://schemas.openxmlformats.org/officeDocument/2006/relationships/hyperlink" Target="https://link.springer.com/journal/10921" TargetMode="External"/><Relationship Id="rId1534" Type="http://schemas.openxmlformats.org/officeDocument/2006/relationships/hyperlink" Target="https://link.springer.com/journal/11040" TargetMode="External"/><Relationship Id="rId1741" Type="http://schemas.openxmlformats.org/officeDocument/2006/relationships/hyperlink" Target="https://link.springer.com/journal/12083" TargetMode="External"/><Relationship Id="rId1979" Type="http://schemas.openxmlformats.org/officeDocument/2006/relationships/hyperlink" Target="https://link.springer.com/journal/12119" TargetMode="External"/><Relationship Id="rId33" Type="http://schemas.openxmlformats.org/officeDocument/2006/relationships/hyperlink" Target="https://link.springer.com/journal/13131" TargetMode="External"/><Relationship Id="rId1601" Type="http://schemas.openxmlformats.org/officeDocument/2006/relationships/hyperlink" Target="https://link.springer.com/journal/11010" TargetMode="External"/><Relationship Id="rId1839" Type="http://schemas.openxmlformats.org/officeDocument/2006/relationships/hyperlink" Target="https://link.springer.com/journal/278" TargetMode="External"/><Relationship Id="rId182" Type="http://schemas.openxmlformats.org/officeDocument/2006/relationships/hyperlink" Target="https://link.springer.com/journal/13520" TargetMode="External"/><Relationship Id="rId1906" Type="http://schemas.openxmlformats.org/officeDocument/2006/relationships/hyperlink" Target="https://link.springer.com/journal/11154" TargetMode="External"/><Relationship Id="rId487" Type="http://schemas.openxmlformats.org/officeDocument/2006/relationships/hyperlink" Target="https://link.springer.com/journal/294" TargetMode="External"/><Relationship Id="rId694" Type="http://schemas.openxmlformats.org/officeDocument/2006/relationships/hyperlink" Target="https://link.springer.com/journal/421" TargetMode="External"/><Relationship Id="rId2070" Type="http://schemas.openxmlformats.org/officeDocument/2006/relationships/hyperlink" Target="https://link.springer.com/journal/11233" TargetMode="External"/><Relationship Id="rId2168" Type="http://schemas.openxmlformats.org/officeDocument/2006/relationships/hyperlink" Target="https://link.springer.com/journal/40858" TargetMode="External"/><Relationship Id="rId347" Type="http://schemas.openxmlformats.org/officeDocument/2006/relationships/hyperlink" Target="https://link.springer.com/journal/10593" TargetMode="External"/><Relationship Id="rId999" Type="http://schemas.openxmlformats.org/officeDocument/2006/relationships/hyperlink" Target="https://link.springer.com/journal/41870" TargetMode="External"/><Relationship Id="rId1184" Type="http://schemas.openxmlformats.org/officeDocument/2006/relationships/hyperlink" Target="https://link.springer.com/journal/40865" TargetMode="External"/><Relationship Id="rId2028" Type="http://schemas.openxmlformats.org/officeDocument/2006/relationships/hyperlink" Target="https://link.springer.com/journal/10260" TargetMode="External"/><Relationship Id="rId554" Type="http://schemas.openxmlformats.org/officeDocument/2006/relationships/hyperlink" Target="https://link.springer.com/journal/101" TargetMode="External"/><Relationship Id="rId761" Type="http://schemas.openxmlformats.org/officeDocument/2006/relationships/hyperlink" Target="https://link.springer.com/journal/10010" TargetMode="External"/><Relationship Id="rId859" Type="http://schemas.openxmlformats.org/officeDocument/2006/relationships/hyperlink" Target="https://link.springer.com/journal/44210" TargetMode="External"/><Relationship Id="rId1391" Type="http://schemas.openxmlformats.org/officeDocument/2006/relationships/hyperlink" Target="https://link.springer.com/journal/11701" TargetMode="External"/><Relationship Id="rId1489" Type="http://schemas.openxmlformats.org/officeDocument/2006/relationships/hyperlink" Target="https://link.springer.com/journal/10984" TargetMode="External"/><Relationship Id="rId1696" Type="http://schemas.openxmlformats.org/officeDocument/2006/relationships/hyperlink" Target="https://link.springer.com/journal/442" TargetMode="External"/><Relationship Id="rId2235" Type="http://schemas.openxmlformats.org/officeDocument/2006/relationships/hyperlink" Target="https://link.springer.com/journal/12286" TargetMode="External"/><Relationship Id="rId207" Type="http://schemas.openxmlformats.org/officeDocument/2006/relationships/hyperlink" Target="https://link.springer.com/journal/41133" TargetMode="External"/><Relationship Id="rId414" Type="http://schemas.openxmlformats.org/officeDocument/2006/relationships/hyperlink" Target="https://link.springer.com/journal/42974" TargetMode="External"/><Relationship Id="rId621" Type="http://schemas.openxmlformats.org/officeDocument/2006/relationships/hyperlink" Target="https://link.springer.com/journal/10021" TargetMode="External"/><Relationship Id="rId1044" Type="http://schemas.openxmlformats.org/officeDocument/2006/relationships/hyperlink" Target="https://link.springer.com/journal/10797" TargetMode="External"/><Relationship Id="rId1251" Type="http://schemas.openxmlformats.org/officeDocument/2006/relationships/hyperlink" Target="https://link.springer.com/journal/42843" TargetMode="External"/><Relationship Id="rId1349" Type="http://schemas.openxmlformats.org/officeDocument/2006/relationships/hyperlink" Target="https://link.springer.com/journal/10340" TargetMode="External"/><Relationship Id="rId719" Type="http://schemas.openxmlformats.org/officeDocument/2006/relationships/hyperlink" Target="https://link.springer.com/journal/12065" TargetMode="External"/><Relationship Id="rId926" Type="http://schemas.openxmlformats.org/officeDocument/2006/relationships/hyperlink" Target="https://link.springer.com/journal/12212" TargetMode="External"/><Relationship Id="rId1111" Type="http://schemas.openxmlformats.org/officeDocument/2006/relationships/hyperlink" Target="https://link.springer.com/journal/10815" TargetMode="External"/><Relationship Id="rId1556" Type="http://schemas.openxmlformats.org/officeDocument/2006/relationships/hyperlink" Target="https://link.springer.com/journal/44" TargetMode="External"/><Relationship Id="rId1763" Type="http://schemas.openxmlformats.org/officeDocument/2006/relationships/hyperlink" Target="https://link.springer.com/journal/40334" TargetMode="External"/><Relationship Id="rId1970" Type="http://schemas.openxmlformats.org/officeDocument/2006/relationships/hyperlink" Target="https://link.springer.com/journal/40324" TargetMode="External"/><Relationship Id="rId55" Type="http://schemas.openxmlformats.org/officeDocument/2006/relationships/hyperlink" Target="https://link.springer.com/journal/13596" TargetMode="External"/><Relationship Id="rId1209" Type="http://schemas.openxmlformats.org/officeDocument/2006/relationships/hyperlink" Target="https://link.springer.com/journal/10665" TargetMode="External"/><Relationship Id="rId1416" Type="http://schemas.openxmlformats.org/officeDocument/2006/relationships/hyperlink" Target="https://link.springer.com/journal/11424" TargetMode="External"/><Relationship Id="rId1623" Type="http://schemas.openxmlformats.org/officeDocument/2006/relationships/hyperlink" Target="https://link.springer.com/journal/11973" TargetMode="External"/><Relationship Id="rId1830" Type="http://schemas.openxmlformats.org/officeDocument/2006/relationships/hyperlink" Target="https://link.springer.com/journal/709" TargetMode="External"/><Relationship Id="rId1928" Type="http://schemas.openxmlformats.org/officeDocument/2006/relationships/hyperlink" Target="https://link.springer.com/journal/11174" TargetMode="External"/><Relationship Id="rId2092" Type="http://schemas.openxmlformats.org/officeDocument/2006/relationships/hyperlink" Target="https://link.springer.com/journal/10554" TargetMode="External"/><Relationship Id="rId271" Type="http://schemas.openxmlformats.org/officeDocument/2006/relationships/hyperlink" Target="https://link.springer.com/journal/40590" TargetMode="External"/><Relationship Id="rId131" Type="http://schemas.openxmlformats.org/officeDocument/2006/relationships/hyperlink" Target="https://link.springer.com/journal/10483" TargetMode="External"/><Relationship Id="rId369" Type="http://schemas.openxmlformats.org/officeDocument/2006/relationships/hyperlink" Target="https://link.springer.com/journal/52" TargetMode="External"/><Relationship Id="rId576" Type="http://schemas.openxmlformats.org/officeDocument/2006/relationships/hyperlink" Target="https://link.springer.com/journal/10617" TargetMode="External"/><Relationship Id="rId783" Type="http://schemas.openxmlformats.org/officeDocument/2006/relationships/hyperlink" Target="https://link.springer.com/journal/10688" TargetMode="External"/><Relationship Id="rId990" Type="http://schemas.openxmlformats.org/officeDocument/2006/relationships/hyperlink" Target="https://link.springer.com/journal/40815" TargetMode="External"/><Relationship Id="rId229" Type="http://schemas.openxmlformats.org/officeDocument/2006/relationships/hyperlink" Target="https://link.springer.com/journal/501" TargetMode="External"/><Relationship Id="rId436" Type="http://schemas.openxmlformats.org/officeDocument/2006/relationships/hyperlink" Target="https://link.springer.com/journal/12686" TargetMode="External"/><Relationship Id="rId643" Type="http://schemas.openxmlformats.org/officeDocument/2006/relationships/hyperlink" Target="https://link.springer.com/journal/12020" TargetMode="External"/><Relationship Id="rId1066" Type="http://schemas.openxmlformats.org/officeDocument/2006/relationships/hyperlink" Target="https://link.springer.com/journal/13160" TargetMode="External"/><Relationship Id="rId1273" Type="http://schemas.openxmlformats.org/officeDocument/2006/relationships/hyperlink" Target="https://link.springer.com/journal/10845" TargetMode="External"/><Relationship Id="rId1480" Type="http://schemas.openxmlformats.org/officeDocument/2006/relationships/hyperlink" Target="https://link.springer.com/journal/423" TargetMode="External"/><Relationship Id="rId2117" Type="http://schemas.openxmlformats.org/officeDocument/2006/relationships/hyperlink" Target="https://link.springer.com/journal/11138" TargetMode="External"/><Relationship Id="rId850" Type="http://schemas.openxmlformats.org/officeDocument/2006/relationships/hyperlink" Target="https://link.springer.com/journal/10730" TargetMode="External"/><Relationship Id="rId948" Type="http://schemas.openxmlformats.org/officeDocument/2006/relationships/hyperlink" Target="https://link.springer.com/journal/40636" TargetMode="External"/><Relationship Id="rId1133" Type="http://schemas.openxmlformats.org/officeDocument/2006/relationships/hyperlink" Target="https://link.springer.com/journal/11573" TargetMode="External"/><Relationship Id="rId1578" Type="http://schemas.openxmlformats.org/officeDocument/2006/relationships/hyperlink" Target="https://link.springer.com/journal/184" TargetMode="External"/><Relationship Id="rId1785" Type="http://schemas.openxmlformats.org/officeDocument/2006/relationships/hyperlink" Target="https://link.springer.com/journal/497" TargetMode="External"/><Relationship Id="rId1992" Type="http://schemas.openxmlformats.org/officeDocument/2006/relationships/hyperlink" Target="https://link.springer.com/journal/11187" TargetMode="External"/><Relationship Id="rId77" Type="http://schemas.openxmlformats.org/officeDocument/2006/relationships/hyperlink" Target="https://link.springer.com/journal/12" TargetMode="External"/><Relationship Id="rId503" Type="http://schemas.openxmlformats.org/officeDocument/2006/relationships/hyperlink" Target="https://link.springer.com/journal/11912" TargetMode="External"/><Relationship Id="rId710" Type="http://schemas.openxmlformats.org/officeDocument/2006/relationships/hyperlink" Target="https://link.springer.com/journal/10344" TargetMode="External"/><Relationship Id="rId808" Type="http://schemas.openxmlformats.org/officeDocument/2006/relationships/hyperlink" Target="https://link.springer.com/journal/12303" TargetMode="External"/><Relationship Id="rId1340" Type="http://schemas.openxmlformats.org/officeDocument/2006/relationships/hyperlink" Target="https://link.springer.com/journal/56" TargetMode="External"/><Relationship Id="rId1438" Type="http://schemas.openxmlformats.org/officeDocument/2006/relationships/hyperlink" Target="https://link.springer.com/journal/40042" TargetMode="External"/><Relationship Id="rId1645" Type="http://schemas.openxmlformats.org/officeDocument/2006/relationships/hyperlink" Target="https://link.springer.com/journal/11049" TargetMode="External"/><Relationship Id="rId1200" Type="http://schemas.openxmlformats.org/officeDocument/2006/relationships/hyperlink" Target="https://link.springer.com/journal/41996" TargetMode="External"/><Relationship Id="rId1852" Type="http://schemas.openxmlformats.org/officeDocument/2006/relationships/hyperlink" Target="https://link.springer.com/journal/11136" TargetMode="External"/><Relationship Id="rId1505" Type="http://schemas.openxmlformats.org/officeDocument/2006/relationships/hyperlink" Target="https://link.springer.com/journal/10994" TargetMode="External"/><Relationship Id="rId1712" Type="http://schemas.openxmlformats.org/officeDocument/2006/relationships/hyperlink" Target="https://link.springer.com/journal/10006" TargetMode="External"/><Relationship Id="rId293" Type="http://schemas.openxmlformats.org/officeDocument/2006/relationships/hyperlink" Target="https://link.springer.com/journal/574" TargetMode="External"/><Relationship Id="rId2181" Type="http://schemas.openxmlformats.org/officeDocument/2006/relationships/hyperlink" Target="https://link.springer.com/journal/42535" TargetMode="External"/><Relationship Id="rId153" Type="http://schemas.openxmlformats.org/officeDocument/2006/relationships/hyperlink" Target="https://link.springer.com/journal/153" TargetMode="External"/><Relationship Id="rId360" Type="http://schemas.openxmlformats.org/officeDocument/2006/relationships/hyperlink" Target="https://link.springer.com/journal/13344" TargetMode="External"/><Relationship Id="rId598" Type="http://schemas.openxmlformats.org/officeDocument/2006/relationships/hyperlink" Target="https://link.springer.com/journal/10631" TargetMode="External"/><Relationship Id="rId2041" Type="http://schemas.openxmlformats.org/officeDocument/2006/relationships/hyperlink" Target="https://link.springer.com/journal/11200" TargetMode="External"/><Relationship Id="rId220" Type="http://schemas.openxmlformats.org/officeDocument/2006/relationships/hyperlink" Target="https://link.springer.com/journal/40617" TargetMode="External"/><Relationship Id="rId458" Type="http://schemas.openxmlformats.org/officeDocument/2006/relationships/hyperlink" Target="https://link.springer.com/journal/12095" TargetMode="External"/><Relationship Id="rId665" Type="http://schemas.openxmlformats.org/officeDocument/2006/relationships/hyperlink" Target="https://link.springer.com/journal/40710" TargetMode="External"/><Relationship Id="rId872" Type="http://schemas.openxmlformats.org/officeDocument/2006/relationships/hyperlink" Target="https://link.springer.com/journal/13577" TargetMode="External"/><Relationship Id="rId1088" Type="http://schemas.openxmlformats.org/officeDocument/2006/relationships/hyperlink" Target="https://link.springer.com/journal/11726" TargetMode="External"/><Relationship Id="rId1295" Type="http://schemas.openxmlformats.org/officeDocument/2006/relationships/hyperlink" Target="https://link.springer.com/journal/10851" TargetMode="External"/><Relationship Id="rId2139" Type="http://schemas.openxmlformats.org/officeDocument/2006/relationships/hyperlink" Target="https://link.springer.com/journal/11509" TargetMode="External"/><Relationship Id="rId318" Type="http://schemas.openxmlformats.org/officeDocument/2006/relationships/hyperlink" Target="https://link.springer.com/journal/12928" TargetMode="External"/><Relationship Id="rId525" Type="http://schemas.openxmlformats.org/officeDocument/2006/relationships/hyperlink" Target="https://link.springer.com/journal/40518" TargetMode="External"/><Relationship Id="rId732" Type="http://schemas.openxmlformats.org/officeDocument/2006/relationships/hyperlink" Target="https://link.springer.com/journal/792" TargetMode="External"/><Relationship Id="rId1155" Type="http://schemas.openxmlformats.org/officeDocument/2006/relationships/hyperlink" Target="https://link.springer.com/journal/41465" TargetMode="External"/><Relationship Id="rId1362" Type="http://schemas.openxmlformats.org/officeDocument/2006/relationships/hyperlink" Target="https://link.springer.com/journal/11896" TargetMode="External"/><Relationship Id="rId2206" Type="http://schemas.openxmlformats.org/officeDocument/2006/relationships/hyperlink" Target="https://link.springer.com/journal/35764" TargetMode="External"/><Relationship Id="rId99" Type="http://schemas.openxmlformats.org/officeDocument/2006/relationships/hyperlink" Target="https://link.springer.com/journal/10231" TargetMode="External"/><Relationship Id="rId1015" Type="http://schemas.openxmlformats.org/officeDocument/2006/relationships/hyperlink" Target="https://link.springer.com/journal/10767" TargetMode="External"/><Relationship Id="rId1222" Type="http://schemas.openxmlformats.org/officeDocument/2006/relationships/hyperlink" Target="https://link.springer.com/journal/10896" TargetMode="External"/><Relationship Id="rId1667" Type="http://schemas.openxmlformats.org/officeDocument/2006/relationships/hyperlink" Target="https://link.springer.com/journal/40211" TargetMode="External"/><Relationship Id="rId1874" Type="http://schemas.openxmlformats.org/officeDocument/2006/relationships/hyperlink" Target="https://link.springer.com/journal/11819" TargetMode="External"/><Relationship Id="rId1527" Type="http://schemas.openxmlformats.org/officeDocument/2006/relationships/hyperlink" Target="https://link.springer.com/journal/11003" TargetMode="External"/><Relationship Id="rId1734" Type="http://schemas.openxmlformats.org/officeDocument/2006/relationships/hyperlink" Target="https://link.springer.com/journal/11089" TargetMode="External"/><Relationship Id="rId1941" Type="http://schemas.openxmlformats.org/officeDocument/2006/relationships/hyperlink" Target="https://link.springer.com/journal/11826" TargetMode="External"/><Relationship Id="rId26" Type="http://schemas.openxmlformats.org/officeDocument/2006/relationships/hyperlink" Target="https://link.springer.com/journal/707" TargetMode="External"/><Relationship Id="rId175" Type="http://schemas.openxmlformats.org/officeDocument/2006/relationships/hyperlink" Target="https://link.springer.com/journal/10462" TargetMode="External"/><Relationship Id="rId1801" Type="http://schemas.openxmlformats.org/officeDocument/2006/relationships/hyperlink" Target="https://link.springer.com/journal/10258" TargetMode="External"/><Relationship Id="rId382" Type="http://schemas.openxmlformats.org/officeDocument/2006/relationships/hyperlink" Target="https://link.springer.com/journal/40336" TargetMode="External"/><Relationship Id="rId687" Type="http://schemas.openxmlformats.org/officeDocument/2006/relationships/hyperlink" Target="https://link.springer.com/journal/40804" TargetMode="External"/><Relationship Id="rId2063" Type="http://schemas.openxmlformats.org/officeDocument/2006/relationships/hyperlink" Target="https://link.springer.com/journal/11454" TargetMode="External"/><Relationship Id="rId242" Type="http://schemas.openxmlformats.org/officeDocument/2006/relationships/hyperlink" Target="https://link.springer.com/journal/11756" TargetMode="External"/><Relationship Id="rId894" Type="http://schemas.openxmlformats.org/officeDocument/2006/relationships/hyperlink" Target="https://link.springer.com/journal/44164" TargetMode="External"/><Relationship Id="rId1177" Type="http://schemas.openxmlformats.org/officeDocument/2006/relationships/hyperlink" Target="https://link.springer.com/journal/12892" TargetMode="External"/><Relationship Id="rId2130" Type="http://schemas.openxmlformats.org/officeDocument/2006/relationships/hyperlink" Target="https://link.springer.com/journal/214" TargetMode="External"/><Relationship Id="rId102" Type="http://schemas.openxmlformats.org/officeDocument/2006/relationships/hyperlink" Target="https://link.springer.com/journal/40745" TargetMode="External"/><Relationship Id="rId547" Type="http://schemas.openxmlformats.org/officeDocument/2006/relationships/hyperlink" Target="https://link.springer.com/journal/40199" TargetMode="External"/><Relationship Id="rId754" Type="http://schemas.openxmlformats.org/officeDocument/2006/relationships/hyperlink" Target="https://link.springer.com/journal/41055" TargetMode="External"/><Relationship Id="rId961" Type="http://schemas.openxmlformats.org/officeDocument/2006/relationships/hyperlink" Target="https://link.springer.com/journal/41042" TargetMode="External"/><Relationship Id="rId1384" Type="http://schemas.openxmlformats.org/officeDocument/2006/relationships/hyperlink" Target="https://link.springer.com/journal/11554" TargetMode="External"/><Relationship Id="rId1591" Type="http://schemas.openxmlformats.org/officeDocument/2006/relationships/hyperlink" Target="https://link.springer.com/journal/13563" TargetMode="External"/><Relationship Id="rId1689" Type="http://schemas.openxmlformats.org/officeDocument/2006/relationships/hyperlink" Target="https://link.springer.com/journal/11678" TargetMode="External"/><Relationship Id="rId2228" Type="http://schemas.openxmlformats.org/officeDocument/2006/relationships/hyperlink" Target="https://link.springer.com/journal/42278" TargetMode="External"/><Relationship Id="rId90" Type="http://schemas.openxmlformats.org/officeDocument/2006/relationships/hyperlink" Target="https://link.springer.com/journal/13324" TargetMode="External"/><Relationship Id="rId407" Type="http://schemas.openxmlformats.org/officeDocument/2006/relationships/hyperlink" Target="https://link.springer.com/journal/10595" TargetMode="External"/><Relationship Id="rId614" Type="http://schemas.openxmlformats.org/officeDocument/2006/relationships/hyperlink" Target="https://link.springer.com/journal/40888" TargetMode="External"/><Relationship Id="rId821" Type="http://schemas.openxmlformats.org/officeDocument/2006/relationships/hyperlink" Target="https://link.springer.com/journal/44186" TargetMode="External"/><Relationship Id="rId1037" Type="http://schemas.openxmlformats.org/officeDocument/2006/relationships/hyperlink" Target="https://link.springer.com/journal/10123" TargetMode="External"/><Relationship Id="rId1244" Type="http://schemas.openxmlformats.org/officeDocument/2006/relationships/hyperlink" Target="https://link.springer.com/journal/22" TargetMode="External"/><Relationship Id="rId1451" Type="http://schemas.openxmlformats.org/officeDocument/2006/relationships/hyperlink" Target="https://link.springer.com/journal/11711" TargetMode="External"/><Relationship Id="rId1896" Type="http://schemas.openxmlformats.org/officeDocument/2006/relationships/hyperlink" Target="https://link.springer.com/journal/11150" TargetMode="External"/><Relationship Id="rId919" Type="http://schemas.openxmlformats.org/officeDocument/2006/relationships/hyperlink" Target="https://link.springer.com/journal/287" TargetMode="External"/><Relationship Id="rId1104" Type="http://schemas.openxmlformats.org/officeDocument/2006/relationships/hyperlink" Target="https://link.springer.com/journal/10811" TargetMode="External"/><Relationship Id="rId1311" Type="http://schemas.openxmlformats.org/officeDocument/2006/relationships/hyperlink" Target="https://link.springer.com/journal/10735" TargetMode="External"/><Relationship Id="rId1549" Type="http://schemas.openxmlformats.org/officeDocument/2006/relationships/hyperlink" Target="https://link.springer.com/journal/11964" TargetMode="External"/><Relationship Id="rId1756" Type="http://schemas.openxmlformats.org/officeDocument/2006/relationships/hyperlink" Target="https://link.springer.com/journal/11406" TargetMode="External"/><Relationship Id="rId1963" Type="http://schemas.openxmlformats.org/officeDocument/2006/relationships/hyperlink" Target="https://link.springer.com/journal/11425" TargetMode="External"/><Relationship Id="rId48" Type="http://schemas.openxmlformats.org/officeDocument/2006/relationships/hyperlink" Target="https://link.springer.com/journal/10444" TargetMode="External"/><Relationship Id="rId1409" Type="http://schemas.openxmlformats.org/officeDocument/2006/relationships/hyperlink" Target="https://link.springer.com/journal/10955" TargetMode="External"/><Relationship Id="rId1616" Type="http://schemas.openxmlformats.org/officeDocument/2006/relationships/hyperlink" Target="https://link.springer.com/journal/11966" TargetMode="External"/><Relationship Id="rId1823" Type="http://schemas.openxmlformats.org/officeDocument/2006/relationships/hyperlink" Target="https://link.springer.com/journal/11740" TargetMode="External"/><Relationship Id="rId197" Type="http://schemas.openxmlformats.org/officeDocument/2006/relationships/hyperlink" Target="https://link.springer.com/journal/10509" TargetMode="External"/><Relationship Id="rId2085" Type="http://schemas.openxmlformats.org/officeDocument/2006/relationships/hyperlink" Target="https://link.springer.com/journal/10053" TargetMode="External"/><Relationship Id="rId264" Type="http://schemas.openxmlformats.org/officeDocument/2006/relationships/hyperlink" Target="https://link.springer.com/journal/11439" TargetMode="External"/><Relationship Id="rId471" Type="http://schemas.openxmlformats.org/officeDocument/2006/relationships/hyperlink" Target="https://link.springer.com/journal/11886" TargetMode="External"/><Relationship Id="rId2152" Type="http://schemas.openxmlformats.org/officeDocument/2006/relationships/hyperlink" Target="https://link.springer.com/journal/31" TargetMode="External"/><Relationship Id="rId124" Type="http://schemas.openxmlformats.org/officeDocument/2006/relationships/hyperlink" Target="https://link.springer.com/journal/10443" TargetMode="External"/><Relationship Id="rId569" Type="http://schemas.openxmlformats.org/officeDocument/2006/relationships/hyperlink" Target="https://link.springer.com/journal/132" TargetMode="External"/><Relationship Id="rId776" Type="http://schemas.openxmlformats.org/officeDocument/2006/relationships/hyperlink" Target="https://link.springer.com/journal/11464" TargetMode="External"/><Relationship Id="rId983" Type="http://schemas.openxmlformats.org/officeDocument/2006/relationships/hyperlink" Target="https://link.springer.com/journal/42495" TargetMode="External"/><Relationship Id="rId1199" Type="http://schemas.openxmlformats.org/officeDocument/2006/relationships/hyperlink" Target="https://link.springer.com/journal/12197" TargetMode="External"/><Relationship Id="rId331" Type="http://schemas.openxmlformats.org/officeDocument/2006/relationships/hyperlink" Target="https://link.springer.com/journal/12013" TargetMode="External"/><Relationship Id="rId429" Type="http://schemas.openxmlformats.org/officeDocument/2006/relationships/hyperlink" Target="https://link.springer.com/journal/40315" TargetMode="External"/><Relationship Id="rId636" Type="http://schemas.openxmlformats.org/officeDocument/2006/relationships/hyperlink" Target="https://link.springer.com/journal/10140" TargetMode="External"/><Relationship Id="rId1059" Type="http://schemas.openxmlformats.org/officeDocument/2006/relationships/hyperlink" Target="https://link.springer.com/journal/41683" TargetMode="External"/><Relationship Id="rId1266" Type="http://schemas.openxmlformats.org/officeDocument/2006/relationships/hyperlink" Target="https://link.springer.com/journal/10842" TargetMode="External"/><Relationship Id="rId1473" Type="http://schemas.openxmlformats.org/officeDocument/2006/relationships/hyperlink" Target="https://link.springer.com/journal/11577" TargetMode="External"/><Relationship Id="rId2012" Type="http://schemas.openxmlformats.org/officeDocument/2006/relationships/hyperlink" Target="https://link.springer.com/journal/11208" TargetMode="External"/><Relationship Id="rId843" Type="http://schemas.openxmlformats.org/officeDocument/2006/relationships/hyperlink" Target="https://link.springer.com/journal/10729" TargetMode="External"/><Relationship Id="rId1126" Type="http://schemas.openxmlformats.org/officeDocument/2006/relationships/hyperlink" Target="https://link.springer.com/journal/42235" TargetMode="External"/><Relationship Id="rId1680" Type="http://schemas.openxmlformats.org/officeDocument/2006/relationships/hyperlink" Target="https://link.springer.com/journal/11071" TargetMode="External"/><Relationship Id="rId1778" Type="http://schemas.openxmlformats.org/officeDocument/2006/relationships/hyperlink" Target="https://link.springer.com/journal/11240" TargetMode="External"/><Relationship Id="rId1985" Type="http://schemas.openxmlformats.org/officeDocument/2006/relationships/hyperlink" Target="https://link.springer.com/journal/11202" TargetMode="External"/><Relationship Id="rId703" Type="http://schemas.openxmlformats.org/officeDocument/2006/relationships/hyperlink" Target="https://link.springer.com/journal/394" TargetMode="External"/><Relationship Id="rId910" Type="http://schemas.openxmlformats.org/officeDocument/2006/relationships/hyperlink" Target="https://link.springer.com/journal/13312" TargetMode="External"/><Relationship Id="rId1333" Type="http://schemas.openxmlformats.org/officeDocument/2006/relationships/hyperlink" Target="https://link.springer.com/journal/11802" TargetMode="External"/><Relationship Id="rId1540" Type="http://schemas.openxmlformats.org/officeDocument/2006/relationships/hyperlink" Target="https://link.springer.com/journal/11786" TargetMode="External"/><Relationship Id="rId1638" Type="http://schemas.openxmlformats.org/officeDocument/2006/relationships/hyperlink" Target="https://link.springer.com/journal/12274" TargetMode="External"/><Relationship Id="rId1400" Type="http://schemas.openxmlformats.org/officeDocument/2006/relationships/hyperlink" Target="https://link.springer.com/journal/12204" TargetMode="External"/><Relationship Id="rId1845" Type="http://schemas.openxmlformats.org/officeDocument/2006/relationships/hyperlink" Target="https://link.springer.com/journal/11616" TargetMode="External"/><Relationship Id="rId1705" Type="http://schemas.openxmlformats.org/officeDocument/2006/relationships/hyperlink" Target="https://link.springer.com/journal/10043" TargetMode="External"/><Relationship Id="rId1912" Type="http://schemas.openxmlformats.org/officeDocument/2006/relationships/hyperlink" Target="https://link.springer.com/journal/13398" TargetMode="External"/><Relationship Id="rId286" Type="http://schemas.openxmlformats.org/officeDocument/2006/relationships/hyperlink" Target="https://link.springer.com/journal/42865" TargetMode="External"/><Relationship Id="rId493" Type="http://schemas.openxmlformats.org/officeDocument/2006/relationships/hyperlink" Target="https://link.springer.com/journal/11906" TargetMode="External"/><Relationship Id="rId2174" Type="http://schemas.openxmlformats.org/officeDocument/2006/relationships/hyperlink" Target="https://link.springer.com/journal/11252" TargetMode="External"/><Relationship Id="rId146" Type="http://schemas.openxmlformats.org/officeDocument/2006/relationships/hyperlink" Target="https://link.springer.com/journal/12517" TargetMode="External"/><Relationship Id="rId353" Type="http://schemas.openxmlformats.org/officeDocument/2006/relationships/hyperlink" Target="https://link.springer.com/journal/10560" TargetMode="External"/><Relationship Id="rId560" Type="http://schemas.openxmlformats.org/officeDocument/2006/relationships/hyperlink" Target="https://link.springer.com/journal/105" TargetMode="External"/><Relationship Id="rId798" Type="http://schemas.openxmlformats.org/officeDocument/2006/relationships/hyperlink" Target="https://link.springer.com/journal/11476" TargetMode="External"/><Relationship Id="rId1190" Type="http://schemas.openxmlformats.org/officeDocument/2006/relationships/hyperlink" Target="https://link.springer.com/journal/10883" TargetMode="External"/><Relationship Id="rId2034" Type="http://schemas.openxmlformats.org/officeDocument/2006/relationships/hyperlink" Target="https://link.springer.com/journal/477" TargetMode="External"/><Relationship Id="rId213" Type="http://schemas.openxmlformats.org/officeDocument/2006/relationships/hyperlink" Target="https://link.springer.com/journal/41104" TargetMode="External"/><Relationship Id="rId420" Type="http://schemas.openxmlformats.org/officeDocument/2006/relationships/hyperlink" Target="https://link.springer.com/journal/10588" TargetMode="External"/><Relationship Id="rId658" Type="http://schemas.openxmlformats.org/officeDocument/2006/relationships/hyperlink" Target="https://link.springer.com/journal/12665" TargetMode="External"/><Relationship Id="rId865" Type="http://schemas.openxmlformats.org/officeDocument/2006/relationships/hyperlink" Target="https://link.springer.com/journal/40702" TargetMode="External"/><Relationship Id="rId1050" Type="http://schemas.openxmlformats.org/officeDocument/2006/relationships/hyperlink" Target="https://link.springer.com/journal/42044" TargetMode="External"/><Relationship Id="rId1288" Type="http://schemas.openxmlformats.org/officeDocument/2006/relationships/hyperlink" Target="https://link.springer.com/journal/10163" TargetMode="External"/><Relationship Id="rId1495" Type="http://schemas.openxmlformats.org/officeDocument/2006/relationships/hyperlink" Target="https://link.springer.com/journal/10201" TargetMode="External"/><Relationship Id="rId2101" Type="http://schemas.openxmlformats.org/officeDocument/2006/relationships/hyperlink" Target="https://link.springer.com/journal/42415" TargetMode="External"/><Relationship Id="rId518" Type="http://schemas.openxmlformats.org/officeDocument/2006/relationships/hyperlink" Target="https://link.springer.com/journal/12178" TargetMode="External"/><Relationship Id="rId725" Type="http://schemas.openxmlformats.org/officeDocument/2006/relationships/hyperlink" Target="https://link.springer.com/journal/221" TargetMode="External"/><Relationship Id="rId932" Type="http://schemas.openxmlformats.org/officeDocument/2006/relationships/hyperlink" Target="https://link.springer.com/journal/40" TargetMode="External"/><Relationship Id="rId1148" Type="http://schemas.openxmlformats.org/officeDocument/2006/relationships/hyperlink" Target="https://link.springer.com/journal/357" TargetMode="External"/><Relationship Id="rId1355" Type="http://schemas.openxmlformats.org/officeDocument/2006/relationships/hyperlink" Target="https://link.springer.com/journal/13105" TargetMode="External"/><Relationship Id="rId1562" Type="http://schemas.openxmlformats.org/officeDocument/2006/relationships/hyperlink" Target="https://link.springer.com/journal/42755" TargetMode="External"/><Relationship Id="rId1008" Type="http://schemas.openxmlformats.org/officeDocument/2006/relationships/hyperlink" Target="https://link.springer.com/journal/40962" TargetMode="External"/><Relationship Id="rId1215" Type="http://schemas.openxmlformats.org/officeDocument/2006/relationships/hyperlink" Target="https://link.springer.com/journal/28" TargetMode="External"/><Relationship Id="rId1422" Type="http://schemas.openxmlformats.org/officeDocument/2006/relationships/hyperlink" Target="https://link.springer.com/journal/40430" TargetMode="External"/><Relationship Id="rId1867" Type="http://schemas.openxmlformats.org/officeDocument/2006/relationships/hyperlink" Target="https://link.springer.com/journal/11145" TargetMode="External"/><Relationship Id="rId61" Type="http://schemas.openxmlformats.org/officeDocument/2006/relationships/hyperlink" Target="https://link.springer.com/journal/42496" TargetMode="External"/><Relationship Id="rId1727" Type="http://schemas.openxmlformats.org/officeDocument/2006/relationships/hyperlink" Target="https://link.springer.com/journal/608" TargetMode="External"/><Relationship Id="rId1934" Type="http://schemas.openxmlformats.org/officeDocument/2006/relationships/hyperlink" Target="https://link.springer.com/journal/11179" TargetMode="External"/><Relationship Id="rId19" Type="http://schemas.openxmlformats.org/officeDocument/2006/relationships/hyperlink" Target="https://link.springer.com/journal/11440" TargetMode="External"/><Relationship Id="rId2196" Type="http://schemas.openxmlformats.org/officeDocument/2006/relationships/hyperlink" Target="https://link.springer.com/journal/42286" TargetMode="External"/><Relationship Id="rId168" Type="http://schemas.openxmlformats.org/officeDocument/2006/relationships/hyperlink" Target="https://link.springer.com/journal/737" TargetMode="External"/><Relationship Id="rId375" Type="http://schemas.openxmlformats.org/officeDocument/2006/relationships/hyperlink" Target="https://link.springer.com/journal/42860" TargetMode="External"/><Relationship Id="rId582" Type="http://schemas.openxmlformats.org/officeDocument/2006/relationships/hyperlink" Target="https://link.springer.com/journal/13340" TargetMode="External"/><Relationship Id="rId2056" Type="http://schemas.openxmlformats.org/officeDocument/2006/relationships/hyperlink" Target="https://link.springer.com/journal/40899" TargetMode="External"/><Relationship Id="rId3" Type="http://schemas.openxmlformats.org/officeDocument/2006/relationships/hyperlink" Target="https://link.springer.com/journal/12249" TargetMode="External"/><Relationship Id="rId235" Type="http://schemas.openxmlformats.org/officeDocument/2006/relationships/hyperlink" Target="https://link.springer.com/journal/10526" TargetMode="External"/><Relationship Id="rId442" Type="http://schemas.openxmlformats.org/officeDocument/2006/relationships/hyperlink" Target="https://link.springer.com/journal/11562" TargetMode="External"/><Relationship Id="rId887" Type="http://schemas.openxmlformats.org/officeDocument/2006/relationships/hyperlink" Target="https://link.springer.com/journal/40319" TargetMode="External"/><Relationship Id="rId1072" Type="http://schemas.openxmlformats.org/officeDocument/2006/relationships/hyperlink" Target="https://link.springer.com/journal/10835" TargetMode="External"/><Relationship Id="rId2123" Type="http://schemas.openxmlformats.org/officeDocument/2006/relationships/hyperlink" Target="https://link.springer.com/journal/778" TargetMode="External"/><Relationship Id="rId302" Type="http://schemas.openxmlformats.org/officeDocument/2006/relationships/hyperlink" Target="https://link.springer.com/journal/10092" TargetMode="External"/><Relationship Id="rId747" Type="http://schemas.openxmlformats.org/officeDocument/2006/relationships/hyperlink" Target="https://link.springer.com/journal/12224" TargetMode="External"/><Relationship Id="rId954" Type="http://schemas.openxmlformats.org/officeDocument/2006/relationships/hyperlink" Target="https://link.springer.com/journal/10775" TargetMode="External"/><Relationship Id="rId1377" Type="http://schemas.openxmlformats.org/officeDocument/2006/relationships/hyperlink" Target="https://link.springer.com/journal/40737" TargetMode="External"/><Relationship Id="rId1584" Type="http://schemas.openxmlformats.org/officeDocument/2006/relationships/hyperlink" Target="https://link.springer.com/journal/12217" TargetMode="External"/><Relationship Id="rId1791" Type="http://schemas.openxmlformats.org/officeDocument/2006/relationships/hyperlink" Target="https://link.springer.com/journal/15033" TargetMode="External"/><Relationship Id="rId83" Type="http://schemas.openxmlformats.org/officeDocument/2006/relationships/hyperlink" Target="https://link.springer.com/journal/13280" TargetMode="External"/><Relationship Id="rId607" Type="http://schemas.openxmlformats.org/officeDocument/2006/relationships/hyperlink" Target="https://link.springer.com/journal/10643" TargetMode="External"/><Relationship Id="rId814" Type="http://schemas.openxmlformats.org/officeDocument/2006/relationships/hyperlink" Target="https://link.springer.com/journal/10717" TargetMode="External"/><Relationship Id="rId1237" Type="http://schemas.openxmlformats.org/officeDocument/2006/relationships/hyperlink" Target="https://link.springer.com/journal/11605" TargetMode="External"/><Relationship Id="rId1444" Type="http://schemas.openxmlformats.org/officeDocument/2006/relationships/hyperlink" Target="https://link.springer.com/journal/11666" TargetMode="External"/><Relationship Id="rId1651" Type="http://schemas.openxmlformats.org/officeDocument/2006/relationships/hyperlink" Target="https://link.springer.com/journal/13744" TargetMode="External"/><Relationship Id="rId1889" Type="http://schemas.openxmlformats.org/officeDocument/2006/relationships/hyperlink" Target="https://link.springer.com/journal/12045" TargetMode="External"/><Relationship Id="rId1304" Type="http://schemas.openxmlformats.org/officeDocument/2006/relationships/hyperlink" Target="https://link.springer.com/journal/10396" TargetMode="External"/><Relationship Id="rId1511" Type="http://schemas.openxmlformats.org/officeDocument/2006/relationships/hyperlink" Target="https://link.springer.com/journal/335" TargetMode="External"/><Relationship Id="rId1749" Type="http://schemas.openxmlformats.org/officeDocument/2006/relationships/hyperlink" Target="https://link.springer.com/journal/41906" TargetMode="External"/><Relationship Id="rId1956" Type="http://schemas.openxmlformats.org/officeDocument/2006/relationships/hyperlink" Target="https://link.springer.com/journal/11191" TargetMode="External"/><Relationship Id="rId1609" Type="http://schemas.openxmlformats.org/officeDocument/2006/relationships/hyperlink" Target="https://link.springer.com/journal/11307" TargetMode="External"/><Relationship Id="rId1816" Type="http://schemas.openxmlformats.org/officeDocument/2006/relationships/hyperlink" Target="https://link.springer.com/journal/735" TargetMode="External"/><Relationship Id="rId10" Type="http://schemas.openxmlformats.org/officeDocument/2006/relationships/hyperlink" Target="https://link.springer.com/journal/40857" TargetMode="External"/><Relationship Id="rId397" Type="http://schemas.openxmlformats.org/officeDocument/2006/relationships/hyperlink" Target="https://link.springer.com/journal/11298" TargetMode="External"/><Relationship Id="rId2078" Type="http://schemas.openxmlformats.org/officeDocument/2006/relationships/hyperlink" Target="https://link.springer.com/journal/159" TargetMode="External"/><Relationship Id="rId257" Type="http://schemas.openxmlformats.org/officeDocument/2006/relationships/hyperlink" Target="https://link.springer.com/journal/44174" TargetMode="External"/><Relationship Id="rId464" Type="http://schemas.openxmlformats.org/officeDocument/2006/relationships/hyperlink" Target="https://link.springer.com/journal/40429" TargetMode="External"/><Relationship Id="rId1094" Type="http://schemas.openxmlformats.org/officeDocument/2006/relationships/hyperlink" Target="https://link.springer.com/journal/12652" TargetMode="External"/><Relationship Id="rId2145" Type="http://schemas.openxmlformats.org/officeDocument/2006/relationships/hyperlink" Target="https://link.springer.com/journal/11245" TargetMode="External"/><Relationship Id="rId117" Type="http://schemas.openxmlformats.org/officeDocument/2006/relationships/hyperlink" Target="https://link.springer.com/journal/13592" TargetMode="External"/><Relationship Id="rId671" Type="http://schemas.openxmlformats.org/officeDocument/2006/relationships/hyperlink" Target="https://link.springer.com/journal/10341" TargetMode="External"/><Relationship Id="rId769" Type="http://schemas.openxmlformats.org/officeDocument/2006/relationships/hyperlink" Target="https://link.springer.com/journal/11705" TargetMode="External"/><Relationship Id="rId976" Type="http://schemas.openxmlformats.org/officeDocument/2006/relationships/hyperlink" Target="https://link.springer.com/journal/12555" TargetMode="External"/><Relationship Id="rId1399" Type="http://schemas.openxmlformats.org/officeDocument/2006/relationships/hyperlink" Target="https://link.springer.com/journal/10950" TargetMode="External"/><Relationship Id="rId324" Type="http://schemas.openxmlformats.org/officeDocument/2006/relationships/hyperlink" Target="https://link.springer.com/journal/42486" TargetMode="External"/><Relationship Id="rId531" Type="http://schemas.openxmlformats.org/officeDocument/2006/relationships/hyperlink" Target="https://link.springer.com/journal/11938" TargetMode="External"/><Relationship Id="rId629" Type="http://schemas.openxmlformats.org/officeDocument/2006/relationships/hyperlink" Target="https://link.springer.com/journal/11423" TargetMode="External"/><Relationship Id="rId1161" Type="http://schemas.openxmlformats.org/officeDocument/2006/relationships/hyperlink" Target="https://link.springer.com/journal/360" TargetMode="External"/><Relationship Id="rId1259" Type="http://schemas.openxmlformats.org/officeDocument/2006/relationships/hyperlink" Target="https://link.springer.com/journal/41513" TargetMode="External"/><Relationship Id="rId1466" Type="http://schemas.openxmlformats.org/officeDocument/2006/relationships/hyperlink" Target="https://link.springer.com/journal/42489" TargetMode="External"/><Relationship Id="rId2005" Type="http://schemas.openxmlformats.org/officeDocument/2006/relationships/hyperlink" Target="https://link.springer.com/journal/42532" TargetMode="External"/><Relationship Id="rId2212" Type="http://schemas.openxmlformats.org/officeDocument/2006/relationships/hyperlink" Target="https://link.springer.com/journal/268" TargetMode="External"/><Relationship Id="rId836" Type="http://schemas.openxmlformats.org/officeDocument/2006/relationships/hyperlink" Target="https://link.springer.com/journal/13140" TargetMode="External"/><Relationship Id="rId1021" Type="http://schemas.openxmlformats.org/officeDocument/2006/relationships/hyperlink" Target="https://link.springer.com/journal/12003" TargetMode="External"/><Relationship Id="rId1119" Type="http://schemas.openxmlformats.org/officeDocument/2006/relationships/hyperlink" Target="https://link.springer.com/journal/42421" TargetMode="External"/><Relationship Id="rId1673" Type="http://schemas.openxmlformats.org/officeDocument/2006/relationships/hyperlink" Target="https://link.springer.com/journal/13311" TargetMode="External"/><Relationship Id="rId1880" Type="http://schemas.openxmlformats.org/officeDocument/2006/relationships/hyperlink" Target="https://link.springer.com/journal/11158" TargetMode="External"/><Relationship Id="rId1978" Type="http://schemas.openxmlformats.org/officeDocument/2006/relationships/hyperlink" Target="https://link.springer.com/journal/11199" TargetMode="External"/><Relationship Id="rId903" Type="http://schemas.openxmlformats.org/officeDocument/2006/relationships/hyperlink" Target="https://link.springer.com/journal/12070" TargetMode="External"/><Relationship Id="rId1326" Type="http://schemas.openxmlformats.org/officeDocument/2006/relationships/hyperlink" Target="https://link.springer.com/journal/13365" TargetMode="External"/><Relationship Id="rId1533" Type="http://schemas.openxmlformats.org/officeDocument/2006/relationships/hyperlink" Target="https://link.springer.com/journal/11006" TargetMode="External"/><Relationship Id="rId1740" Type="http://schemas.openxmlformats.org/officeDocument/2006/relationships/hyperlink" Target="https://link.springer.com/journal/383" TargetMode="External"/><Relationship Id="rId32" Type="http://schemas.openxmlformats.org/officeDocument/2006/relationships/hyperlink" Target="https://link.springer.com/journal/401" TargetMode="External"/><Relationship Id="rId1600" Type="http://schemas.openxmlformats.org/officeDocument/2006/relationships/hyperlink" Target="https://link.springer.com/journal/13273" TargetMode="External"/><Relationship Id="rId1838" Type="http://schemas.openxmlformats.org/officeDocument/2006/relationships/hyperlink" Target="https://link.springer.com/journal/739" TargetMode="External"/><Relationship Id="rId181" Type="http://schemas.openxmlformats.org/officeDocument/2006/relationships/hyperlink" Target="https://link.springer.com/journal/41649" TargetMode="External"/><Relationship Id="rId1905" Type="http://schemas.openxmlformats.org/officeDocument/2006/relationships/hyperlink" Target="https://link.springer.com/journal/13392" TargetMode="External"/><Relationship Id="rId279" Type="http://schemas.openxmlformats.org/officeDocument/2006/relationships/hyperlink" Target="https://link.springer.com/journal/43153" TargetMode="External"/><Relationship Id="rId486" Type="http://schemas.openxmlformats.org/officeDocument/2006/relationships/hyperlink" Target="https://link.springer.com/journal/40142" TargetMode="External"/><Relationship Id="rId693" Type="http://schemas.openxmlformats.org/officeDocument/2006/relationships/hyperlink" Target="https://link.springer.com/journal/41125" TargetMode="External"/><Relationship Id="rId2167" Type="http://schemas.openxmlformats.org/officeDocument/2006/relationships/hyperlink" Target="https://link.springer.com/journal/12042" TargetMode="External"/><Relationship Id="rId139" Type="http://schemas.openxmlformats.org/officeDocument/2006/relationships/hyperlink" Target="https://link.springer.com/journal/11949" TargetMode="External"/><Relationship Id="rId346" Type="http://schemas.openxmlformats.org/officeDocument/2006/relationships/hyperlink" Target="https://link.springer.com/journal/10553" TargetMode="External"/><Relationship Id="rId553" Type="http://schemas.openxmlformats.org/officeDocument/2006/relationships/hyperlink" Target="https://link.springer.com/journal/10203" TargetMode="External"/><Relationship Id="rId760" Type="http://schemas.openxmlformats.org/officeDocument/2006/relationships/hyperlink" Target="https://link.springer.com/journal/10703" TargetMode="External"/><Relationship Id="rId998" Type="http://schemas.openxmlformats.org/officeDocument/2006/relationships/hyperlink" Target="https://link.springer.com/journal/10207" TargetMode="External"/><Relationship Id="rId1183" Type="http://schemas.openxmlformats.org/officeDocument/2006/relationships/hyperlink" Target="https://link.springer.com/journal/42488" TargetMode="External"/><Relationship Id="rId1390" Type="http://schemas.openxmlformats.org/officeDocument/2006/relationships/hyperlink" Target="https://link.springer.com/journal/11166" TargetMode="External"/><Relationship Id="rId2027" Type="http://schemas.openxmlformats.org/officeDocument/2006/relationships/hyperlink" Target="https://link.springer.com/journal/11203" TargetMode="External"/><Relationship Id="rId2234" Type="http://schemas.openxmlformats.org/officeDocument/2006/relationships/hyperlink" Target="https://link.springer.com/journal/393" TargetMode="External"/><Relationship Id="rId206" Type="http://schemas.openxmlformats.org/officeDocument/2006/relationships/hyperlink" Target="https://link.springer.com/journal/35746" TargetMode="External"/><Relationship Id="rId413" Type="http://schemas.openxmlformats.org/officeDocument/2006/relationships/hyperlink" Target="https://link.springer.com/journal/42967" TargetMode="External"/><Relationship Id="rId858" Type="http://schemas.openxmlformats.org/officeDocument/2006/relationships/hyperlink" Target="https://link.springer.com/journal/10733" TargetMode="External"/><Relationship Id="rId1043" Type="http://schemas.openxmlformats.org/officeDocument/2006/relationships/hyperlink" Target="https://link.springer.com/journal/12208" TargetMode="External"/><Relationship Id="rId1488" Type="http://schemas.openxmlformats.org/officeDocument/2006/relationships/hyperlink" Target="https://link.springer.com/journal/13420" TargetMode="External"/><Relationship Id="rId1695" Type="http://schemas.openxmlformats.org/officeDocument/2006/relationships/hyperlink" Target="https://link.springer.com/journal/10266" TargetMode="External"/><Relationship Id="rId620" Type="http://schemas.openxmlformats.org/officeDocument/2006/relationships/hyperlink" Target="https://link.springer.com/journal/10101" TargetMode="External"/><Relationship Id="rId718" Type="http://schemas.openxmlformats.org/officeDocument/2006/relationships/hyperlink" Target="https://link.springer.com/journal/10682" TargetMode="External"/><Relationship Id="rId925" Type="http://schemas.openxmlformats.org/officeDocument/2006/relationships/hyperlink" Target="https://link.springer.com/journal/10799" TargetMode="External"/><Relationship Id="rId1250" Type="http://schemas.openxmlformats.org/officeDocument/2006/relationships/hyperlink" Target="https://link.springer.com/journal/41635" TargetMode="External"/><Relationship Id="rId1348" Type="http://schemas.openxmlformats.org/officeDocument/2006/relationships/hyperlink" Target="https://link.springer.com/journal/42102" TargetMode="External"/><Relationship Id="rId1555" Type="http://schemas.openxmlformats.org/officeDocument/2006/relationships/hyperlink" Target="https://link.springer.com/journal/40670" TargetMode="External"/><Relationship Id="rId1762" Type="http://schemas.openxmlformats.org/officeDocument/2006/relationships/hyperlink" Target="https://link.springer.com/journal/13246" TargetMode="External"/><Relationship Id="rId1110" Type="http://schemas.openxmlformats.org/officeDocument/2006/relationships/hyperlink" Target="https://link.springer.com/journal/10047" TargetMode="External"/><Relationship Id="rId1208" Type="http://schemas.openxmlformats.org/officeDocument/2006/relationships/hyperlink" Target="https://link.springer.com/journal/40618" TargetMode="External"/><Relationship Id="rId1415" Type="http://schemas.openxmlformats.org/officeDocument/2006/relationships/hyperlink" Target="https://link.springer.com/journal/40831" TargetMode="External"/><Relationship Id="rId54" Type="http://schemas.openxmlformats.org/officeDocument/2006/relationships/hyperlink" Target="https://link.springer.com/journal/43036" TargetMode="External"/><Relationship Id="rId1622" Type="http://schemas.openxmlformats.org/officeDocument/2006/relationships/hyperlink" Target="https://link.springer.com/journal/11972" TargetMode="External"/><Relationship Id="rId1927" Type="http://schemas.openxmlformats.org/officeDocument/2006/relationships/hyperlink" Target="https://link.springer.com/journal/11173" TargetMode="External"/><Relationship Id="rId2091" Type="http://schemas.openxmlformats.org/officeDocument/2006/relationships/hyperlink" Target="https://link.springer.com/journal/170" TargetMode="External"/><Relationship Id="rId2189" Type="http://schemas.openxmlformats.org/officeDocument/2006/relationships/hyperlink" Target="https://link.springer.com/journal/11266" TargetMode="External"/><Relationship Id="rId270" Type="http://schemas.openxmlformats.org/officeDocument/2006/relationships/hyperlink" Target="https://link.springer.com/journal/10543" TargetMode="External"/><Relationship Id="rId130" Type="http://schemas.openxmlformats.org/officeDocument/2006/relationships/hyperlink" Target="https://link.springer.com/journal/245" TargetMode="External"/><Relationship Id="rId368" Type="http://schemas.openxmlformats.org/officeDocument/2006/relationships/hyperlink" Target="https://link.springer.com/journal/41111" TargetMode="External"/><Relationship Id="rId575" Type="http://schemas.openxmlformats.org/officeDocument/2006/relationships/hyperlink" Target="https://link.springer.com/journal/120" TargetMode="External"/><Relationship Id="rId782" Type="http://schemas.openxmlformats.org/officeDocument/2006/relationships/hyperlink" Target="https://link.springer.com/journal/10142" TargetMode="External"/><Relationship Id="rId2049" Type="http://schemas.openxmlformats.org/officeDocument/2006/relationships/hyperlink" Target="https://link.springer.com/journal/11987" TargetMode="External"/><Relationship Id="rId228" Type="http://schemas.openxmlformats.org/officeDocument/2006/relationships/hyperlink" Target="https://link.springer.com/journal/11654" TargetMode="External"/><Relationship Id="rId435" Type="http://schemas.openxmlformats.org/officeDocument/2006/relationships/hyperlink" Target="https://link.springer.com/journal/10592" TargetMode="External"/><Relationship Id="rId642" Type="http://schemas.openxmlformats.org/officeDocument/2006/relationships/hyperlink" Target="https://link.springer.com/journal/10672" TargetMode="External"/><Relationship Id="rId1065" Type="http://schemas.openxmlformats.org/officeDocument/2006/relationships/hyperlink" Target="https://link.springer.com/journal/13291" TargetMode="External"/><Relationship Id="rId1272" Type="http://schemas.openxmlformats.org/officeDocument/2006/relationships/hyperlink" Target="https://link.springer.com/journal/10844" TargetMode="External"/><Relationship Id="rId2116" Type="http://schemas.openxmlformats.org/officeDocument/2006/relationships/hyperlink" Target="https://link.springer.com/journal/11139" TargetMode="External"/><Relationship Id="rId502" Type="http://schemas.openxmlformats.org/officeDocument/2006/relationships/hyperlink" Target="https://link.springer.com/journal/13669" TargetMode="External"/><Relationship Id="rId947" Type="http://schemas.openxmlformats.org/officeDocument/2006/relationships/hyperlink" Target="https://link.springer.com/journal/13691" TargetMode="External"/><Relationship Id="rId1132" Type="http://schemas.openxmlformats.org/officeDocument/2006/relationships/hyperlink" Target="https://link.springer.com/journal/41549" TargetMode="External"/><Relationship Id="rId1577" Type="http://schemas.openxmlformats.org/officeDocument/2006/relationships/hyperlink" Target="https://link.springer.com/journal/11009" TargetMode="External"/><Relationship Id="rId1784" Type="http://schemas.openxmlformats.org/officeDocument/2006/relationships/hyperlink" Target="https://link.springer.com/journal/40502" TargetMode="External"/><Relationship Id="rId1991" Type="http://schemas.openxmlformats.org/officeDocument/2006/relationships/hyperlink" Target="https://link.springer.com/journal/41782" TargetMode="External"/><Relationship Id="rId76" Type="http://schemas.openxmlformats.org/officeDocument/2006/relationships/hyperlink" Target="https://link.springer.com/journal/10469" TargetMode="External"/><Relationship Id="rId807" Type="http://schemas.openxmlformats.org/officeDocument/2006/relationships/hyperlink" Target="https://link.springer.com/journal/39" TargetMode="External"/><Relationship Id="rId1437" Type="http://schemas.openxmlformats.org/officeDocument/2006/relationships/hyperlink" Target="https://link.springer.com/journal/43207" TargetMode="External"/><Relationship Id="rId1644" Type="http://schemas.openxmlformats.org/officeDocument/2006/relationships/hyperlink" Target="https://link.springer.com/journal/11069" TargetMode="External"/><Relationship Id="rId1851" Type="http://schemas.openxmlformats.org/officeDocument/2006/relationships/hyperlink" Target="https://link.springer.com/journal/41233" TargetMode="External"/><Relationship Id="rId1504" Type="http://schemas.openxmlformats.org/officeDocument/2006/relationships/hyperlink" Target="https://link.springer.com/journal/11633" TargetMode="External"/><Relationship Id="rId1711" Type="http://schemas.openxmlformats.org/officeDocument/2006/relationships/hyperlink" Target="https://link.springer.com/journal/291" TargetMode="External"/><Relationship Id="rId1949" Type="http://schemas.openxmlformats.org/officeDocument/2006/relationships/hyperlink" Target="https://link.springer.com/journal/12046" TargetMode="External"/><Relationship Id="rId292" Type="http://schemas.openxmlformats.org/officeDocument/2006/relationships/hyperlink" Target="https://link.springer.com/journal/11538" TargetMode="External"/><Relationship Id="rId1809" Type="http://schemas.openxmlformats.org/officeDocument/2006/relationships/hyperlink" Target="https://link.springer.com/journal/11553" TargetMode="External"/><Relationship Id="rId597" Type="http://schemas.openxmlformats.org/officeDocument/2006/relationships/hyperlink" Target="https://link.springer.com/journal/10630" TargetMode="External"/><Relationship Id="rId2180" Type="http://schemas.openxmlformats.org/officeDocument/2006/relationships/hyperlink" Target="https://link.springer.com/journal/334" TargetMode="External"/><Relationship Id="rId152" Type="http://schemas.openxmlformats.org/officeDocument/2006/relationships/hyperlink" Target="https://link.springer.com/journal/407" TargetMode="External"/><Relationship Id="rId457" Type="http://schemas.openxmlformats.org/officeDocument/2006/relationships/hyperlink" Target="https://link.springer.com/journal/10612" TargetMode="External"/><Relationship Id="rId1087" Type="http://schemas.openxmlformats.org/officeDocument/2006/relationships/hyperlink" Target="https://link.springer.com/journal/10805" TargetMode="External"/><Relationship Id="rId1294" Type="http://schemas.openxmlformats.org/officeDocument/2006/relationships/hyperlink" Target="https://link.springer.com/journal/21" TargetMode="External"/><Relationship Id="rId2040" Type="http://schemas.openxmlformats.org/officeDocument/2006/relationships/hyperlink" Target="https://link.springer.com/journal/11224" TargetMode="External"/><Relationship Id="rId2138" Type="http://schemas.openxmlformats.org/officeDocument/2006/relationships/hyperlink" Target="https://link.springer.com/journal/43441" TargetMode="External"/><Relationship Id="rId664" Type="http://schemas.openxmlformats.org/officeDocument/2006/relationships/hyperlink" Target="https://link.springer.com/journal/10661" TargetMode="External"/><Relationship Id="rId871" Type="http://schemas.openxmlformats.org/officeDocument/2006/relationships/hyperlink" Target="https://link.springer.com/journal/42087" TargetMode="External"/><Relationship Id="rId969" Type="http://schemas.openxmlformats.org/officeDocument/2006/relationships/hyperlink" Target="https://link.springer.com/journal/11096" TargetMode="External"/><Relationship Id="rId1599" Type="http://schemas.openxmlformats.org/officeDocument/2006/relationships/hyperlink" Target="https://link.springer.com/journal/40808" TargetMode="External"/><Relationship Id="rId317" Type="http://schemas.openxmlformats.org/officeDocument/2006/relationships/hyperlink" Target="https://link.springer.com/journal/13239" TargetMode="External"/><Relationship Id="rId524" Type="http://schemas.openxmlformats.org/officeDocument/2006/relationships/hyperlink" Target="https://link.springer.com/journal/40137" TargetMode="External"/><Relationship Id="rId731" Type="http://schemas.openxmlformats.org/officeDocument/2006/relationships/hyperlink" Target="https://link.springer.com/journal/10687" TargetMode="External"/><Relationship Id="rId1154" Type="http://schemas.openxmlformats.org/officeDocument/2006/relationships/hyperlink" Target="https://link.springer.com/journal/11998" TargetMode="External"/><Relationship Id="rId1361" Type="http://schemas.openxmlformats.org/officeDocument/2006/relationships/hyperlink" Target="https://link.springer.com/journal/10265" TargetMode="External"/><Relationship Id="rId1459" Type="http://schemas.openxmlformats.org/officeDocument/2006/relationships/hyperlink" Target="https://link.springer.com/journal/764" TargetMode="External"/><Relationship Id="rId2205" Type="http://schemas.openxmlformats.org/officeDocument/2006/relationships/hyperlink" Target="https://link.springer.com/journal/11277" TargetMode="External"/><Relationship Id="rId98" Type="http://schemas.openxmlformats.org/officeDocument/2006/relationships/hyperlink" Target="https://link.springer.com/journal/11565" TargetMode="External"/><Relationship Id="rId829" Type="http://schemas.openxmlformats.org/officeDocument/2006/relationships/hyperlink" Target="https://link.springer.com/journal/373" TargetMode="External"/><Relationship Id="rId1014" Type="http://schemas.openxmlformats.org/officeDocument/2006/relationships/hyperlink" Target="https://link.springer.com/journal/42106" TargetMode="External"/><Relationship Id="rId1221" Type="http://schemas.openxmlformats.org/officeDocument/2006/relationships/hyperlink" Target="https://link.springer.com/journal/10834" TargetMode="External"/><Relationship Id="rId1666" Type="http://schemas.openxmlformats.org/officeDocument/2006/relationships/hyperlink" Target="https://link.springer.com/journal/11062" TargetMode="External"/><Relationship Id="rId1873" Type="http://schemas.openxmlformats.org/officeDocument/2006/relationships/hyperlink" Target="https://link.springer.com/journal/13393" TargetMode="External"/><Relationship Id="rId1319" Type="http://schemas.openxmlformats.org/officeDocument/2006/relationships/hyperlink" Target="https://link.springer.com/journal/11418" TargetMode="External"/><Relationship Id="rId1526" Type="http://schemas.openxmlformats.org/officeDocument/2006/relationships/hyperlink" Target="https://link.springer.com/journal/42824" TargetMode="External"/><Relationship Id="rId1733" Type="http://schemas.openxmlformats.org/officeDocument/2006/relationships/hyperlink" Target="https://link.springer.com/journal/42985" TargetMode="External"/><Relationship Id="rId1940" Type="http://schemas.openxmlformats.org/officeDocument/2006/relationships/hyperlink" Target="https://link.springer.com/journal/11504" TargetMode="External"/><Relationship Id="rId25" Type="http://schemas.openxmlformats.org/officeDocument/2006/relationships/hyperlink" Target="https://link.springer.com/journal/10255" TargetMode="External"/><Relationship Id="rId1800" Type="http://schemas.openxmlformats.org/officeDocument/2006/relationships/hyperlink" Target="https://link.springer.com/journal/11113" TargetMode="External"/><Relationship Id="rId174" Type="http://schemas.openxmlformats.org/officeDocument/2006/relationships/hyperlink" Target="https://link.springer.com/journal/10506" TargetMode="External"/><Relationship Id="rId381" Type="http://schemas.openxmlformats.org/officeDocument/2006/relationships/hyperlink" Target="https://link.springer.com/journal/10157" TargetMode="External"/><Relationship Id="rId2062" Type="http://schemas.openxmlformats.org/officeDocument/2006/relationships/hyperlink" Target="https://link.springer.com/journal/43393" TargetMode="External"/><Relationship Id="rId241" Type="http://schemas.openxmlformats.org/officeDocument/2006/relationships/hyperlink" Target="https://link.springer.com/journal/10522" TargetMode="External"/><Relationship Id="rId479" Type="http://schemas.openxmlformats.org/officeDocument/2006/relationships/hyperlink" Target="https://link.springer.com/journal/11892" TargetMode="External"/><Relationship Id="rId686" Type="http://schemas.openxmlformats.org/officeDocument/2006/relationships/hyperlink" Target="https://link.springer.com/journal/249" TargetMode="External"/><Relationship Id="rId893" Type="http://schemas.openxmlformats.org/officeDocument/2006/relationships/hyperlink" Target="https://link.springer.com/journal/11627" TargetMode="External"/><Relationship Id="rId339" Type="http://schemas.openxmlformats.org/officeDocument/2006/relationships/hyperlink" Target="https://link.springer.com/journal/13730" TargetMode="External"/><Relationship Id="rId546" Type="http://schemas.openxmlformats.org/officeDocument/2006/relationships/hyperlink" Target="https://link.springer.com/journal/11712" TargetMode="External"/><Relationship Id="rId753" Type="http://schemas.openxmlformats.org/officeDocument/2006/relationships/hyperlink" Target="https://link.springer.com/journal/12393" TargetMode="External"/><Relationship Id="rId1176" Type="http://schemas.openxmlformats.org/officeDocument/2006/relationships/hyperlink" Target="https://link.springer.com/journal/40313" TargetMode="External"/><Relationship Id="rId1383" Type="http://schemas.openxmlformats.org/officeDocument/2006/relationships/hyperlink" Target="https://link.springer.com/journal/10942" TargetMode="External"/><Relationship Id="rId2227" Type="http://schemas.openxmlformats.org/officeDocument/2006/relationships/hyperlink" Target="https://link.springer.com/journal/391" TargetMode="External"/><Relationship Id="rId101" Type="http://schemas.openxmlformats.org/officeDocument/2006/relationships/hyperlink" Target="https://link.springer.com/journal/26" TargetMode="External"/><Relationship Id="rId406" Type="http://schemas.openxmlformats.org/officeDocument/2006/relationships/hyperlink" Target="https://link.springer.com/journal/396" TargetMode="External"/><Relationship Id="rId960" Type="http://schemas.openxmlformats.org/officeDocument/2006/relationships/hyperlink" Target="https://link.springer.com/journal/40819" TargetMode="External"/><Relationship Id="rId1036" Type="http://schemas.openxmlformats.org/officeDocument/2006/relationships/hyperlink" Target="https://link.springer.com/journal/10009" TargetMode="External"/><Relationship Id="rId1243" Type="http://schemas.openxmlformats.org/officeDocument/2006/relationships/hyperlink" Target="https://link.springer.com/journal/10109" TargetMode="External"/><Relationship Id="rId1590" Type="http://schemas.openxmlformats.org/officeDocument/2006/relationships/hyperlink" Target="https://link.springer.com/journal/10230" TargetMode="External"/><Relationship Id="rId1688" Type="http://schemas.openxmlformats.org/officeDocument/2006/relationships/hyperlink" Target="https://link.springer.com/journal/41110" TargetMode="External"/><Relationship Id="rId1895" Type="http://schemas.openxmlformats.org/officeDocument/2006/relationships/hyperlink" Target="https://link.springer.com/journal/10058" TargetMode="External"/><Relationship Id="rId613" Type="http://schemas.openxmlformats.org/officeDocument/2006/relationships/hyperlink" Target="https://link.springer.com/journal/10393" TargetMode="External"/><Relationship Id="rId820" Type="http://schemas.openxmlformats.org/officeDocument/2006/relationships/hyperlink" Target="https://link.springer.com/journal/40609" TargetMode="External"/><Relationship Id="rId918" Type="http://schemas.openxmlformats.org/officeDocument/2006/relationships/hyperlink" Target="https://link.springer.com/journal/15005" TargetMode="External"/><Relationship Id="rId1450" Type="http://schemas.openxmlformats.org/officeDocument/2006/relationships/hyperlink" Target="https://link.springer.com/journal/12650" TargetMode="External"/><Relationship Id="rId1548" Type="http://schemas.openxmlformats.org/officeDocument/2006/relationships/hyperlink" Target="https://link.springer.com/journal/42558" TargetMode="External"/><Relationship Id="rId1755" Type="http://schemas.openxmlformats.org/officeDocument/2006/relationships/hyperlink" Target="https://link.springer.com/journal/43657" TargetMode="External"/><Relationship Id="rId1103" Type="http://schemas.openxmlformats.org/officeDocument/2006/relationships/hyperlink" Target="https://link.springer.com/journal/10808" TargetMode="External"/><Relationship Id="rId1310" Type="http://schemas.openxmlformats.org/officeDocument/2006/relationships/hyperlink" Target="https://link.springer.com/journal/239" TargetMode="External"/><Relationship Id="rId1408" Type="http://schemas.openxmlformats.org/officeDocument/2006/relationships/hyperlink" Target="https://link.springer.com/journal/43071" TargetMode="External"/><Relationship Id="rId1962" Type="http://schemas.openxmlformats.org/officeDocument/2006/relationships/hyperlink" Target="https://link.springer.com/journal/40843" TargetMode="External"/><Relationship Id="rId47" Type="http://schemas.openxmlformats.org/officeDocument/2006/relationships/hyperlink" Target="https://link.springer.com/journal/43674" TargetMode="External"/><Relationship Id="rId1615" Type="http://schemas.openxmlformats.org/officeDocument/2006/relationships/hyperlink" Target="https://link.springer.com/journal/11525" TargetMode="External"/><Relationship Id="rId1822" Type="http://schemas.openxmlformats.org/officeDocument/2006/relationships/hyperlink" Target="https://link.springer.com/journal/41660" TargetMode="External"/><Relationship Id="rId196" Type="http://schemas.openxmlformats.org/officeDocument/2006/relationships/hyperlink" Target="https://link.springer.com/journal/10511" TargetMode="External"/><Relationship Id="rId2084" Type="http://schemas.openxmlformats.org/officeDocument/2006/relationships/hyperlink" Target="https://link.springer.com/journal/10051" TargetMode="External"/><Relationship Id="rId263" Type="http://schemas.openxmlformats.org/officeDocument/2006/relationships/hyperlink" Target="https://link.springer.com/journal/12551" TargetMode="External"/><Relationship Id="rId470" Type="http://schemas.openxmlformats.org/officeDocument/2006/relationships/hyperlink" Target="https://link.springer.com/journal/12609" TargetMode="External"/><Relationship Id="rId2151" Type="http://schemas.openxmlformats.org/officeDocument/2006/relationships/hyperlink" Target="https://link.springer.com/journal/42341" TargetMode="External"/><Relationship Id="rId123" Type="http://schemas.openxmlformats.org/officeDocument/2006/relationships/hyperlink" Target="https://link.springer.com/journal/10485" TargetMode="External"/><Relationship Id="rId330" Type="http://schemas.openxmlformats.org/officeDocument/2006/relationships/hyperlink" Target="https://link.springer.com/journal/441" TargetMode="External"/><Relationship Id="rId568" Type="http://schemas.openxmlformats.org/officeDocument/2006/relationships/hyperlink" Target="https://link.springer.com/journal/347" TargetMode="External"/><Relationship Id="rId775" Type="http://schemas.openxmlformats.org/officeDocument/2006/relationships/hyperlink" Target="https://link.springer.com/journal/11706" TargetMode="External"/><Relationship Id="rId982" Type="http://schemas.openxmlformats.org/officeDocument/2006/relationships/hyperlink" Target="https://link.springer.com/journal/531" TargetMode="External"/><Relationship Id="rId1198" Type="http://schemas.openxmlformats.org/officeDocument/2006/relationships/hyperlink" Target="https://link.springer.com/journal/712" TargetMode="External"/><Relationship Id="rId2011" Type="http://schemas.openxmlformats.org/officeDocument/2006/relationships/hyperlink" Target="https://link.springer.com/journal/11207" TargetMode="External"/><Relationship Id="rId428" Type="http://schemas.openxmlformats.org/officeDocument/2006/relationships/hyperlink" Target="https://link.springer.com/journal/466" TargetMode="External"/><Relationship Id="rId635" Type="http://schemas.openxmlformats.org/officeDocument/2006/relationships/hyperlink" Target="https://link.springer.com/journal/13391" TargetMode="External"/><Relationship Id="rId842" Type="http://schemas.openxmlformats.org/officeDocument/2006/relationships/hyperlink" Target="https://link.springer.com/journal/10728" TargetMode="External"/><Relationship Id="rId1058" Type="http://schemas.openxmlformats.org/officeDocument/2006/relationships/hyperlink" Target="https://link.springer.com/journal/11856" TargetMode="External"/><Relationship Id="rId1265" Type="http://schemas.openxmlformats.org/officeDocument/2006/relationships/hyperlink" Target="https://link.springer.com/journal/40812" TargetMode="External"/><Relationship Id="rId1472" Type="http://schemas.openxmlformats.org/officeDocument/2006/relationships/hyperlink" Target="https://link.springer.com/journal/12205" TargetMode="External"/><Relationship Id="rId2109" Type="http://schemas.openxmlformats.org/officeDocument/2006/relationships/hyperlink" Target="https://link.springer.com/journal/10961" TargetMode="External"/><Relationship Id="rId702" Type="http://schemas.openxmlformats.org/officeDocument/2006/relationships/hyperlink" Target="https://link.springer.com/journal/259" TargetMode="External"/><Relationship Id="rId1125" Type="http://schemas.openxmlformats.org/officeDocument/2006/relationships/hyperlink" Target="https://link.springer.com/journal/10858" TargetMode="External"/><Relationship Id="rId1332" Type="http://schemas.openxmlformats.org/officeDocument/2006/relationships/hyperlink" Target="https://link.springer.com/journal/40722" TargetMode="External"/><Relationship Id="rId1777" Type="http://schemas.openxmlformats.org/officeDocument/2006/relationships/hyperlink" Target="https://link.springer.com/journal/299" TargetMode="External"/><Relationship Id="rId1984" Type="http://schemas.openxmlformats.org/officeDocument/2006/relationships/hyperlink" Target="https://link.springer.com/journal/12002" TargetMode="External"/><Relationship Id="rId69" Type="http://schemas.openxmlformats.org/officeDocument/2006/relationships/hyperlink" Target="https://link.springer.com/journal/10457" TargetMode="External"/><Relationship Id="rId1637" Type="http://schemas.openxmlformats.org/officeDocument/2006/relationships/hyperlink" Target="https://link.springer.com/journal/12550" TargetMode="External"/><Relationship Id="rId1844" Type="http://schemas.openxmlformats.org/officeDocument/2006/relationships/hyperlink" Target="https://link.springer.com/journal/12109" TargetMode="External"/><Relationship Id="rId1704" Type="http://schemas.openxmlformats.org/officeDocument/2006/relationships/hyperlink" Target="https://link.springer.com/journal/12005" TargetMode="External"/><Relationship Id="rId285" Type="http://schemas.openxmlformats.org/officeDocument/2006/relationships/hyperlink" Target="https://link.springer.com/journal/12273" TargetMode="External"/><Relationship Id="rId1911" Type="http://schemas.openxmlformats.org/officeDocument/2006/relationships/hyperlink" Target="https://link.springer.com/journal/43450" TargetMode="External"/><Relationship Id="rId492" Type="http://schemas.openxmlformats.org/officeDocument/2006/relationships/hyperlink" Target="https://link.springer.com/journal/11904" TargetMode="External"/><Relationship Id="rId797" Type="http://schemas.openxmlformats.org/officeDocument/2006/relationships/hyperlink" Target="https://link.springer.com/journal/42764" TargetMode="External"/><Relationship Id="rId2173" Type="http://schemas.openxmlformats.org/officeDocument/2006/relationships/hyperlink" Target="https://link.springer.com/journal/13304" TargetMode="External"/><Relationship Id="rId145" Type="http://schemas.openxmlformats.org/officeDocument/2006/relationships/hyperlink" Target="https://link.springer.com/journal/13369" TargetMode="External"/><Relationship Id="rId352" Type="http://schemas.openxmlformats.org/officeDocument/2006/relationships/hyperlink" Target="https://link.springer.com/journal/10566" TargetMode="External"/><Relationship Id="rId1287" Type="http://schemas.openxmlformats.org/officeDocument/2006/relationships/hyperlink" Target="https://link.springer.com/journal/11457" TargetMode="External"/><Relationship Id="rId2033" Type="http://schemas.openxmlformats.org/officeDocument/2006/relationships/hyperlink" Target="https://link.springer.com/journal/12015" TargetMode="External"/><Relationship Id="rId212" Type="http://schemas.openxmlformats.org/officeDocument/2006/relationships/hyperlink" Target="https://link.springer.com/journal/10513" TargetMode="External"/><Relationship Id="rId657" Type="http://schemas.openxmlformats.org/officeDocument/2006/relationships/hyperlink" Target="https://link.springer.com/journal/10311" TargetMode="External"/><Relationship Id="rId864" Type="http://schemas.openxmlformats.org/officeDocument/2006/relationships/hyperlink" Target="https://link.springer.com/journal/40656" TargetMode="External"/><Relationship Id="rId1494" Type="http://schemas.openxmlformats.org/officeDocument/2006/relationships/hyperlink" Target="https://link.springer.com/journal/10985" TargetMode="External"/><Relationship Id="rId1799" Type="http://schemas.openxmlformats.org/officeDocument/2006/relationships/hyperlink" Target="https://link.springer.com/journal/11111" TargetMode="External"/><Relationship Id="rId2100" Type="http://schemas.openxmlformats.org/officeDocument/2006/relationships/hyperlink" Target="https://link.springer.com/journal/10892" TargetMode="External"/><Relationship Id="rId517" Type="http://schemas.openxmlformats.org/officeDocument/2006/relationships/hyperlink" Target="https://link.springer.com/journal/40134" TargetMode="External"/><Relationship Id="rId724" Type="http://schemas.openxmlformats.org/officeDocument/2006/relationships/hyperlink" Target="https://link.springer.com/journal/10686" TargetMode="External"/><Relationship Id="rId931" Type="http://schemas.openxmlformats.org/officeDocument/2006/relationships/hyperlink" Target="https://link.springer.com/journal/13188" TargetMode="External"/><Relationship Id="rId1147" Type="http://schemas.openxmlformats.org/officeDocument/2006/relationships/hyperlink" Target="https://link.springer.com/journal/13349" TargetMode="External"/><Relationship Id="rId1354" Type="http://schemas.openxmlformats.org/officeDocument/2006/relationships/hyperlink" Target="https://link.springer.com/journal/10992" TargetMode="External"/><Relationship Id="rId1561" Type="http://schemas.openxmlformats.org/officeDocument/2006/relationships/hyperlink" Target="https://link.springer.com/journal/350" TargetMode="External"/><Relationship Id="rId60" Type="http://schemas.openxmlformats.org/officeDocument/2006/relationships/hyperlink" Target="https://link.springer.com/journal/42401" TargetMode="External"/><Relationship Id="rId1007" Type="http://schemas.openxmlformats.org/officeDocument/2006/relationships/hyperlink" Target="https://link.springer.com/journal/11469" TargetMode="External"/><Relationship Id="rId1214" Type="http://schemas.openxmlformats.org/officeDocument/2006/relationships/hyperlink" Target="https://link.springer.com/journal/10164" TargetMode="External"/><Relationship Id="rId1421" Type="http://schemas.openxmlformats.org/officeDocument/2006/relationships/hyperlink" Target="https://link.springer.com/journal/41779" TargetMode="External"/><Relationship Id="rId1659" Type="http://schemas.openxmlformats.org/officeDocument/2006/relationships/hyperlink" Target="https://link.springer.com/journal/11064" TargetMode="External"/><Relationship Id="rId1866" Type="http://schemas.openxmlformats.org/officeDocument/2006/relationships/hyperlink" Target="https://link.springer.com/journal/11144" TargetMode="External"/><Relationship Id="rId1519" Type="http://schemas.openxmlformats.org/officeDocument/2006/relationships/hyperlink" Target="https://link.springer.com/journal/10126" TargetMode="External"/><Relationship Id="rId1726" Type="http://schemas.openxmlformats.org/officeDocument/2006/relationships/hyperlink" Target="https://link.springer.com/journal/15014" TargetMode="External"/><Relationship Id="rId1933" Type="http://schemas.openxmlformats.org/officeDocument/2006/relationships/hyperlink" Target="https://link.springer.com/journal/11502" TargetMode="External"/><Relationship Id="rId18" Type="http://schemas.openxmlformats.org/officeDocument/2006/relationships/hyperlink" Target="https://link.springer.com/journal/11600" TargetMode="External"/><Relationship Id="rId2195" Type="http://schemas.openxmlformats.org/officeDocument/2006/relationships/hyperlink" Target="https://link.springer.com/journal/11269" TargetMode="External"/><Relationship Id="rId167" Type="http://schemas.openxmlformats.org/officeDocument/2006/relationships/hyperlink" Target="https://link.springer.com/journal/705" TargetMode="External"/><Relationship Id="rId374" Type="http://schemas.openxmlformats.org/officeDocument/2006/relationships/hyperlink" Target="https://link.springer.com/journal/43615" TargetMode="External"/><Relationship Id="rId581" Type="http://schemas.openxmlformats.org/officeDocument/2006/relationships/hyperlink" Target="https://link.springer.com/journal/125" TargetMode="External"/><Relationship Id="rId2055" Type="http://schemas.openxmlformats.org/officeDocument/2006/relationships/hyperlink" Target="https://link.springer.com/journal/11625" TargetMode="External"/><Relationship Id="rId234" Type="http://schemas.openxmlformats.org/officeDocument/2006/relationships/hyperlink" Target="https://link.springer.com/journal/13206" TargetMode="External"/><Relationship Id="rId679" Type="http://schemas.openxmlformats.org/officeDocument/2006/relationships/hyperlink" Target="https://link.springer.com/journal/40822" TargetMode="External"/><Relationship Id="rId886" Type="http://schemas.openxmlformats.org/officeDocument/2006/relationships/hyperlink" Target="https://link.springer.com/journal/10228" TargetMode="External"/><Relationship Id="rId2" Type="http://schemas.openxmlformats.org/officeDocument/2006/relationships/hyperlink" Target="https://link.springer.com/journal/10288" TargetMode="External"/><Relationship Id="rId441" Type="http://schemas.openxmlformats.org/officeDocument/2006/relationships/hyperlink" Target="https://link.springer.com/journal/10591" TargetMode="External"/><Relationship Id="rId539" Type="http://schemas.openxmlformats.org/officeDocument/2006/relationships/hyperlink" Target="https://link.springer.com/journal/11934" TargetMode="External"/><Relationship Id="rId746" Type="http://schemas.openxmlformats.org/officeDocument/2006/relationships/hyperlink" Target="https://link.springer.com/journal/10697" TargetMode="External"/><Relationship Id="rId1071" Type="http://schemas.openxmlformats.org/officeDocument/2006/relationships/hyperlink" Target="https://link.springer.com/journal/11448" TargetMode="External"/><Relationship Id="rId1169" Type="http://schemas.openxmlformats.org/officeDocument/2006/relationships/hyperlink" Target="https://link.springer.com/journal/40692" TargetMode="External"/><Relationship Id="rId1376" Type="http://schemas.openxmlformats.org/officeDocument/2006/relationships/hyperlink" Target="https://link.springer.com/journal/10862" TargetMode="External"/><Relationship Id="rId1583" Type="http://schemas.openxmlformats.org/officeDocument/2006/relationships/hyperlink" Target="https://link.springer.com/journal/10404" TargetMode="External"/><Relationship Id="rId2122" Type="http://schemas.openxmlformats.org/officeDocument/2006/relationships/hyperlink" Target="https://link.springer.com/journal/371" TargetMode="External"/><Relationship Id="rId301" Type="http://schemas.openxmlformats.org/officeDocument/2006/relationships/hyperlink" Target="https://link.springer.com/journal/223" TargetMode="External"/><Relationship Id="rId953" Type="http://schemas.openxmlformats.org/officeDocument/2006/relationships/hyperlink" Target="https://link.springer.com/journal/10784" TargetMode="External"/><Relationship Id="rId1029" Type="http://schemas.openxmlformats.org/officeDocument/2006/relationships/hyperlink" Target="https://link.springer.com/journal/10773" TargetMode="External"/><Relationship Id="rId1236" Type="http://schemas.openxmlformats.org/officeDocument/2006/relationships/hyperlink" Target="https://link.springer.com/journal/12029" TargetMode="External"/><Relationship Id="rId1790" Type="http://schemas.openxmlformats.org/officeDocument/2006/relationships/hyperlink" Target="https://link.springer.com/journal/11468" TargetMode="External"/><Relationship Id="rId1888" Type="http://schemas.openxmlformats.org/officeDocument/2006/relationships/hyperlink" Target="https://link.springer.com/journal/10802" TargetMode="External"/><Relationship Id="rId82" Type="http://schemas.openxmlformats.org/officeDocument/2006/relationships/hyperlink" Target="https://link.springer.com/journal/35" TargetMode="External"/><Relationship Id="rId606" Type="http://schemas.openxmlformats.org/officeDocument/2006/relationships/hyperlink" Target="https://link.springer.com/journal/502" TargetMode="External"/><Relationship Id="rId813" Type="http://schemas.openxmlformats.org/officeDocument/2006/relationships/hyperlink" Target="https://link.springer.com/journal/10343" TargetMode="External"/><Relationship Id="rId1443" Type="http://schemas.openxmlformats.org/officeDocument/2006/relationships/hyperlink" Target="https://link.springer.com/journal/11630" TargetMode="External"/><Relationship Id="rId1650" Type="http://schemas.openxmlformats.org/officeDocument/2006/relationships/hyperlink" Target="https://link.springer.com/journal/11061" TargetMode="External"/><Relationship Id="rId1748" Type="http://schemas.openxmlformats.org/officeDocument/2006/relationships/hyperlink" Target="https://link.springer.com/journal/41064" TargetMode="External"/><Relationship Id="rId1303" Type="http://schemas.openxmlformats.org/officeDocument/2006/relationships/hyperlink" Target="https://link.springer.com/journal/13181" TargetMode="External"/><Relationship Id="rId1510" Type="http://schemas.openxmlformats.org/officeDocument/2006/relationships/hyperlink" Target="https://link.springer.com/journal/42991" TargetMode="External"/><Relationship Id="rId1955" Type="http://schemas.openxmlformats.org/officeDocument/2006/relationships/hyperlink" Target="https://link.springer.com/journal/43472" TargetMode="External"/><Relationship Id="rId1608" Type="http://schemas.openxmlformats.org/officeDocument/2006/relationships/hyperlink" Target="https://link.springer.com/journal/11965" TargetMode="External"/><Relationship Id="rId1815" Type="http://schemas.openxmlformats.org/officeDocument/2006/relationships/hyperlink" Target="https://link.springer.com/journal/11122" TargetMode="External"/><Relationship Id="rId189" Type="http://schemas.openxmlformats.org/officeDocument/2006/relationships/hyperlink" Target="https://link.springer.com/journal/10182" TargetMode="External"/><Relationship Id="rId396" Type="http://schemas.openxmlformats.org/officeDocument/2006/relationships/hyperlink" Target="https://link.springer.com/journal/10586" TargetMode="External"/><Relationship Id="rId2077" Type="http://schemas.openxmlformats.org/officeDocument/2006/relationships/hyperlink" Target="https://link.springer.com/journal/40299" TargetMode="External"/><Relationship Id="rId256" Type="http://schemas.openxmlformats.org/officeDocument/2006/relationships/hyperlink" Target="https://link.springer.com/journal/13534" TargetMode="External"/><Relationship Id="rId463" Type="http://schemas.openxmlformats.org/officeDocument/2006/relationships/hyperlink" Target="https://link.springer.com/journal/11013" TargetMode="External"/><Relationship Id="rId670" Type="http://schemas.openxmlformats.org/officeDocument/2006/relationships/hyperlink" Target="https://link.springer.com/journal/10670" TargetMode="External"/><Relationship Id="rId1093" Type="http://schemas.openxmlformats.org/officeDocument/2006/relationships/hyperlink" Target="https://link.springer.com/journal/10801" TargetMode="External"/><Relationship Id="rId2144" Type="http://schemas.openxmlformats.org/officeDocument/2006/relationships/hyperlink" Target="https://link.springer.com/journal/41061" TargetMode="External"/><Relationship Id="rId116" Type="http://schemas.openxmlformats.org/officeDocument/2006/relationships/hyperlink" Target="https://link.springer.com/journal/10482" TargetMode="External"/><Relationship Id="rId323" Type="http://schemas.openxmlformats.org/officeDocument/2006/relationships/hyperlink" Target="https://link.springer.com/journal/42514" TargetMode="External"/><Relationship Id="rId530" Type="http://schemas.openxmlformats.org/officeDocument/2006/relationships/hyperlink" Target="https://link.springer.com/journal/11936" TargetMode="External"/><Relationship Id="rId768" Type="http://schemas.openxmlformats.org/officeDocument/2006/relationships/hyperlink" Target="https://link.springer.com/journal/11708" TargetMode="External"/><Relationship Id="rId975" Type="http://schemas.openxmlformats.org/officeDocument/2006/relationships/hyperlink" Target="https://link.springer.com/journal/11412" TargetMode="External"/><Relationship Id="rId1160" Type="http://schemas.openxmlformats.org/officeDocument/2006/relationships/hyperlink" Target="https://link.springer.com/journal/359" TargetMode="External"/><Relationship Id="rId1398" Type="http://schemas.openxmlformats.org/officeDocument/2006/relationships/hyperlink" Target="https://link.springer.com/journal/43217" TargetMode="External"/><Relationship Id="rId2004" Type="http://schemas.openxmlformats.org/officeDocument/2006/relationships/hyperlink" Target="https://link.springer.com/journal/12115" TargetMode="External"/><Relationship Id="rId2211" Type="http://schemas.openxmlformats.org/officeDocument/2006/relationships/hyperlink" Target="https://link.springer.com/journal/12519" TargetMode="External"/><Relationship Id="rId628" Type="http://schemas.openxmlformats.org/officeDocument/2006/relationships/hyperlink" Target="https://link.springer.com/journal/10649" TargetMode="External"/><Relationship Id="rId835" Type="http://schemas.openxmlformats.org/officeDocument/2006/relationships/hyperlink" Target="https://link.springer.com/journal/10304" TargetMode="External"/><Relationship Id="rId1258" Type="http://schemas.openxmlformats.org/officeDocument/2006/relationships/hyperlink" Target="https://link.springer.com/journal/42241" TargetMode="External"/><Relationship Id="rId1465" Type="http://schemas.openxmlformats.org/officeDocument/2006/relationships/hyperlink" Target="https://link.springer.com/journal/10975" TargetMode="External"/><Relationship Id="rId1672" Type="http://schemas.openxmlformats.org/officeDocument/2006/relationships/hyperlink" Target="https://link.springer.com/journal/10143" TargetMode="External"/><Relationship Id="rId1020" Type="http://schemas.openxmlformats.org/officeDocument/2006/relationships/hyperlink" Target="https://link.springer.com/journal/10763" TargetMode="External"/><Relationship Id="rId1118" Type="http://schemas.openxmlformats.org/officeDocument/2006/relationships/hyperlink" Target="https://link.springer.com/journal/10865" TargetMode="External"/><Relationship Id="rId1325" Type="http://schemas.openxmlformats.org/officeDocument/2006/relationships/hyperlink" Target="https://link.springer.com/journal/11060" TargetMode="External"/><Relationship Id="rId1532" Type="http://schemas.openxmlformats.org/officeDocument/2006/relationships/hyperlink" Target="https://link.springer.com/journal/12608" TargetMode="External"/><Relationship Id="rId1977" Type="http://schemas.openxmlformats.org/officeDocument/2006/relationships/hyperlink" Target="https://link.springer.com/journal/11228" TargetMode="External"/><Relationship Id="rId902" Type="http://schemas.openxmlformats.org/officeDocument/2006/relationships/hyperlink" Target="https://link.springer.com/journal/43465" TargetMode="External"/><Relationship Id="rId1837" Type="http://schemas.openxmlformats.org/officeDocument/2006/relationships/hyperlink" Target="https://link.springer.com/journal/213" TargetMode="External"/><Relationship Id="rId31" Type="http://schemas.openxmlformats.org/officeDocument/2006/relationships/hyperlink" Target="https://link.springer.com/journal/13760" TargetMode="External"/><Relationship Id="rId2099" Type="http://schemas.openxmlformats.org/officeDocument/2006/relationships/hyperlink" Target="https://link.springer.com/journal/10888" TargetMode="External"/><Relationship Id="rId180" Type="http://schemas.openxmlformats.org/officeDocument/2006/relationships/hyperlink" Target="https://link.springer.com/journal/41826" TargetMode="External"/><Relationship Id="rId278" Type="http://schemas.openxmlformats.org/officeDocument/2006/relationships/hyperlink" Target="https://link.springer.com/journal/40415" TargetMode="External"/><Relationship Id="rId1904" Type="http://schemas.openxmlformats.org/officeDocument/2006/relationships/hyperlink" Target="https://link.springer.com/journal/10290" TargetMode="External"/><Relationship Id="rId485" Type="http://schemas.openxmlformats.org/officeDocument/2006/relationships/hyperlink" Target="https://link.springer.com/journal/11894" TargetMode="External"/><Relationship Id="rId692" Type="http://schemas.openxmlformats.org/officeDocument/2006/relationships/hyperlink" Target="https://link.springer.com/journal/13194" TargetMode="External"/><Relationship Id="rId2166" Type="http://schemas.openxmlformats.org/officeDocument/2006/relationships/hyperlink" Target="https://link.springer.com/journal/42965" TargetMode="External"/><Relationship Id="rId138" Type="http://schemas.openxmlformats.org/officeDocument/2006/relationships/hyperlink" Target="https://link.springer.com/journal/11482" TargetMode="External"/><Relationship Id="rId345" Type="http://schemas.openxmlformats.org/officeDocument/2006/relationships/hyperlink" Target="https://link.springer.com/journal/42250" TargetMode="External"/><Relationship Id="rId552" Type="http://schemas.openxmlformats.org/officeDocument/2006/relationships/hyperlink" Target="https://link.springer.com/journal/40622" TargetMode="External"/><Relationship Id="rId997" Type="http://schemas.openxmlformats.org/officeDocument/2006/relationships/hyperlink" Target="https://link.springer.com/journal/10761" TargetMode="External"/><Relationship Id="rId1182" Type="http://schemas.openxmlformats.org/officeDocument/2006/relationships/hyperlink" Target="https://link.springer.com/journal/10824" TargetMode="External"/><Relationship Id="rId2026" Type="http://schemas.openxmlformats.org/officeDocument/2006/relationships/hyperlink" Target="https://link.springer.com/journal/548" TargetMode="External"/><Relationship Id="rId2233" Type="http://schemas.openxmlformats.org/officeDocument/2006/relationships/hyperlink" Target="https://link.springer.com/journal/41682" TargetMode="External"/><Relationship Id="rId205" Type="http://schemas.openxmlformats.org/officeDocument/2006/relationships/hyperlink" Target="https://link.springer.com/journal/35658" TargetMode="External"/><Relationship Id="rId412" Type="http://schemas.openxmlformats.org/officeDocument/2006/relationships/hyperlink" Target="https://link.springer.com/journal/40304" TargetMode="External"/><Relationship Id="rId857" Type="http://schemas.openxmlformats.org/officeDocument/2006/relationships/hyperlink" Target="https://link.springer.com/journal/399" TargetMode="External"/><Relationship Id="rId1042" Type="http://schemas.openxmlformats.org/officeDocument/2006/relationships/hyperlink" Target="https://link.springer.com/journal/11159" TargetMode="External"/><Relationship Id="rId1487" Type="http://schemas.openxmlformats.org/officeDocument/2006/relationships/hyperlink" Target="https://link.springer.com/journal/10982" TargetMode="External"/><Relationship Id="rId1694" Type="http://schemas.openxmlformats.org/officeDocument/2006/relationships/hyperlink" Target="https://link.springer.com/journal/11491" TargetMode="External"/><Relationship Id="rId717" Type="http://schemas.openxmlformats.org/officeDocument/2006/relationships/hyperlink" Target="https://link.springer.com/journal/11692" TargetMode="External"/><Relationship Id="rId924" Type="http://schemas.openxmlformats.org/officeDocument/2006/relationships/hyperlink" Target="https://link.springer.com/journal/40558" TargetMode="External"/><Relationship Id="rId1347" Type="http://schemas.openxmlformats.org/officeDocument/2006/relationships/hyperlink" Target="https://link.springer.com/journal/40817" TargetMode="External"/><Relationship Id="rId1554" Type="http://schemas.openxmlformats.org/officeDocument/2006/relationships/hyperlink" Target="https://link.springer.com/journal/12032" TargetMode="External"/><Relationship Id="rId1761" Type="http://schemas.openxmlformats.org/officeDocument/2006/relationships/hyperlink" Target="https://link.springer.com/journal/11120" TargetMode="External"/><Relationship Id="rId1999" Type="http://schemas.openxmlformats.org/officeDocument/2006/relationships/hyperlink" Target="https://link.springer.com/journal/11205" TargetMode="External"/><Relationship Id="rId53" Type="http://schemas.openxmlformats.org/officeDocument/2006/relationships/hyperlink" Target="https://link.springer.com/journal/41252" TargetMode="External"/><Relationship Id="rId1207" Type="http://schemas.openxmlformats.org/officeDocument/2006/relationships/hyperlink" Target="https://link.springer.com/journal/41808" TargetMode="External"/><Relationship Id="rId1414" Type="http://schemas.openxmlformats.org/officeDocument/2006/relationships/hyperlink" Target="https://link.springer.com/journal/11700" TargetMode="External"/><Relationship Id="rId1621" Type="http://schemas.openxmlformats.org/officeDocument/2006/relationships/hyperlink" Target="https://link.springer.com/journal/11971" TargetMode="External"/><Relationship Id="rId1859" Type="http://schemas.openxmlformats.org/officeDocument/2006/relationships/hyperlink" Target="https://link.springer.com/journal/411" TargetMode="External"/><Relationship Id="rId1719" Type="http://schemas.openxmlformats.org/officeDocument/2006/relationships/hyperlink" Target="https://link.springer.com/journal/43388" TargetMode="External"/><Relationship Id="rId1926" Type="http://schemas.openxmlformats.org/officeDocument/2006/relationships/hyperlink" Target="https://link.springer.com/journal/11171" TargetMode="External"/><Relationship Id="rId2090" Type="http://schemas.openxmlformats.org/officeDocument/2006/relationships/hyperlink" Target="https://link.springer.com/journal/41027" TargetMode="External"/><Relationship Id="rId2188" Type="http://schemas.openxmlformats.org/officeDocument/2006/relationships/hyperlink" Target="https://link.springer.com/journal/13337" TargetMode="External"/><Relationship Id="rId367" Type="http://schemas.openxmlformats.org/officeDocument/2006/relationships/hyperlink" Target="https://link.springer.com/journal/10118" TargetMode="External"/><Relationship Id="rId574" Type="http://schemas.openxmlformats.org/officeDocument/2006/relationships/hyperlink" Target="https://link.springer.com/journal/113" TargetMode="External"/><Relationship Id="rId2048" Type="http://schemas.openxmlformats.org/officeDocument/2006/relationships/hyperlink" Target="https://link.springer.com/journal/520" TargetMode="External"/><Relationship Id="rId227" Type="http://schemas.openxmlformats.org/officeDocument/2006/relationships/hyperlink" Target="https://link.springer.com/journal/11609" TargetMode="External"/><Relationship Id="rId781" Type="http://schemas.openxmlformats.org/officeDocument/2006/relationships/hyperlink" Target="https://link.springer.com/journal/40647" TargetMode="External"/><Relationship Id="rId879" Type="http://schemas.openxmlformats.org/officeDocument/2006/relationships/hyperlink" Target="https://link.springer.com/journal/10746" TargetMode="External"/><Relationship Id="rId434" Type="http://schemas.openxmlformats.org/officeDocument/2006/relationships/hyperlink" Target="https://link.springer.com/journal/607" TargetMode="External"/><Relationship Id="rId641" Type="http://schemas.openxmlformats.org/officeDocument/2006/relationships/hyperlink" Target="https://link.springer.com/journal/10664" TargetMode="External"/><Relationship Id="rId739" Type="http://schemas.openxmlformats.org/officeDocument/2006/relationships/hyperlink" Target="https://link.springer.com/journal/780" TargetMode="External"/><Relationship Id="rId1064" Type="http://schemas.openxmlformats.org/officeDocument/2006/relationships/hyperlink" Target="https://link.springer.com/journal/11486" TargetMode="External"/><Relationship Id="rId1271" Type="http://schemas.openxmlformats.org/officeDocument/2006/relationships/hyperlink" Target="https://link.springer.com/journal/10846" TargetMode="External"/><Relationship Id="rId1369" Type="http://schemas.openxmlformats.org/officeDocument/2006/relationships/hyperlink" Target="https://link.springer.com/journal/10934" TargetMode="External"/><Relationship Id="rId1576" Type="http://schemas.openxmlformats.org/officeDocument/2006/relationships/hyperlink" Target="https://link.springer.com/journal/703" TargetMode="External"/><Relationship Id="rId2115" Type="http://schemas.openxmlformats.org/officeDocument/2006/relationships/hyperlink" Target="https://link.springer.com/journal/40732" TargetMode="External"/><Relationship Id="rId501" Type="http://schemas.openxmlformats.org/officeDocument/2006/relationships/hyperlink" Target="https://link.springer.com/journal/13679" TargetMode="External"/><Relationship Id="rId946" Type="http://schemas.openxmlformats.org/officeDocument/2006/relationships/hyperlink" Target="https://link.springer.com/journal/420" TargetMode="External"/><Relationship Id="rId1131" Type="http://schemas.openxmlformats.org/officeDocument/2006/relationships/hyperlink" Target="https://link.springer.com/journal/10869" TargetMode="External"/><Relationship Id="rId1229" Type="http://schemas.openxmlformats.org/officeDocument/2006/relationships/hyperlink" Target="https://link.springer.com/journal/11676" TargetMode="External"/><Relationship Id="rId1783" Type="http://schemas.openxmlformats.org/officeDocument/2006/relationships/hyperlink" Target="https://link.springer.com/journal/11105" TargetMode="External"/><Relationship Id="rId1990" Type="http://schemas.openxmlformats.org/officeDocument/2006/relationships/hyperlink" Target="https://link.springer.com/journal/11325" TargetMode="External"/><Relationship Id="rId75" Type="http://schemas.openxmlformats.org/officeDocument/2006/relationships/hyperlink" Target="https://link.springer.com/journal/15009" TargetMode="External"/><Relationship Id="rId806" Type="http://schemas.openxmlformats.org/officeDocument/2006/relationships/hyperlink" Target="https://link.springer.com/journal/10711" TargetMode="External"/><Relationship Id="rId1436" Type="http://schemas.openxmlformats.org/officeDocument/2006/relationships/hyperlink" Target="https://link.springer.com/journal/13132" TargetMode="External"/><Relationship Id="rId1643" Type="http://schemas.openxmlformats.org/officeDocument/2006/relationships/hyperlink" Target="https://link.springer.com/journal/11047" TargetMode="External"/><Relationship Id="rId1850" Type="http://schemas.openxmlformats.org/officeDocument/2006/relationships/hyperlink" Target="https://link.springer.com/journal/11135" TargetMode="External"/><Relationship Id="rId1503" Type="http://schemas.openxmlformats.org/officeDocument/2006/relationships/hyperlink" Target="https://link.springer.com/journal/408" TargetMode="External"/><Relationship Id="rId1710" Type="http://schemas.openxmlformats.org/officeDocument/2006/relationships/hyperlink" Target="https://link.springer.com/journal/11974" TargetMode="External"/><Relationship Id="rId1948" Type="http://schemas.openxmlformats.org/officeDocument/2006/relationships/hyperlink" Target="https://link.springer.com/journal/11182" TargetMode="External"/><Relationship Id="rId291" Type="http://schemas.openxmlformats.org/officeDocument/2006/relationships/hyperlink" Target="https://link.springer.com/journal/12034" TargetMode="External"/><Relationship Id="rId1808" Type="http://schemas.openxmlformats.org/officeDocument/2006/relationships/hyperlink" Target="https://link.springer.com/journal/12043" TargetMode="External"/><Relationship Id="rId151" Type="http://schemas.openxmlformats.org/officeDocument/2006/relationships/hyperlink" Target="https://link.springer.com/journal/10502" TargetMode="External"/><Relationship Id="rId389" Type="http://schemas.openxmlformats.org/officeDocument/2006/relationships/hyperlink" Target="https://link.springer.com/journal/784" TargetMode="External"/><Relationship Id="rId596" Type="http://schemas.openxmlformats.org/officeDocument/2006/relationships/hyperlink" Target="https://link.springer.com/journal/10628" TargetMode="External"/><Relationship Id="rId249" Type="http://schemas.openxmlformats.org/officeDocument/2006/relationships/hyperlink" Target="https://link.springer.com/journal/374" TargetMode="External"/><Relationship Id="rId456" Type="http://schemas.openxmlformats.org/officeDocument/2006/relationships/hyperlink" Target="https://link.springer.com/journal/10609" TargetMode="External"/><Relationship Id="rId663" Type="http://schemas.openxmlformats.org/officeDocument/2006/relationships/hyperlink" Target="https://link.springer.com/journal/10666" TargetMode="External"/><Relationship Id="rId870" Type="http://schemas.openxmlformats.org/officeDocument/2006/relationships/hyperlink" Target="https://link.springer.com/journal/13580" TargetMode="External"/><Relationship Id="rId1086" Type="http://schemas.openxmlformats.org/officeDocument/2006/relationships/hyperlink" Target="https://link.springer.com/journal/41972" TargetMode="External"/><Relationship Id="rId1293" Type="http://schemas.openxmlformats.org/officeDocument/2006/relationships/hyperlink" Target="https://link.springer.com/journal/10910" TargetMode="External"/><Relationship Id="rId2137" Type="http://schemas.openxmlformats.org/officeDocument/2006/relationships/hyperlink" Target="https://link.springer.com/journal/224" TargetMode="External"/><Relationship Id="rId109" Type="http://schemas.openxmlformats.org/officeDocument/2006/relationships/hyperlink" Target="https://link.springer.com/journal/12149" TargetMode="External"/><Relationship Id="rId316" Type="http://schemas.openxmlformats.org/officeDocument/2006/relationships/hyperlink" Target="https://link.springer.com/journal/10557" TargetMode="External"/><Relationship Id="rId523" Type="http://schemas.openxmlformats.org/officeDocument/2006/relationships/hyperlink" Target="https://link.springer.com/journal/40778" TargetMode="External"/><Relationship Id="rId968" Type="http://schemas.openxmlformats.org/officeDocument/2006/relationships/hyperlink" Target="https://link.springer.com/journal/10147" TargetMode="External"/><Relationship Id="rId1153" Type="http://schemas.openxmlformats.org/officeDocument/2006/relationships/hyperlink" Target="https://link.springer.com/journal/11852" TargetMode="External"/><Relationship Id="rId1598" Type="http://schemas.openxmlformats.org/officeDocument/2006/relationships/hyperlink" Target="https://link.springer.com/journal/11036" TargetMode="External"/><Relationship Id="rId2204" Type="http://schemas.openxmlformats.org/officeDocument/2006/relationships/hyperlink" Target="https://link.springer.com/journal/11276" TargetMode="External"/><Relationship Id="rId97" Type="http://schemas.openxmlformats.org/officeDocument/2006/relationships/hyperlink" Target="https://link.springer.com/journal/40316" TargetMode="External"/><Relationship Id="rId730" Type="http://schemas.openxmlformats.org/officeDocument/2006/relationships/hyperlink" Target="https://link.springer.com/journal/12403" TargetMode="External"/><Relationship Id="rId828" Type="http://schemas.openxmlformats.org/officeDocument/2006/relationships/hyperlink" Target="https://link.springer.com/journal/41127" TargetMode="External"/><Relationship Id="rId1013" Type="http://schemas.openxmlformats.org/officeDocument/2006/relationships/hyperlink" Target="https://link.springer.com/journal/10989" TargetMode="External"/><Relationship Id="rId1360" Type="http://schemas.openxmlformats.org/officeDocument/2006/relationships/hyperlink" Target="https://link.springer.com/journal/42161" TargetMode="External"/><Relationship Id="rId1458" Type="http://schemas.openxmlformats.org/officeDocument/2006/relationships/hyperlink" Target="https://link.springer.com/journal/12193" TargetMode="External"/><Relationship Id="rId1665" Type="http://schemas.openxmlformats.org/officeDocument/2006/relationships/hyperlink" Target="https://link.springer.com/journal/12017" TargetMode="External"/><Relationship Id="rId1872" Type="http://schemas.openxmlformats.org/officeDocument/2006/relationships/hyperlink" Target="https://link.springer.com/journal/10113" TargetMode="External"/><Relationship Id="rId1220" Type="http://schemas.openxmlformats.org/officeDocument/2006/relationships/hyperlink" Target="https://link.springer.com/journal/11668" TargetMode="External"/><Relationship Id="rId1318" Type="http://schemas.openxmlformats.org/officeDocument/2006/relationships/hyperlink" Target="https://link.springer.com/journal/40097" TargetMode="External"/><Relationship Id="rId1525" Type="http://schemas.openxmlformats.org/officeDocument/2006/relationships/hyperlink" Target="https://link.springer.com/journal/11527" TargetMode="External"/><Relationship Id="rId1732" Type="http://schemas.openxmlformats.org/officeDocument/2006/relationships/hyperlink" Target="https://link.springer.com/journal/436" TargetMode="External"/><Relationship Id="rId24" Type="http://schemas.openxmlformats.org/officeDocument/2006/relationships/hyperlink" Target="https://link.springer.com/journal/40306" TargetMode="External"/><Relationship Id="rId173" Type="http://schemas.openxmlformats.org/officeDocument/2006/relationships/hyperlink" Target="https://link.springer.com/journal/142" TargetMode="External"/><Relationship Id="rId380" Type="http://schemas.openxmlformats.org/officeDocument/2006/relationships/hyperlink" Target="https://link.springer.com/journal/10238" TargetMode="External"/><Relationship Id="rId2061" Type="http://schemas.openxmlformats.org/officeDocument/2006/relationships/hyperlink" Target="https://link.springer.com/journal/11213" TargetMode="External"/><Relationship Id="rId240" Type="http://schemas.openxmlformats.org/officeDocument/2006/relationships/hyperlink" Target="https://link.springer.com/journal/10533" TargetMode="External"/><Relationship Id="rId478" Type="http://schemas.openxmlformats.org/officeDocument/2006/relationships/hyperlink" Target="https://link.springer.com/journal/40474" TargetMode="External"/><Relationship Id="rId685" Type="http://schemas.openxmlformats.org/officeDocument/2006/relationships/hyperlink" Target="https://link.springer.com/journal/406" TargetMode="External"/><Relationship Id="rId892" Type="http://schemas.openxmlformats.org/officeDocument/2006/relationships/hyperlink" Target="https://link.springer.com/journal/11626" TargetMode="External"/><Relationship Id="rId2159" Type="http://schemas.openxmlformats.org/officeDocument/2006/relationships/hyperlink" Target="https://link.springer.com/journal/40515" TargetMode="External"/><Relationship Id="rId100" Type="http://schemas.openxmlformats.org/officeDocument/2006/relationships/hyperlink" Target="https://link.springer.com/journal/10439" TargetMode="External"/><Relationship Id="rId338" Type="http://schemas.openxmlformats.org/officeDocument/2006/relationships/hyperlink" Target="https://link.springer.com/journal/10570" TargetMode="External"/><Relationship Id="rId545" Type="http://schemas.openxmlformats.org/officeDocument/2006/relationships/hyperlink" Target="https://link.springer.com/journal/10587" TargetMode="External"/><Relationship Id="rId752" Type="http://schemas.openxmlformats.org/officeDocument/2006/relationships/hyperlink" Target="https://link.springer.com/journal/11483" TargetMode="External"/><Relationship Id="rId1175" Type="http://schemas.openxmlformats.org/officeDocument/2006/relationships/hyperlink" Target="https://link.springer.com/journal/10879" TargetMode="External"/><Relationship Id="rId1382" Type="http://schemas.openxmlformats.org/officeDocument/2006/relationships/hyperlink" Target="https://link.springer.com/journal/10967" TargetMode="External"/><Relationship Id="rId2019" Type="http://schemas.openxmlformats.org/officeDocument/2006/relationships/hyperlink" Target="https://link.springer.com/journal/40980" TargetMode="External"/><Relationship Id="rId2226" Type="http://schemas.openxmlformats.org/officeDocument/2006/relationships/hyperlink" Target="https://link.springer.com/journal/42597" TargetMode="External"/><Relationship Id="rId405" Type="http://schemas.openxmlformats.org/officeDocument/2006/relationships/hyperlink" Target="https://link.springer.com/journal/13348" TargetMode="External"/><Relationship Id="rId612" Type="http://schemas.openxmlformats.org/officeDocument/2006/relationships/hyperlink" Target="https://link.springer.com/journal/12140" TargetMode="External"/><Relationship Id="rId1035" Type="http://schemas.openxmlformats.org/officeDocument/2006/relationships/hyperlink" Target="https://link.springer.com/journal/12008" TargetMode="External"/><Relationship Id="rId1242" Type="http://schemas.openxmlformats.org/officeDocument/2006/relationships/hyperlink" Target="https://link.springer.com/journal/11442" TargetMode="External"/><Relationship Id="rId1687" Type="http://schemas.openxmlformats.org/officeDocument/2006/relationships/hyperlink" Target="https://link.springer.com/journal/10705" TargetMode="External"/><Relationship Id="rId1894" Type="http://schemas.openxmlformats.org/officeDocument/2006/relationships/hyperlink" Target="https://link.springer.com/journal/11147" TargetMode="External"/><Relationship Id="rId917" Type="http://schemas.openxmlformats.org/officeDocument/2006/relationships/hyperlink" Target="https://link.springer.com/journal/15004" TargetMode="External"/><Relationship Id="rId1102" Type="http://schemas.openxmlformats.org/officeDocument/2006/relationships/hyperlink" Target="https://link.springer.com/journal/12190" TargetMode="External"/><Relationship Id="rId1547" Type="http://schemas.openxmlformats.org/officeDocument/2006/relationships/hyperlink" Target="https://link.springer.com/journal/11029" TargetMode="External"/><Relationship Id="rId1754" Type="http://schemas.openxmlformats.org/officeDocument/2006/relationships/hyperlink" Target="https://link.springer.com/journal/11097" TargetMode="External"/><Relationship Id="rId1961" Type="http://schemas.openxmlformats.org/officeDocument/2006/relationships/hyperlink" Target="https://link.springer.com/journal/11427" TargetMode="External"/><Relationship Id="rId46" Type="http://schemas.openxmlformats.org/officeDocument/2006/relationships/hyperlink" Target="https://link.springer.com/journal/376" TargetMode="External"/><Relationship Id="rId1407" Type="http://schemas.openxmlformats.org/officeDocument/2006/relationships/hyperlink" Target="https://link.springer.com/journal/10953" TargetMode="External"/><Relationship Id="rId1614" Type="http://schemas.openxmlformats.org/officeDocument/2006/relationships/hyperlink" Target="https://link.springer.com/journal/112" TargetMode="External"/><Relationship Id="rId1821" Type="http://schemas.openxmlformats.org/officeDocument/2006/relationships/hyperlink" Target="https://link.springer.com/journal/12595" TargetMode="External"/><Relationship Id="rId195" Type="http://schemas.openxmlformats.org/officeDocument/2006/relationships/hyperlink" Target="https://link.springer.com/journal/11755" TargetMode="External"/><Relationship Id="rId1919" Type="http://schemas.openxmlformats.org/officeDocument/2006/relationships/hyperlink" Target="https://link.springer.com/journal/11977" TargetMode="External"/><Relationship Id="rId2083" Type="http://schemas.openxmlformats.org/officeDocument/2006/relationships/hyperlink" Target="https://link.springer.com/journal/10050" TargetMode="External"/><Relationship Id="rId262" Type="http://schemas.openxmlformats.org/officeDocument/2006/relationships/hyperlink" Target="https://link.springer.com/journal/41247" TargetMode="External"/><Relationship Id="rId567" Type="http://schemas.openxmlformats.org/officeDocument/2006/relationships/hyperlink" Target="https://link.springer.com/journal/761" TargetMode="External"/><Relationship Id="rId1197" Type="http://schemas.openxmlformats.org/officeDocument/2006/relationships/hyperlink" Target="https://link.springer.com/journal/11403" TargetMode="External"/><Relationship Id="rId2150" Type="http://schemas.openxmlformats.org/officeDocument/2006/relationships/hyperlink" Target="https://link.springer.com/journal/12209" TargetMode="External"/><Relationship Id="rId122" Type="http://schemas.openxmlformats.org/officeDocument/2006/relationships/hyperlink" Target="https://link.springer.com/journal/10438" TargetMode="External"/><Relationship Id="rId774" Type="http://schemas.openxmlformats.org/officeDocument/2006/relationships/hyperlink" Target="https://link.springer.com/journal/11714" TargetMode="External"/><Relationship Id="rId981" Type="http://schemas.openxmlformats.org/officeDocument/2006/relationships/hyperlink" Target="https://link.springer.com/journal/13158" TargetMode="External"/><Relationship Id="rId1057" Type="http://schemas.openxmlformats.org/officeDocument/2006/relationships/hyperlink" Target="https://link.springer.com/journal/271" TargetMode="External"/><Relationship Id="rId2010" Type="http://schemas.openxmlformats.org/officeDocument/2006/relationships/hyperlink" Target="https://link.springer.com/journal/11204" TargetMode="External"/><Relationship Id="rId427" Type="http://schemas.openxmlformats.org/officeDocument/2006/relationships/hyperlink" Target="https://link.springer.com/journal/10598" TargetMode="External"/><Relationship Id="rId634" Type="http://schemas.openxmlformats.org/officeDocument/2006/relationships/hyperlink" Target="https://link.springer.com/journal/12525" TargetMode="External"/><Relationship Id="rId841" Type="http://schemas.openxmlformats.org/officeDocument/2006/relationships/hyperlink" Target="https://link.springer.com/journal/12553" TargetMode="External"/><Relationship Id="rId1264" Type="http://schemas.openxmlformats.org/officeDocument/2006/relationships/hyperlink" Target="https://link.springer.com/journal/10781" TargetMode="External"/><Relationship Id="rId1471" Type="http://schemas.openxmlformats.org/officeDocument/2006/relationships/hyperlink" Target="https://link.springer.com/journal/11814" TargetMode="External"/><Relationship Id="rId1569" Type="http://schemas.openxmlformats.org/officeDocument/2006/relationships/hyperlink" Target="https://link.springer.com/journal/11041" TargetMode="External"/><Relationship Id="rId2108" Type="http://schemas.openxmlformats.org/officeDocument/2006/relationships/hyperlink" Target="https://link.springer.com/journal/11227" TargetMode="External"/><Relationship Id="rId701" Type="http://schemas.openxmlformats.org/officeDocument/2006/relationships/hyperlink" Target="https://link.springer.com/journal/40879" TargetMode="External"/><Relationship Id="rId939" Type="http://schemas.openxmlformats.org/officeDocument/2006/relationships/hyperlink" Target="https://link.springer.com/journal/134" TargetMode="External"/><Relationship Id="rId1124" Type="http://schemas.openxmlformats.org/officeDocument/2006/relationships/hyperlink" Target="https://link.springer.com/journal/10867" TargetMode="External"/><Relationship Id="rId1331" Type="http://schemas.openxmlformats.org/officeDocument/2006/relationships/hyperlink" Target="https://link.springer.com/journal/10926" TargetMode="External"/><Relationship Id="rId1776" Type="http://schemas.openxmlformats.org/officeDocument/2006/relationships/hyperlink" Target="https://link.springer.com/journal/11816" TargetMode="External"/><Relationship Id="rId1983" Type="http://schemas.openxmlformats.org/officeDocument/2006/relationships/hyperlink" Target="https://link.springer.com/journal/193" TargetMode="External"/><Relationship Id="rId68" Type="http://schemas.openxmlformats.org/officeDocument/2006/relationships/hyperlink" Target="https://link.springer.com/journal/10460" TargetMode="External"/><Relationship Id="rId1429" Type="http://schemas.openxmlformats.org/officeDocument/2006/relationships/hyperlink" Target="https://link.springer.com/journal/12524" TargetMode="External"/><Relationship Id="rId1636" Type="http://schemas.openxmlformats.org/officeDocument/2006/relationships/hyperlink" Target="https://link.springer.com/journal/572" TargetMode="External"/><Relationship Id="rId1843" Type="http://schemas.openxmlformats.org/officeDocument/2006/relationships/hyperlink" Target="https://link.springer.com/journal/12469" TargetMode="External"/><Relationship Id="rId1703" Type="http://schemas.openxmlformats.org/officeDocument/2006/relationships/hyperlink" Target="https://link.springer.com/journal/11082" TargetMode="External"/><Relationship Id="rId1910" Type="http://schemas.openxmlformats.org/officeDocument/2006/relationships/hyperlink" Target="https://link.springer.com/journal/41614" TargetMode="External"/><Relationship Id="rId284" Type="http://schemas.openxmlformats.org/officeDocument/2006/relationships/hyperlink" Target="https://link.springer.com/journal/12228" TargetMode="External"/><Relationship Id="rId491" Type="http://schemas.openxmlformats.org/officeDocument/2006/relationships/hyperlink" Target="https://link.springer.com/journal/11901" TargetMode="External"/><Relationship Id="rId2172" Type="http://schemas.openxmlformats.org/officeDocument/2006/relationships/hyperlink" Target="https://link.springer.com/journal/42010" TargetMode="External"/><Relationship Id="rId144" Type="http://schemas.openxmlformats.org/officeDocument/2006/relationships/hyperlink" Target="https://link.springer.com/journal/27" TargetMode="External"/><Relationship Id="rId589" Type="http://schemas.openxmlformats.org/officeDocument/2006/relationships/hyperlink" Target="https://link.springer.com/journal/44206" TargetMode="External"/><Relationship Id="rId796" Type="http://schemas.openxmlformats.org/officeDocument/2006/relationships/hyperlink" Target="https://link.springer.com/journal/10709" TargetMode="External"/><Relationship Id="rId351" Type="http://schemas.openxmlformats.org/officeDocument/2006/relationships/hyperlink" Target="https://link.springer.com/journal/40828" TargetMode="External"/><Relationship Id="rId449" Type="http://schemas.openxmlformats.org/officeDocument/2006/relationships/hyperlink" Target="https://link.springer.com/journal/11768" TargetMode="External"/><Relationship Id="rId656" Type="http://schemas.openxmlformats.org/officeDocument/2006/relationships/hyperlink" Target="https://link.springer.com/journal/10641" TargetMode="External"/><Relationship Id="rId863" Type="http://schemas.openxmlformats.org/officeDocument/2006/relationships/hyperlink" Target="https://link.springer.com/journal/41636" TargetMode="External"/><Relationship Id="rId1079" Type="http://schemas.openxmlformats.org/officeDocument/2006/relationships/hyperlink" Target="https://link.springer.com/journal/41979" TargetMode="External"/><Relationship Id="rId1286" Type="http://schemas.openxmlformats.org/officeDocument/2006/relationships/hyperlink" Target="https://link.springer.com/journal/773" TargetMode="External"/><Relationship Id="rId1493" Type="http://schemas.openxmlformats.org/officeDocument/2006/relationships/hyperlink" Target="https://link.springer.com/journal/41872" TargetMode="External"/><Relationship Id="rId2032" Type="http://schemas.openxmlformats.org/officeDocument/2006/relationships/hyperlink" Target="https://link.springer.com/journal/11986" TargetMode="External"/><Relationship Id="rId211" Type="http://schemas.openxmlformats.org/officeDocument/2006/relationships/hyperlink" Target="https://link.springer.com/journal/11952" TargetMode="External"/><Relationship Id="rId309" Type="http://schemas.openxmlformats.org/officeDocument/2006/relationships/hyperlink" Target="https://link.springer.com/journal/10552" TargetMode="External"/><Relationship Id="rId516" Type="http://schemas.openxmlformats.org/officeDocument/2006/relationships/hyperlink" Target="https://link.springer.com/journal/13665" TargetMode="External"/><Relationship Id="rId1146" Type="http://schemas.openxmlformats.org/officeDocument/2006/relationships/hyperlink" Target="https://link.springer.com/journal/11366" TargetMode="External"/><Relationship Id="rId1798" Type="http://schemas.openxmlformats.org/officeDocument/2006/relationships/hyperlink" Target="https://link.springer.com/journal/41050" TargetMode="External"/><Relationship Id="rId723" Type="http://schemas.openxmlformats.org/officeDocument/2006/relationships/hyperlink" Target="https://link.springer.com/journal/42757" TargetMode="External"/><Relationship Id="rId930" Type="http://schemas.openxmlformats.org/officeDocument/2006/relationships/hyperlink" Target="https://link.springer.com/journal/10789" TargetMode="External"/><Relationship Id="rId1006" Type="http://schemas.openxmlformats.org/officeDocument/2006/relationships/hyperlink" Target="https://link.springer.com/journal/10999" TargetMode="External"/><Relationship Id="rId1353" Type="http://schemas.openxmlformats.org/officeDocument/2006/relationships/hyperlink" Target="https://link.springer.com/journal/11669" TargetMode="External"/><Relationship Id="rId1560" Type="http://schemas.openxmlformats.org/officeDocument/2006/relationships/hyperlink" Target="https://link.springer.com/journal/63" TargetMode="External"/><Relationship Id="rId1658" Type="http://schemas.openxmlformats.org/officeDocument/2006/relationships/hyperlink" Target="https://link.springer.com/journal/11710" TargetMode="External"/><Relationship Id="rId1865" Type="http://schemas.openxmlformats.org/officeDocument/2006/relationships/hyperlink" Target="https://link.springer.com/journal/12598" TargetMode="External"/><Relationship Id="rId1213" Type="http://schemas.openxmlformats.org/officeDocument/2006/relationships/hyperlink" Target="https://link.springer.com/journal/13412" TargetMode="External"/><Relationship Id="rId1420" Type="http://schemas.openxmlformats.org/officeDocument/2006/relationships/hyperlink" Target="https://link.springer.com/journal/10162" TargetMode="External"/><Relationship Id="rId1518" Type="http://schemas.openxmlformats.org/officeDocument/2006/relationships/hyperlink" Target="https://link.springer.com/journal/227" TargetMode="External"/><Relationship Id="rId1725" Type="http://schemas.openxmlformats.org/officeDocument/2006/relationships/hyperlink" Target="https://link.springer.com/journal/10333" TargetMode="External"/><Relationship Id="rId1932" Type="http://schemas.openxmlformats.org/officeDocument/2006/relationships/hyperlink" Target="https://link.springer.com/journal/11177" TargetMode="External"/><Relationship Id="rId17" Type="http://schemas.openxmlformats.org/officeDocument/2006/relationships/hyperlink" Target="https://link.springer.com/journal/40328" TargetMode="External"/><Relationship Id="rId2194" Type="http://schemas.openxmlformats.org/officeDocument/2006/relationships/hyperlink" Target="https://link.springer.com/journal/11268" TargetMode="External"/><Relationship Id="rId166" Type="http://schemas.openxmlformats.org/officeDocument/2006/relationships/hyperlink" Target="https://link.springer.com/journal/204" TargetMode="External"/><Relationship Id="rId373" Type="http://schemas.openxmlformats.org/officeDocument/2006/relationships/hyperlink" Target="https://link.springer.com/journal/34" TargetMode="External"/><Relationship Id="rId580" Type="http://schemas.openxmlformats.org/officeDocument/2006/relationships/hyperlink" Target="https://link.springer.com/journal/427" TargetMode="External"/><Relationship Id="rId2054" Type="http://schemas.openxmlformats.org/officeDocument/2006/relationships/hyperlink" Target="https://link.springer.com/journal/550" TargetMode="External"/><Relationship Id="rId1" Type="http://schemas.openxmlformats.org/officeDocument/2006/relationships/hyperlink" Target="https://link.springer.com/journal/13205" TargetMode="External"/><Relationship Id="rId233" Type="http://schemas.openxmlformats.org/officeDocument/2006/relationships/hyperlink" Target="https://link.springer.com/journal/11828" TargetMode="External"/><Relationship Id="rId440" Type="http://schemas.openxmlformats.org/officeDocument/2006/relationships/hyperlink" Target="https://link.springer.com/journal/365" TargetMode="External"/><Relationship Id="rId678" Type="http://schemas.openxmlformats.org/officeDocument/2006/relationships/hyperlink" Target="https://link.springer.com/journal/40821" TargetMode="External"/><Relationship Id="rId885" Type="http://schemas.openxmlformats.org/officeDocument/2006/relationships/hyperlink" Target="https://link.springer.com/journal/10751" TargetMode="External"/><Relationship Id="rId1070" Type="http://schemas.openxmlformats.org/officeDocument/2006/relationships/hyperlink" Target="https://link.springer.com/journal/775" TargetMode="External"/><Relationship Id="rId2121" Type="http://schemas.openxmlformats.org/officeDocument/2006/relationships/hyperlink" Target="https://link.springer.com/journal/11256" TargetMode="External"/><Relationship Id="rId300" Type="http://schemas.openxmlformats.org/officeDocument/2006/relationships/hyperlink" Target="https://link.springer.com/journal/12599" TargetMode="External"/><Relationship Id="rId538" Type="http://schemas.openxmlformats.org/officeDocument/2006/relationships/hyperlink" Target="https://link.springer.com/journal/40475" TargetMode="External"/><Relationship Id="rId745" Type="http://schemas.openxmlformats.org/officeDocument/2006/relationships/hyperlink" Target="https://link.springer.com/journal/10494" TargetMode="External"/><Relationship Id="rId952" Type="http://schemas.openxmlformats.org/officeDocument/2006/relationships/hyperlink" Target="https://link.springer.com/journal/11365" TargetMode="External"/><Relationship Id="rId1168" Type="http://schemas.openxmlformats.org/officeDocument/2006/relationships/hyperlink" Target="https://link.springer.com/journal/10822" TargetMode="External"/><Relationship Id="rId1375" Type="http://schemas.openxmlformats.org/officeDocument/2006/relationships/hyperlink" Target="https://link.springer.com/journal/10936" TargetMode="External"/><Relationship Id="rId1582" Type="http://schemas.openxmlformats.org/officeDocument/2006/relationships/hyperlink" Target="https://link.springer.com/journal/604" TargetMode="External"/><Relationship Id="rId2219" Type="http://schemas.openxmlformats.org/officeDocument/2006/relationships/hyperlink" Target="https://link.springer.com/journal/35834" TargetMode="External"/><Relationship Id="rId81" Type="http://schemas.openxmlformats.org/officeDocument/2006/relationships/hyperlink" Target="https://link.springer.com/journal/40629" TargetMode="External"/><Relationship Id="rId605" Type="http://schemas.openxmlformats.org/officeDocument/2006/relationships/hyperlink" Target="https://link.springer.com/journal/455" TargetMode="External"/><Relationship Id="rId812" Type="http://schemas.openxmlformats.org/officeDocument/2006/relationships/hyperlink" Target="https://link.springer.com/journal/11357" TargetMode="External"/><Relationship Id="rId1028" Type="http://schemas.openxmlformats.org/officeDocument/2006/relationships/hyperlink" Target="https://link.springer.com/journal/41978" TargetMode="External"/><Relationship Id="rId1235" Type="http://schemas.openxmlformats.org/officeDocument/2006/relationships/hyperlink" Target="https://link.springer.com/journal/535" TargetMode="External"/><Relationship Id="rId1442" Type="http://schemas.openxmlformats.org/officeDocument/2006/relationships/hyperlink" Target="https://link.springer.com/journal/10973" TargetMode="External"/><Relationship Id="rId1887" Type="http://schemas.openxmlformats.org/officeDocument/2006/relationships/hyperlink" Target="https://link.springer.com/journal/11164" TargetMode="External"/><Relationship Id="rId1302" Type="http://schemas.openxmlformats.org/officeDocument/2006/relationships/hyperlink" Target="https://link.springer.com/journal/10916" TargetMode="External"/><Relationship Id="rId1747" Type="http://schemas.openxmlformats.org/officeDocument/2006/relationships/hyperlink" Target="https://link.springer.com/journal/11495" TargetMode="External"/><Relationship Id="rId1954" Type="http://schemas.openxmlformats.org/officeDocument/2006/relationships/hyperlink" Target="https://link.springer.com/journal/12310" TargetMode="External"/><Relationship Id="rId39" Type="http://schemas.openxmlformats.org/officeDocument/2006/relationships/hyperlink" Target="https://link.springer.com/journal/10488" TargetMode="External"/><Relationship Id="rId1607" Type="http://schemas.openxmlformats.org/officeDocument/2006/relationships/hyperlink" Target="https://link.springer.com/journal/438" TargetMode="External"/><Relationship Id="rId1814" Type="http://schemas.openxmlformats.org/officeDocument/2006/relationships/hyperlink" Target="https://link.springer.com/journal/12602" TargetMode="External"/><Relationship Id="rId188" Type="http://schemas.openxmlformats.org/officeDocument/2006/relationships/hyperlink" Target="https://link.springer.com/journal/41685" TargetMode="External"/><Relationship Id="rId395" Type="http://schemas.openxmlformats.org/officeDocument/2006/relationships/hyperlink" Target="https://link.springer.com/journal/11698" TargetMode="External"/><Relationship Id="rId2076" Type="http://schemas.openxmlformats.org/officeDocument/2006/relationships/hyperlink" Target="https://link.springer.com/journal/168" TargetMode="External"/><Relationship Id="rId255" Type="http://schemas.openxmlformats.org/officeDocument/2006/relationships/hyperlink" Target="https://link.springer.com/journal/43683" TargetMode="External"/><Relationship Id="rId462" Type="http://schemas.openxmlformats.org/officeDocument/2006/relationships/hyperlink" Target="https://link.springer.com/journal/11422" TargetMode="External"/><Relationship Id="rId1092" Type="http://schemas.openxmlformats.org/officeDocument/2006/relationships/hyperlink" Target="https://link.springer.com/journal/13253" TargetMode="External"/><Relationship Id="rId1397" Type="http://schemas.openxmlformats.org/officeDocument/2006/relationships/hyperlink" Target="https://link.springer.com/journal/10915" TargetMode="External"/><Relationship Id="rId2143" Type="http://schemas.openxmlformats.org/officeDocument/2006/relationships/hyperlink" Target="https://link.springer.com/journal/11244" TargetMode="External"/><Relationship Id="rId115" Type="http://schemas.openxmlformats.org/officeDocument/2006/relationships/hyperlink" Target="https://link.springer.com/journal/44177" TargetMode="External"/><Relationship Id="rId322" Type="http://schemas.openxmlformats.org/officeDocument/2006/relationships/hyperlink" Target="https://link.springer.com/journal/10563" TargetMode="External"/><Relationship Id="rId767" Type="http://schemas.openxmlformats.org/officeDocument/2006/relationships/hyperlink" Target="https://link.springer.com/journal/10699" TargetMode="External"/><Relationship Id="rId974" Type="http://schemas.openxmlformats.org/officeDocument/2006/relationships/hyperlink" Target="https://link.springer.com/journal/11263" TargetMode="External"/><Relationship Id="rId2003" Type="http://schemas.openxmlformats.org/officeDocument/2006/relationships/hyperlink" Target="https://link.springer.com/journal/11218" TargetMode="External"/><Relationship Id="rId2210" Type="http://schemas.openxmlformats.org/officeDocument/2006/relationships/hyperlink" Target="https://link.springer.com/journal/11274" TargetMode="External"/><Relationship Id="rId627" Type="http://schemas.openxmlformats.org/officeDocument/2006/relationships/hyperlink" Target="https://link.springer.com/journal/10671" TargetMode="External"/><Relationship Id="rId834" Type="http://schemas.openxmlformats.org/officeDocument/2006/relationships/hyperlink" Target="https://link.springer.com/journal/15013" TargetMode="External"/><Relationship Id="rId1257" Type="http://schemas.openxmlformats.org/officeDocument/2006/relationships/hyperlink" Target="https://link.springer.com/journal/41134" TargetMode="External"/><Relationship Id="rId1464" Type="http://schemas.openxmlformats.org/officeDocument/2006/relationships/hyperlink" Target="https://link.springer.com/journal/11963" TargetMode="External"/><Relationship Id="rId1671" Type="http://schemas.openxmlformats.org/officeDocument/2006/relationships/hyperlink" Target="https://link.springer.com/journal/12264" TargetMode="External"/><Relationship Id="rId901" Type="http://schemas.openxmlformats.org/officeDocument/2006/relationships/hyperlink" Target="https://link.springer.com/journal/12088" TargetMode="External"/><Relationship Id="rId1117" Type="http://schemas.openxmlformats.org/officeDocument/2006/relationships/hyperlink" Target="https://link.springer.com/journal/10864" TargetMode="External"/><Relationship Id="rId1324" Type="http://schemas.openxmlformats.org/officeDocument/2006/relationships/hyperlink" Target="https://link.springer.com/journal/415" TargetMode="External"/><Relationship Id="rId1531" Type="http://schemas.openxmlformats.org/officeDocument/2006/relationships/hyperlink" Target="https://link.springer.com/journal/12004" TargetMode="External"/><Relationship Id="rId1769" Type="http://schemas.openxmlformats.org/officeDocument/2006/relationships/hyperlink" Target="https://link.springer.com/journal/11451" TargetMode="External"/><Relationship Id="rId1976" Type="http://schemas.openxmlformats.org/officeDocument/2006/relationships/hyperlink" Target="https://link.springer.com/journal/11761" TargetMode="External"/><Relationship Id="rId30" Type="http://schemas.openxmlformats.org/officeDocument/2006/relationships/hyperlink" Target="https://link.springer.com/journal/701" TargetMode="External"/><Relationship Id="rId1629" Type="http://schemas.openxmlformats.org/officeDocument/2006/relationships/hyperlink" Target="https://link.springer.com/journal/530" TargetMode="External"/><Relationship Id="rId1836" Type="http://schemas.openxmlformats.org/officeDocument/2006/relationships/hyperlink" Target="https://link.springer.com/journal/13423" TargetMode="External"/><Relationship Id="rId1903" Type="http://schemas.openxmlformats.org/officeDocument/2006/relationships/hyperlink" Target="https://link.springer.com/journal/13644" TargetMode="External"/><Relationship Id="rId2098" Type="http://schemas.openxmlformats.org/officeDocument/2006/relationships/hyperlink" Target="https://link.springer.com/journal/43493" TargetMode="External"/><Relationship Id="rId277" Type="http://schemas.openxmlformats.org/officeDocument/2006/relationships/hyperlink" Target="https://link.springer.com/journal/10014" TargetMode="External"/><Relationship Id="rId484" Type="http://schemas.openxmlformats.org/officeDocument/2006/relationships/hyperlink" Target="https://link.springer.com/journal/12281" TargetMode="External"/><Relationship Id="rId2165" Type="http://schemas.openxmlformats.org/officeDocument/2006/relationships/hyperlink" Target="https://link.springer.com/journal/11250" TargetMode="External"/><Relationship Id="rId137" Type="http://schemas.openxmlformats.org/officeDocument/2006/relationships/hyperlink" Target="https://link.springer.com/journal/10484" TargetMode="External"/><Relationship Id="rId344" Type="http://schemas.openxmlformats.org/officeDocument/2006/relationships/hyperlink" Target="https://link.springer.com/journal/40242" TargetMode="External"/><Relationship Id="rId691" Type="http://schemas.openxmlformats.org/officeDocument/2006/relationships/hyperlink" Target="https://link.springer.com/journal/41999" TargetMode="External"/><Relationship Id="rId789" Type="http://schemas.openxmlformats.org/officeDocument/2006/relationships/hyperlink" Target="https://link.springer.com/journal/13137" TargetMode="External"/><Relationship Id="rId996" Type="http://schemas.openxmlformats.org/officeDocument/2006/relationships/hyperlink" Target="https://link.springer.com/journal/11407" TargetMode="External"/><Relationship Id="rId2025" Type="http://schemas.openxmlformats.org/officeDocument/2006/relationships/hyperlink" Target="https://link.springer.com/journal/40279" TargetMode="External"/><Relationship Id="rId551" Type="http://schemas.openxmlformats.org/officeDocument/2006/relationships/hyperlink" Target="https://link.springer.com/journal/10645" TargetMode="External"/><Relationship Id="rId649" Type="http://schemas.openxmlformats.org/officeDocument/2006/relationships/hyperlink" Target="https://link.springer.com/journal/42321" TargetMode="External"/><Relationship Id="rId856" Type="http://schemas.openxmlformats.org/officeDocument/2006/relationships/hyperlink" Target="https://link.springer.com/journal/59" TargetMode="External"/><Relationship Id="rId1181" Type="http://schemas.openxmlformats.org/officeDocument/2006/relationships/hyperlink" Target="https://link.springer.com/journal/41809" TargetMode="External"/><Relationship Id="rId1279" Type="http://schemas.openxmlformats.org/officeDocument/2006/relationships/hyperlink" Target="https://link.springer.com/journal/10849" TargetMode="External"/><Relationship Id="rId1486" Type="http://schemas.openxmlformats.org/officeDocument/2006/relationships/hyperlink" Target="https://link.springer.com/journal/10978" TargetMode="External"/><Relationship Id="rId2232" Type="http://schemas.openxmlformats.org/officeDocument/2006/relationships/hyperlink" Target="https://link.springer.com/journal/11620" TargetMode="External"/><Relationship Id="rId204" Type="http://schemas.openxmlformats.org/officeDocument/2006/relationships/hyperlink" Target="https://link.springer.com/journal/38314" TargetMode="External"/><Relationship Id="rId411" Type="http://schemas.openxmlformats.org/officeDocument/2006/relationships/hyperlink" Target="https://link.springer.com/journal/220" TargetMode="External"/><Relationship Id="rId509" Type="http://schemas.openxmlformats.org/officeDocument/2006/relationships/hyperlink" Target="https://link.springer.com/journal/40139" TargetMode="External"/><Relationship Id="rId1041" Type="http://schemas.openxmlformats.org/officeDocument/2006/relationships/hyperlink" Target="https://link.springer.com/journal/12232" TargetMode="External"/><Relationship Id="rId1139" Type="http://schemas.openxmlformats.org/officeDocument/2006/relationships/hyperlink" Target="https://link.springer.com/journal/12079" TargetMode="External"/><Relationship Id="rId1346" Type="http://schemas.openxmlformats.org/officeDocument/2006/relationships/hyperlink" Target="https://link.springer.com/journal/42804" TargetMode="External"/><Relationship Id="rId1693" Type="http://schemas.openxmlformats.org/officeDocument/2006/relationships/hyperlink" Target="https://link.springer.com/journal/12601" TargetMode="External"/><Relationship Id="rId1998" Type="http://schemas.openxmlformats.org/officeDocument/2006/relationships/hyperlink" Target="https://link.springer.com/journal/355" TargetMode="External"/><Relationship Id="rId716" Type="http://schemas.openxmlformats.org/officeDocument/2006/relationships/hyperlink" Target="https://link.springer.com/journal/40844" TargetMode="External"/><Relationship Id="rId923" Type="http://schemas.openxmlformats.org/officeDocument/2006/relationships/hyperlink" Target="https://link.springer.com/journal/10796" TargetMode="External"/><Relationship Id="rId1553" Type="http://schemas.openxmlformats.org/officeDocument/2006/relationships/hyperlink" Target="https://link.springer.com/journal/795" TargetMode="External"/><Relationship Id="rId1760" Type="http://schemas.openxmlformats.org/officeDocument/2006/relationships/hyperlink" Target="https://link.springer.com/journal/11107" TargetMode="External"/><Relationship Id="rId1858" Type="http://schemas.openxmlformats.org/officeDocument/2006/relationships/hyperlink" Target="https://link.springer.com/journal/12552" TargetMode="External"/><Relationship Id="rId52" Type="http://schemas.openxmlformats.org/officeDocument/2006/relationships/hyperlink" Target="https://link.springer.com/journal/40436" TargetMode="External"/><Relationship Id="rId1206" Type="http://schemas.openxmlformats.org/officeDocument/2006/relationships/hyperlink" Target="https://link.springer.com/journal/10836" TargetMode="External"/><Relationship Id="rId1413" Type="http://schemas.openxmlformats.org/officeDocument/2006/relationships/hyperlink" Target="https://link.springer.com/journal/11961" TargetMode="External"/><Relationship Id="rId1620" Type="http://schemas.openxmlformats.org/officeDocument/2006/relationships/hyperlink" Target="https://link.springer.com/journal/11970" TargetMode="External"/><Relationship Id="rId1718" Type="http://schemas.openxmlformats.org/officeDocument/2006/relationships/hyperlink" Target="https://link.springer.com/journal/11084" TargetMode="External"/><Relationship Id="rId1925" Type="http://schemas.openxmlformats.org/officeDocument/2006/relationships/hyperlink" Target="https://link.springer.com/journal/13168" TargetMode="External"/><Relationship Id="rId299" Type="http://schemas.openxmlformats.org/officeDocument/2006/relationships/hyperlink" Target="https://link.springer.com/journal/103" TargetMode="External"/><Relationship Id="rId2187" Type="http://schemas.openxmlformats.org/officeDocument/2006/relationships/hyperlink" Target="https://link.springer.com/journal/11262" TargetMode="External"/><Relationship Id="rId159" Type="http://schemas.openxmlformats.org/officeDocument/2006/relationships/hyperlink" Target="https://link.springer.com/journal/244" TargetMode="External"/><Relationship Id="rId366" Type="http://schemas.openxmlformats.org/officeDocument/2006/relationships/hyperlink" Target="https://link.springer.com/journal/11655" TargetMode="External"/><Relationship Id="rId573" Type="http://schemas.openxmlformats.org/officeDocument/2006/relationships/hyperlink" Target="https://link.springer.com/journal/482" TargetMode="External"/><Relationship Id="rId780" Type="http://schemas.openxmlformats.org/officeDocument/2006/relationships/hyperlink" Target="https://link.springer.com/journal/11709" TargetMode="External"/><Relationship Id="rId2047" Type="http://schemas.openxmlformats.org/officeDocument/2006/relationships/hyperlink" Target="https://link.springer.com/journal/12355" TargetMode="External"/><Relationship Id="rId226" Type="http://schemas.openxmlformats.org/officeDocument/2006/relationships/hyperlink" Target="https://link.springer.com/journal/13366" TargetMode="External"/><Relationship Id="rId433" Type="http://schemas.openxmlformats.org/officeDocument/2006/relationships/hyperlink" Target="https://link.springer.com/journal/10606" TargetMode="External"/><Relationship Id="rId878" Type="http://schemas.openxmlformats.org/officeDocument/2006/relationships/hyperlink" Target="https://link.springer.com/journal/12142" TargetMode="External"/><Relationship Id="rId1063" Type="http://schemas.openxmlformats.org/officeDocument/2006/relationships/hyperlink" Target="https://link.springer.com/journal/11485" TargetMode="External"/><Relationship Id="rId1270" Type="http://schemas.openxmlformats.org/officeDocument/2006/relationships/hyperlink" Target="https://link.springer.com/journal/10841" TargetMode="External"/><Relationship Id="rId2114" Type="http://schemas.openxmlformats.org/officeDocument/2006/relationships/hyperlink" Target="https://link.springer.com/journal/10930" TargetMode="External"/><Relationship Id="rId640" Type="http://schemas.openxmlformats.org/officeDocument/2006/relationships/hyperlink" Target="https://link.springer.com/journal/181" TargetMode="External"/><Relationship Id="rId738" Type="http://schemas.openxmlformats.org/officeDocument/2006/relationships/hyperlink" Target="https://link.springer.com/journal/10692" TargetMode="External"/><Relationship Id="rId945" Type="http://schemas.openxmlformats.org/officeDocument/2006/relationships/hyperlink" Target="https://link.springer.com/journal/10778" TargetMode="External"/><Relationship Id="rId1368" Type="http://schemas.openxmlformats.org/officeDocument/2006/relationships/hyperlink" Target="https://link.springer.com/journal/12546" TargetMode="External"/><Relationship Id="rId1575" Type="http://schemas.openxmlformats.org/officeDocument/2006/relationships/hyperlink" Target="https://link.springer.com/journal/11016" TargetMode="External"/><Relationship Id="rId1782" Type="http://schemas.openxmlformats.org/officeDocument/2006/relationships/hyperlink" Target="https://link.springer.com/journal/11103" TargetMode="External"/><Relationship Id="rId74" Type="http://schemas.openxmlformats.org/officeDocument/2006/relationships/hyperlink" Target="https://link.springer.com/journal/11869" TargetMode="External"/><Relationship Id="rId500" Type="http://schemas.openxmlformats.org/officeDocument/2006/relationships/hyperlink" Target="https://link.springer.com/journal/13668" TargetMode="External"/><Relationship Id="rId805" Type="http://schemas.openxmlformats.org/officeDocument/2006/relationships/hyperlink" Target="https://link.springer.com/journal/367" TargetMode="External"/><Relationship Id="rId1130" Type="http://schemas.openxmlformats.org/officeDocument/2006/relationships/hyperlink" Target="https://link.springer.com/journal/41024" TargetMode="External"/><Relationship Id="rId1228" Type="http://schemas.openxmlformats.org/officeDocument/2006/relationships/hyperlink" Target="https://link.springer.com/journal/13197" TargetMode="External"/><Relationship Id="rId1435" Type="http://schemas.openxmlformats.org/officeDocument/2006/relationships/hyperlink" Target="https://link.springer.com/journal/13738" TargetMode="External"/><Relationship Id="rId1642" Type="http://schemas.openxmlformats.org/officeDocument/2006/relationships/hyperlink" Target="https://link.springer.com/journal/10357" TargetMode="External"/><Relationship Id="rId1947" Type="http://schemas.openxmlformats.org/officeDocument/2006/relationships/hyperlink" Target="https://link.springer.com/journal/11180" TargetMode="External"/><Relationship Id="rId1502" Type="http://schemas.openxmlformats.org/officeDocument/2006/relationships/hyperlink" Target="https://link.springer.com/journal/11787" TargetMode="External"/><Relationship Id="rId1807" Type="http://schemas.openxmlformats.org/officeDocument/2006/relationships/hyperlink" Target="https://link.springer.com/journal/10749" TargetMode="External"/><Relationship Id="rId290" Type="http://schemas.openxmlformats.org/officeDocument/2006/relationships/hyperlink" Target="https://link.springer.com/journal/10517" TargetMode="External"/><Relationship Id="rId388" Type="http://schemas.openxmlformats.org/officeDocument/2006/relationships/hyperlink" Target="https://link.springer.com/journal/62" TargetMode="External"/><Relationship Id="rId2069" Type="http://schemas.openxmlformats.org/officeDocument/2006/relationships/hyperlink" Target="https://link.springer.com/journal/11235" TargetMode="External"/><Relationship Id="rId150" Type="http://schemas.openxmlformats.org/officeDocument/2006/relationships/hyperlink" Target="https://link.springer.com/journal/13" TargetMode="External"/><Relationship Id="rId595" Type="http://schemas.openxmlformats.org/officeDocument/2006/relationships/hyperlink" Target="https://link.springer.com/journal/10633" TargetMode="External"/><Relationship Id="rId248" Type="http://schemas.openxmlformats.org/officeDocument/2006/relationships/hyperlink" Target="https://link.springer.com/journal/10539" TargetMode="External"/><Relationship Id="rId455" Type="http://schemas.openxmlformats.org/officeDocument/2006/relationships/hyperlink" Target="https://link.springer.com/journal/11572" TargetMode="External"/><Relationship Id="rId662" Type="http://schemas.openxmlformats.org/officeDocument/2006/relationships/hyperlink" Target="https://link.springer.com/journal/267" TargetMode="External"/><Relationship Id="rId1085" Type="http://schemas.openxmlformats.org/officeDocument/2006/relationships/hyperlink" Target="https://link.springer.com/journal/41970" TargetMode="External"/><Relationship Id="rId1292" Type="http://schemas.openxmlformats.org/officeDocument/2006/relationships/hyperlink" Target="https://link.springer.com/journal/285" TargetMode="External"/><Relationship Id="rId2136" Type="http://schemas.openxmlformats.org/officeDocument/2006/relationships/hyperlink" Target="https://link.springer.com/journal/12064" TargetMode="External"/><Relationship Id="rId108" Type="http://schemas.openxmlformats.org/officeDocument/2006/relationships/hyperlink" Target="https://link.springer.com/journal/10472" TargetMode="External"/><Relationship Id="rId315" Type="http://schemas.openxmlformats.org/officeDocument/2006/relationships/hyperlink" Target="https://link.springer.com/journal/270" TargetMode="External"/><Relationship Id="rId522" Type="http://schemas.openxmlformats.org/officeDocument/2006/relationships/hyperlink" Target="https://link.springer.com/journal/40675" TargetMode="External"/><Relationship Id="rId967" Type="http://schemas.openxmlformats.org/officeDocument/2006/relationships/hyperlink" Target="https://link.springer.com/journal/40999" TargetMode="External"/><Relationship Id="rId1152" Type="http://schemas.openxmlformats.org/officeDocument/2006/relationships/hyperlink" Target="https://link.springer.com/journal/10876" TargetMode="External"/><Relationship Id="rId1597" Type="http://schemas.openxmlformats.org/officeDocument/2006/relationships/hyperlink" Target="https://link.springer.com/journal/15006" TargetMode="External"/><Relationship Id="rId2203" Type="http://schemas.openxmlformats.org/officeDocument/2006/relationships/hyperlink" Target="https://link.springer.com/journal/10354" TargetMode="External"/><Relationship Id="rId96" Type="http://schemas.openxmlformats.org/officeDocument/2006/relationships/hyperlink" Target="https://link.springer.com/journal/23" TargetMode="External"/><Relationship Id="rId827" Type="http://schemas.openxmlformats.org/officeDocument/2006/relationships/hyperlink" Target="https://link.springer.com/journal/10035" TargetMode="External"/><Relationship Id="rId1012" Type="http://schemas.openxmlformats.org/officeDocument/2006/relationships/hyperlink" Target="https://link.springer.com/journal/42947" TargetMode="External"/><Relationship Id="rId1457" Type="http://schemas.openxmlformats.org/officeDocument/2006/relationships/hyperlink" Target="https://link.springer.com/journal/11585" TargetMode="External"/><Relationship Id="rId1664" Type="http://schemas.openxmlformats.org/officeDocument/2006/relationships/hyperlink" Target="https://link.springer.com/journal/10072" TargetMode="External"/><Relationship Id="rId1871" Type="http://schemas.openxmlformats.org/officeDocument/2006/relationships/hyperlink" Target="https://link.springer.com/journal/40883" TargetMode="External"/><Relationship Id="rId1317" Type="http://schemas.openxmlformats.org/officeDocument/2006/relationships/hyperlink" Target="https://link.springer.com/journal/11051" TargetMode="External"/><Relationship Id="rId1524" Type="http://schemas.openxmlformats.org/officeDocument/2006/relationships/hyperlink" Target="https://link.springer.com/journal/11002" TargetMode="External"/><Relationship Id="rId1731" Type="http://schemas.openxmlformats.org/officeDocument/2006/relationships/hyperlink" Target="https://link.springer.com/journal/12542" TargetMode="External"/><Relationship Id="rId1969" Type="http://schemas.openxmlformats.org/officeDocument/2006/relationships/hyperlink" Target="https://link.springer.com/journal/29" TargetMode="External"/><Relationship Id="rId23" Type="http://schemas.openxmlformats.org/officeDocument/2006/relationships/hyperlink" Target="https://link.springer.com/journal/10114" TargetMode="External"/><Relationship Id="rId1829" Type="http://schemas.openxmlformats.org/officeDocument/2006/relationships/hyperlink" Target="https://link.springer.com/journal/11124" TargetMode="External"/><Relationship Id="rId172" Type="http://schemas.openxmlformats.org/officeDocument/2006/relationships/hyperlink" Target="https://link.springer.com/journal/11829" TargetMode="External"/><Relationship Id="rId477" Type="http://schemas.openxmlformats.org/officeDocument/2006/relationships/hyperlink" Target="https://link.springer.com/journal/13671" TargetMode="External"/><Relationship Id="rId684" Type="http://schemas.openxmlformats.org/officeDocument/2006/relationships/hyperlink" Target="https://link.springer.com/journal/40368" TargetMode="External"/><Relationship Id="rId2060" Type="http://schemas.openxmlformats.org/officeDocument/2006/relationships/hyperlink" Target="https://link.springer.com/journal/11230" TargetMode="External"/><Relationship Id="rId2158" Type="http://schemas.openxmlformats.org/officeDocument/2006/relationships/hyperlink" Target="https://link.springer.com/journal/40890" TargetMode="External"/><Relationship Id="rId337" Type="http://schemas.openxmlformats.org/officeDocument/2006/relationships/hyperlink" Target="https://link.springer.com/journal/13402" TargetMode="External"/><Relationship Id="rId891" Type="http://schemas.openxmlformats.org/officeDocument/2006/relationships/hyperlink" Target="https://link.springer.com/journal/40203" TargetMode="External"/><Relationship Id="rId989" Type="http://schemas.openxmlformats.org/officeDocument/2006/relationships/hyperlink" Target="https://link.springer.com/journal/10704" TargetMode="External"/><Relationship Id="rId2018" Type="http://schemas.openxmlformats.org/officeDocument/2006/relationships/hyperlink" Target="https://link.springer.com/journal/11214" TargetMode="External"/><Relationship Id="rId544" Type="http://schemas.openxmlformats.org/officeDocument/2006/relationships/hyperlink" Target="https://link.springer.com/journal/10616" TargetMode="External"/><Relationship Id="rId751" Type="http://schemas.openxmlformats.org/officeDocument/2006/relationships/hyperlink" Target="https://link.springer.com/journal/12560" TargetMode="External"/><Relationship Id="rId849" Type="http://schemas.openxmlformats.org/officeDocument/2006/relationships/hyperlink" Target="https://link.springer.com/journal/43877" TargetMode="External"/><Relationship Id="rId1174" Type="http://schemas.openxmlformats.org/officeDocument/2006/relationships/hyperlink" Target="https://link.springer.com/journal/11958" TargetMode="External"/><Relationship Id="rId1381" Type="http://schemas.openxmlformats.org/officeDocument/2006/relationships/hyperlink" Target="https://link.springer.com/journal/40615" TargetMode="External"/><Relationship Id="rId1479" Type="http://schemas.openxmlformats.org/officeDocument/2006/relationships/hyperlink" Target="https://link.springer.com/journal/10346" TargetMode="External"/><Relationship Id="rId1686" Type="http://schemas.openxmlformats.org/officeDocument/2006/relationships/hyperlink" Target="https://link.springer.com/journal/211" TargetMode="External"/><Relationship Id="rId2225" Type="http://schemas.openxmlformats.org/officeDocument/2006/relationships/hyperlink" Target="https://link.springer.com/journal/42048" TargetMode="External"/><Relationship Id="rId404" Type="http://schemas.openxmlformats.org/officeDocument/2006/relationships/hyperlink" Target="https://link.springer.com/journal/11955" TargetMode="External"/><Relationship Id="rId611" Type="http://schemas.openxmlformats.org/officeDocument/2006/relationships/hyperlink" Target="https://link.springer.com/journal/11803" TargetMode="External"/><Relationship Id="rId1034" Type="http://schemas.openxmlformats.org/officeDocument/2006/relationships/hyperlink" Target="https://link.springer.com/journal/10032" TargetMode="External"/><Relationship Id="rId1241" Type="http://schemas.openxmlformats.org/officeDocument/2006/relationships/hyperlink" Target="https://link.springer.com/journal/190" TargetMode="External"/><Relationship Id="rId1339" Type="http://schemas.openxmlformats.org/officeDocument/2006/relationships/hyperlink" Target="https://link.springer.com/journal/10336" TargetMode="External"/><Relationship Id="rId1893" Type="http://schemas.openxmlformats.org/officeDocument/2006/relationships/hyperlink" Target="https://link.springer.com/journal/41130" TargetMode="External"/><Relationship Id="rId709" Type="http://schemas.openxmlformats.org/officeDocument/2006/relationships/hyperlink" Target="https://link.springer.com/journal/68" TargetMode="External"/><Relationship Id="rId916" Type="http://schemas.openxmlformats.org/officeDocument/2006/relationships/hyperlink" Target="https://link.springer.com/journal/15034" TargetMode="External"/><Relationship Id="rId1101" Type="http://schemas.openxmlformats.org/officeDocument/2006/relationships/hyperlink" Target="https://link.springer.com/journal/13353" TargetMode="External"/><Relationship Id="rId1546" Type="http://schemas.openxmlformats.org/officeDocument/2006/relationships/hyperlink" Target="https://link.springer.com/journal/11012" TargetMode="External"/><Relationship Id="rId1753" Type="http://schemas.openxmlformats.org/officeDocument/2006/relationships/hyperlink" Target="https://link.springer.com/journal/43440" TargetMode="External"/><Relationship Id="rId1960" Type="http://schemas.openxmlformats.org/officeDocument/2006/relationships/hyperlink" Target="https://link.springer.com/journal/11432" TargetMode="External"/><Relationship Id="rId45" Type="http://schemas.openxmlformats.org/officeDocument/2006/relationships/hyperlink" Target="https://link.springer.com/journal/42423" TargetMode="External"/><Relationship Id="rId1406" Type="http://schemas.openxmlformats.org/officeDocument/2006/relationships/hyperlink" Target="https://link.springer.com/journal/10008" TargetMode="External"/><Relationship Id="rId1613" Type="http://schemas.openxmlformats.org/officeDocument/2006/relationships/hyperlink" Target="https://link.springer.com/journal/605" TargetMode="External"/><Relationship Id="rId1820" Type="http://schemas.openxmlformats.org/officeDocument/2006/relationships/hyperlink" Target="https://link.springer.com/journal/11501" TargetMode="External"/><Relationship Id="rId194" Type="http://schemas.openxmlformats.org/officeDocument/2006/relationships/hyperlink" Target="https://link.springer.com/journal/11444" TargetMode="External"/><Relationship Id="rId1918" Type="http://schemas.openxmlformats.org/officeDocument/2006/relationships/hyperlink" Target="https://link.springer.com/journal/603" TargetMode="External"/><Relationship Id="rId2082" Type="http://schemas.openxmlformats.org/officeDocument/2006/relationships/hyperlink" Target="https://link.springer.com/journal/10198" TargetMode="External"/><Relationship Id="rId261" Type="http://schemas.openxmlformats.org/officeDocument/2006/relationships/hyperlink" Target="https://link.springer.com/journal/12668" TargetMode="External"/><Relationship Id="rId499" Type="http://schemas.openxmlformats.org/officeDocument/2006/relationships/hyperlink" Target="https://link.springer.com/journal/11910" TargetMode="External"/><Relationship Id="rId359" Type="http://schemas.openxmlformats.org/officeDocument/2006/relationships/hyperlink" Target="https://link.springer.com/journal/42533" TargetMode="External"/><Relationship Id="rId566" Type="http://schemas.openxmlformats.org/officeDocument/2006/relationships/hyperlink" Target="https://link.springer.com/journal/115" TargetMode="External"/><Relationship Id="rId773" Type="http://schemas.openxmlformats.org/officeDocument/2006/relationships/hyperlink" Target="https://link.springer.com/journal/11783" TargetMode="External"/><Relationship Id="rId1196" Type="http://schemas.openxmlformats.org/officeDocument/2006/relationships/hyperlink" Target="https://link.springer.com/journal/10887" TargetMode="External"/><Relationship Id="rId121" Type="http://schemas.openxmlformats.org/officeDocument/2006/relationships/hyperlink" Target="https://link.springer.com/journal/12010" TargetMode="External"/><Relationship Id="rId219" Type="http://schemas.openxmlformats.org/officeDocument/2006/relationships/hyperlink" Target="https://link.springer.com/journal/395" TargetMode="External"/><Relationship Id="rId426" Type="http://schemas.openxmlformats.org/officeDocument/2006/relationships/hyperlink" Target="https://link.springer.com/journal/11470" TargetMode="External"/><Relationship Id="rId633" Type="http://schemas.openxmlformats.org/officeDocument/2006/relationships/hyperlink" Target="https://link.springer.com/journal/10660" TargetMode="External"/><Relationship Id="rId980" Type="http://schemas.openxmlformats.org/officeDocument/2006/relationships/hyperlink" Target="https://link.springer.com/journal/40435" TargetMode="External"/><Relationship Id="rId1056" Type="http://schemas.openxmlformats.org/officeDocument/2006/relationships/hyperlink" Target="https://link.springer.com/journal/11845" TargetMode="External"/><Relationship Id="rId1263" Type="http://schemas.openxmlformats.org/officeDocument/2006/relationships/hyperlink" Target="https://link.springer.com/journal/40961" TargetMode="External"/><Relationship Id="rId2107" Type="http://schemas.openxmlformats.org/officeDocument/2006/relationships/hyperlink" Target="https://link.springer.com/journal/11146" TargetMode="External"/><Relationship Id="rId840" Type="http://schemas.openxmlformats.org/officeDocument/2006/relationships/hyperlink" Target="https://link.springer.com/journal/12105" TargetMode="External"/><Relationship Id="rId938" Type="http://schemas.openxmlformats.org/officeDocument/2006/relationships/hyperlink" Target="https://link.springer.com/journal/11370" TargetMode="External"/><Relationship Id="rId1470" Type="http://schemas.openxmlformats.org/officeDocument/2006/relationships/hyperlink" Target="https://link.springer.com/journal/13367" TargetMode="External"/><Relationship Id="rId1568" Type="http://schemas.openxmlformats.org/officeDocument/2006/relationships/hyperlink" Target="https://link.springer.com/journal/11409" TargetMode="External"/><Relationship Id="rId1775" Type="http://schemas.openxmlformats.org/officeDocument/2006/relationships/hyperlink" Target="https://link.springer.com/journal/11104" TargetMode="External"/><Relationship Id="rId67" Type="http://schemas.openxmlformats.org/officeDocument/2006/relationships/hyperlink" Target="https://link.springer.com/journal/40003" TargetMode="External"/><Relationship Id="rId700" Type="http://schemas.openxmlformats.org/officeDocument/2006/relationships/hyperlink" Target="https://link.springer.com/journal/10657" TargetMode="External"/><Relationship Id="rId1123" Type="http://schemas.openxmlformats.org/officeDocument/2006/relationships/hyperlink" Target="https://link.springer.com/journal/11673" TargetMode="External"/><Relationship Id="rId1330" Type="http://schemas.openxmlformats.org/officeDocument/2006/relationships/hyperlink" Target="https://link.springer.com/journal/12350" TargetMode="External"/><Relationship Id="rId1428" Type="http://schemas.openxmlformats.org/officeDocument/2006/relationships/hyperlink" Target="https://link.springer.com/journal/41096" TargetMode="External"/><Relationship Id="rId1635" Type="http://schemas.openxmlformats.org/officeDocument/2006/relationships/hyperlink" Target="https://link.springer.com/journal/11046" TargetMode="External"/><Relationship Id="rId1982" Type="http://schemas.openxmlformats.org/officeDocument/2006/relationships/hyperlink" Target="https://link.springer.com/journal/40830" TargetMode="External"/><Relationship Id="rId1842" Type="http://schemas.openxmlformats.org/officeDocument/2006/relationships/hyperlink" Target="https://link.springer.com/journal/11115" TargetMode="External"/><Relationship Id="rId1702" Type="http://schemas.openxmlformats.org/officeDocument/2006/relationships/hyperlink" Target="https://link.springer.com/journal/12597" TargetMode="External"/><Relationship Id="rId283" Type="http://schemas.openxmlformats.org/officeDocument/2006/relationships/hyperlink" Target="https://link.springer.com/journal/10549" TargetMode="External"/><Relationship Id="rId490" Type="http://schemas.openxmlformats.org/officeDocument/2006/relationships/hyperlink" Target="https://link.springer.com/journal/11899" TargetMode="External"/><Relationship Id="rId2171" Type="http://schemas.openxmlformats.org/officeDocument/2006/relationships/hyperlink" Target="https://link.springer.com/journal/10209" TargetMode="External"/><Relationship Id="rId143" Type="http://schemas.openxmlformats.org/officeDocument/2006/relationships/hyperlink" Target="https://link.springer.com/journal/10498" TargetMode="External"/><Relationship Id="rId350" Type="http://schemas.openxmlformats.org/officeDocument/2006/relationships/hyperlink" Target="https://link.springer.com/journal/12078" TargetMode="External"/><Relationship Id="rId588" Type="http://schemas.openxmlformats.org/officeDocument/2006/relationships/hyperlink" Target="https://link.springer.com/journal/42521" TargetMode="External"/><Relationship Id="rId795" Type="http://schemas.openxmlformats.org/officeDocument/2006/relationships/hyperlink" Target="https://link.springer.com/journal/10722" TargetMode="External"/><Relationship Id="rId2031" Type="http://schemas.openxmlformats.org/officeDocument/2006/relationships/hyperlink" Target="https://link.springer.com/journal/12561" TargetMode="External"/><Relationship Id="rId9" Type="http://schemas.openxmlformats.org/officeDocument/2006/relationships/hyperlink" Target="https://link.springer.com/journal/11441" TargetMode="External"/><Relationship Id="rId210" Type="http://schemas.openxmlformats.org/officeDocument/2006/relationships/hyperlink" Target="https://link.springer.com/journal/11950" TargetMode="External"/><Relationship Id="rId448" Type="http://schemas.openxmlformats.org/officeDocument/2006/relationships/hyperlink" Target="https://link.springer.com/journal/410" TargetMode="External"/><Relationship Id="rId655" Type="http://schemas.openxmlformats.org/officeDocument/2006/relationships/hyperlink" Target="https://link.springer.com/journal/10640" TargetMode="External"/><Relationship Id="rId862" Type="http://schemas.openxmlformats.org/officeDocument/2006/relationships/hyperlink" Target="https://link.springer.com/journal/418" TargetMode="External"/><Relationship Id="rId1078" Type="http://schemas.openxmlformats.org/officeDocument/2006/relationships/hyperlink" Target="https://link.springer.com/journal/10838" TargetMode="External"/><Relationship Id="rId1285" Type="http://schemas.openxmlformats.org/officeDocument/2006/relationships/hyperlink" Target="https://link.springer.com/journal/11804" TargetMode="External"/><Relationship Id="rId1492" Type="http://schemas.openxmlformats.org/officeDocument/2006/relationships/hyperlink" Target="https://link.springer.com/journal/12076" TargetMode="External"/><Relationship Id="rId2129" Type="http://schemas.openxmlformats.org/officeDocument/2006/relationships/hyperlink" Target="https://link.springer.com/journal/11232" TargetMode="External"/><Relationship Id="rId308" Type="http://schemas.openxmlformats.org/officeDocument/2006/relationships/hyperlink" Target="https://link.springer.com/journal/10555" TargetMode="External"/><Relationship Id="rId515" Type="http://schemas.openxmlformats.org/officeDocument/2006/relationships/hyperlink" Target="https://link.springer.com/journal/12144" TargetMode="External"/><Relationship Id="rId722" Type="http://schemas.openxmlformats.org/officeDocument/2006/relationships/hyperlink" Target="https://link.springer.com/journal/10493" TargetMode="External"/><Relationship Id="rId1145" Type="http://schemas.openxmlformats.org/officeDocument/2006/relationships/hyperlink" Target="https://link.springer.com/journal/10826" TargetMode="External"/><Relationship Id="rId1352" Type="http://schemas.openxmlformats.org/officeDocument/2006/relationships/hyperlink" Target="https://link.springer.com/journal/10928" TargetMode="External"/><Relationship Id="rId1797" Type="http://schemas.openxmlformats.org/officeDocument/2006/relationships/hyperlink" Target="https://link.springer.com/journal/11529" TargetMode="External"/><Relationship Id="rId89" Type="http://schemas.openxmlformats.org/officeDocument/2006/relationships/hyperlink" Target="https://link.springer.com/journal/10470" TargetMode="External"/><Relationship Id="rId1005" Type="http://schemas.openxmlformats.org/officeDocument/2006/relationships/hyperlink" Target="https://link.springer.com/journal/12289" TargetMode="External"/><Relationship Id="rId1212" Type="http://schemas.openxmlformats.org/officeDocument/2006/relationships/hyperlink" Target="https://link.springer.com/journal/40201" TargetMode="External"/><Relationship Id="rId1657" Type="http://schemas.openxmlformats.org/officeDocument/2006/relationships/hyperlink" Target="https://link.springer.com/journal/11063" TargetMode="External"/><Relationship Id="rId1864" Type="http://schemas.openxmlformats.org/officeDocument/2006/relationships/hyperlink" Target="https://link.springer.com/journal/11141" TargetMode="External"/><Relationship Id="rId1517" Type="http://schemas.openxmlformats.org/officeDocument/2006/relationships/hyperlink" Target="https://link.springer.com/journal/12526" TargetMode="External"/><Relationship Id="rId1724" Type="http://schemas.openxmlformats.org/officeDocument/2006/relationships/hyperlink" Target="https://link.springer.com/journal/11085" TargetMode="External"/><Relationship Id="rId16" Type="http://schemas.openxmlformats.org/officeDocument/2006/relationships/hyperlink" Target="https://link.springer.com/journal/11631" TargetMode="External"/><Relationship Id="rId1931" Type="http://schemas.openxmlformats.org/officeDocument/2006/relationships/hyperlink" Target="https://link.springer.com/journal/11176" TargetMode="External"/><Relationship Id="rId2193" Type="http://schemas.openxmlformats.org/officeDocument/2006/relationships/hyperlink" Target="https://link.springer.com/journal/12685" TargetMode="External"/><Relationship Id="rId165" Type="http://schemas.openxmlformats.org/officeDocument/2006/relationships/hyperlink" Target="https://link.springer.com/journal/10508" TargetMode="External"/><Relationship Id="rId372" Type="http://schemas.openxmlformats.org/officeDocument/2006/relationships/hyperlink" Target="https://link.springer.com/journal/10577" TargetMode="External"/><Relationship Id="rId677" Type="http://schemas.openxmlformats.org/officeDocument/2006/relationships/hyperlink" Target="https://link.springer.com/journal/10681" TargetMode="External"/><Relationship Id="rId2053" Type="http://schemas.openxmlformats.org/officeDocument/2006/relationships/hyperlink" Target="https://link.springer.com/journal/10712" TargetMode="External"/><Relationship Id="rId232" Type="http://schemas.openxmlformats.org/officeDocument/2006/relationships/hyperlink" Target="https://link.springer.com/journal/11827" TargetMode="External"/><Relationship Id="rId884" Type="http://schemas.openxmlformats.org/officeDocument/2006/relationships/hyperlink" Target="https://link.springer.com/journal/10040" TargetMode="External"/><Relationship Id="rId2120" Type="http://schemas.openxmlformats.org/officeDocument/2006/relationships/hyperlink" Target="https://link.springer.com/journal/114" TargetMode="External"/><Relationship Id="rId537" Type="http://schemas.openxmlformats.org/officeDocument/2006/relationships/hyperlink" Target="https://link.springer.com/journal/40674" TargetMode="External"/><Relationship Id="rId744" Type="http://schemas.openxmlformats.org/officeDocument/2006/relationships/hyperlink" Target="https://link.springer.com/journal/10696" TargetMode="External"/><Relationship Id="rId951" Type="http://schemas.openxmlformats.org/officeDocument/2006/relationships/hyperlink" Target="https://link.springer.com/journal/10368" TargetMode="External"/><Relationship Id="rId1167" Type="http://schemas.openxmlformats.org/officeDocument/2006/relationships/hyperlink" Target="https://link.springer.com/journal/11416" TargetMode="External"/><Relationship Id="rId1374" Type="http://schemas.openxmlformats.org/officeDocument/2006/relationships/hyperlink" Target="https://link.springer.com/journal/11868" TargetMode="External"/><Relationship Id="rId1581" Type="http://schemas.openxmlformats.org/officeDocument/2006/relationships/hyperlink" Target="https://link.springer.com/journal/11021" TargetMode="External"/><Relationship Id="rId1679" Type="http://schemas.openxmlformats.org/officeDocument/2006/relationships/hyperlink" Target="https://link.springer.com/journal/30" TargetMode="External"/><Relationship Id="rId2218" Type="http://schemas.openxmlformats.org/officeDocument/2006/relationships/hyperlink" Target="https://link.springer.com/journal/12399" TargetMode="External"/><Relationship Id="rId80" Type="http://schemas.openxmlformats.org/officeDocument/2006/relationships/hyperlink" Target="https://link.springer.com/journal/15007" TargetMode="External"/><Relationship Id="rId604" Type="http://schemas.openxmlformats.org/officeDocument/2006/relationships/hyperlink" Target="https://link.springer.com/journal/13235" TargetMode="External"/><Relationship Id="rId811" Type="http://schemas.openxmlformats.org/officeDocument/2006/relationships/hyperlink" Target="https://link.springer.com/journal/12662" TargetMode="External"/><Relationship Id="rId1027" Type="http://schemas.openxmlformats.org/officeDocument/2006/relationships/hyperlink" Target="https://link.springer.com/journal/12138" TargetMode="External"/><Relationship Id="rId1234" Type="http://schemas.openxmlformats.org/officeDocument/2006/relationships/hyperlink" Target="https://link.springer.com/journal/10899" TargetMode="External"/><Relationship Id="rId1441" Type="http://schemas.openxmlformats.org/officeDocument/2006/relationships/hyperlink" Target="https://link.springer.com/journal/10959" TargetMode="External"/><Relationship Id="rId1886" Type="http://schemas.openxmlformats.org/officeDocument/2006/relationships/hyperlink" Target="https://link.springer.com/journal/42600" TargetMode="External"/><Relationship Id="rId909" Type="http://schemas.openxmlformats.org/officeDocument/2006/relationships/hyperlink" Target="https://link.springer.com/journal/12055" TargetMode="External"/><Relationship Id="rId1301" Type="http://schemas.openxmlformats.org/officeDocument/2006/relationships/hyperlink" Target="https://link.springer.com/journal/10912" TargetMode="External"/><Relationship Id="rId1539" Type="http://schemas.openxmlformats.org/officeDocument/2006/relationships/hyperlink" Target="https://link.springer.com/journal/13394" TargetMode="External"/><Relationship Id="rId1746" Type="http://schemas.openxmlformats.org/officeDocument/2006/relationships/hyperlink" Target="https://link.springer.com/journal/11494" TargetMode="External"/><Relationship Id="rId1953" Type="http://schemas.openxmlformats.org/officeDocument/2006/relationships/hyperlink" Target="https://link.springer.com/journal/940" TargetMode="External"/><Relationship Id="rId38" Type="http://schemas.openxmlformats.org/officeDocument/2006/relationships/hyperlink" Target="https://link.springer.com/journal/35784" TargetMode="External"/><Relationship Id="rId1606" Type="http://schemas.openxmlformats.org/officeDocument/2006/relationships/hyperlink" Target="https://link.springer.com/journal/11030" TargetMode="External"/><Relationship Id="rId1813" Type="http://schemas.openxmlformats.org/officeDocument/2006/relationships/hyperlink" Target="https://link.springer.com/journal/440" TargetMode="External"/><Relationship Id="rId187" Type="http://schemas.openxmlformats.org/officeDocument/2006/relationships/hyperlink" Target="https://link.springer.com/journal/13143" TargetMode="External"/><Relationship Id="rId394" Type="http://schemas.openxmlformats.org/officeDocument/2006/relationships/hyperlink" Target="https://link.springer.com/journal/10615" TargetMode="External"/><Relationship Id="rId2075" Type="http://schemas.openxmlformats.org/officeDocument/2006/relationships/hyperlink" Target="https://link.springer.com/journal/40616" TargetMode="External"/><Relationship Id="rId254" Type="http://schemas.openxmlformats.org/officeDocument/2006/relationships/hyperlink" Target="https://link.springer.com/journal/10527" TargetMode="External"/><Relationship Id="rId699" Type="http://schemas.openxmlformats.org/officeDocument/2006/relationships/hyperlink" Target="https://link.springer.com/journal/10342" TargetMode="External"/><Relationship Id="rId1091" Type="http://schemas.openxmlformats.org/officeDocument/2006/relationships/hyperlink" Target="https://link.springer.com/journal/10806" TargetMode="External"/><Relationship Id="rId114" Type="http://schemas.openxmlformats.org/officeDocument/2006/relationships/hyperlink" Target="https://link.springer.com/journal/10463" TargetMode="External"/><Relationship Id="rId461" Type="http://schemas.openxmlformats.org/officeDocument/2006/relationships/hyperlink" Target="https://link.springer.com/journal/43638" TargetMode="External"/><Relationship Id="rId559" Type="http://schemas.openxmlformats.org/officeDocument/2006/relationships/hyperlink" Target="https://link.springer.com/journal/129" TargetMode="External"/><Relationship Id="rId766" Type="http://schemas.openxmlformats.org/officeDocument/2006/relationships/hyperlink" Target="https://link.springer.com/journal/10701" TargetMode="External"/><Relationship Id="rId1189" Type="http://schemas.openxmlformats.org/officeDocument/2006/relationships/hyperlink" Target="https://link.springer.com/journal/40870" TargetMode="External"/><Relationship Id="rId1396" Type="http://schemas.openxmlformats.org/officeDocument/2006/relationships/hyperlink" Target="https://link.springer.com/journal/42978" TargetMode="External"/><Relationship Id="rId2142" Type="http://schemas.openxmlformats.org/officeDocument/2006/relationships/hyperlink" Target="https://link.springer.com/journal/11750" TargetMode="External"/><Relationship Id="rId321" Type="http://schemas.openxmlformats.org/officeDocument/2006/relationships/hyperlink" Target="https://link.springer.com/journal/10562" TargetMode="External"/><Relationship Id="rId419" Type="http://schemas.openxmlformats.org/officeDocument/2006/relationships/hyperlink" Target="https://link.springer.com/journal/40314" TargetMode="External"/><Relationship Id="rId626" Type="http://schemas.openxmlformats.org/officeDocument/2006/relationships/hyperlink" Target="https://link.springer.com/journal/10648" TargetMode="External"/><Relationship Id="rId973" Type="http://schemas.openxmlformats.org/officeDocument/2006/relationships/hyperlink" Target="https://link.springer.com/journal/11548" TargetMode="External"/><Relationship Id="rId1049" Type="http://schemas.openxmlformats.org/officeDocument/2006/relationships/hyperlink" Target="https://link.springer.com/journal/11581" TargetMode="External"/><Relationship Id="rId1256" Type="http://schemas.openxmlformats.org/officeDocument/2006/relationships/hyperlink" Target="https://link.springer.com/journal/10901" TargetMode="External"/><Relationship Id="rId2002" Type="http://schemas.openxmlformats.org/officeDocument/2006/relationships/hyperlink" Target="https://link.springer.com/journal/127" TargetMode="External"/><Relationship Id="rId833" Type="http://schemas.openxmlformats.org/officeDocument/2006/relationships/hyperlink" Target="https://link.springer.com/journal/11612" TargetMode="External"/><Relationship Id="rId1116" Type="http://schemas.openxmlformats.org/officeDocument/2006/relationships/hyperlink" Target="https://link.springer.com/journal/42786" TargetMode="External"/><Relationship Id="rId1463" Type="http://schemas.openxmlformats.org/officeDocument/2006/relationships/hyperlink" Target="https://link.springer.com/journal/13218" TargetMode="External"/><Relationship Id="rId1670" Type="http://schemas.openxmlformats.org/officeDocument/2006/relationships/hyperlink" Target="https://link.springer.com/journal/11055" TargetMode="External"/><Relationship Id="rId1768" Type="http://schemas.openxmlformats.org/officeDocument/2006/relationships/hyperlink" Target="https://link.springer.com/journal/11567" TargetMode="External"/><Relationship Id="rId900" Type="http://schemas.openxmlformats.org/officeDocument/2006/relationships/hyperlink" Target="https://link.springer.com/journal/12288" TargetMode="External"/><Relationship Id="rId1323" Type="http://schemas.openxmlformats.org/officeDocument/2006/relationships/hyperlink" Target="https://link.springer.com/journal/11481" TargetMode="External"/><Relationship Id="rId1530" Type="http://schemas.openxmlformats.org/officeDocument/2006/relationships/hyperlink" Target="https://link.springer.com/journal/186" TargetMode="External"/><Relationship Id="rId1628" Type="http://schemas.openxmlformats.org/officeDocument/2006/relationships/hyperlink" Target="https://link.springer.com/journal/11045" TargetMode="External"/><Relationship Id="rId1975" Type="http://schemas.openxmlformats.org/officeDocument/2006/relationships/hyperlink" Target="https://link.springer.com/journal/11628" TargetMode="External"/><Relationship Id="rId1835" Type="http://schemas.openxmlformats.org/officeDocument/2006/relationships/hyperlink" Target="https://link.springer.com/journal/11336" TargetMode="External"/><Relationship Id="rId1902" Type="http://schemas.openxmlformats.org/officeDocument/2006/relationships/hyperlink" Target="https://link.springer.com/journal/10037" TargetMode="External"/><Relationship Id="rId2097" Type="http://schemas.openxmlformats.org/officeDocument/2006/relationships/hyperlink" Target="https://link.springer.com/journal/11414" TargetMode="External"/><Relationship Id="rId276" Type="http://schemas.openxmlformats.org/officeDocument/2006/relationships/hyperlink" Target="https://link.springer.com/journal/10548" TargetMode="External"/><Relationship Id="rId483" Type="http://schemas.openxmlformats.org/officeDocument/2006/relationships/hyperlink" Target="https://link.springer.com/journal/40725" TargetMode="External"/><Relationship Id="rId690" Type="http://schemas.openxmlformats.org/officeDocument/2006/relationships/hyperlink" Target="https://link.springer.com/journal/217" TargetMode="External"/><Relationship Id="rId2164" Type="http://schemas.openxmlformats.org/officeDocument/2006/relationships/hyperlink" Target="https://link.springer.com/journal/11249" TargetMode="External"/><Relationship Id="rId136" Type="http://schemas.openxmlformats.org/officeDocument/2006/relationships/hyperlink" Target="https://link.springer.com/journal/340" TargetMode="External"/><Relationship Id="rId343" Type="http://schemas.openxmlformats.org/officeDocument/2006/relationships/hyperlink" Target="https://link.springer.com/journal/11696" TargetMode="External"/><Relationship Id="rId550" Type="http://schemas.openxmlformats.org/officeDocument/2006/relationships/hyperlink" Target="https://link.springer.com/journal/11623" TargetMode="External"/><Relationship Id="rId788" Type="http://schemas.openxmlformats.org/officeDocument/2006/relationships/hyperlink" Target="https://link.springer.com/journal/772" TargetMode="External"/><Relationship Id="rId995" Type="http://schemas.openxmlformats.org/officeDocument/2006/relationships/hyperlink" Target="https://link.springer.com/journal/12185" TargetMode="External"/><Relationship Id="rId1180" Type="http://schemas.openxmlformats.org/officeDocument/2006/relationships/hyperlink" Target="https://link.springer.com/journal/145" TargetMode="External"/><Relationship Id="rId2024" Type="http://schemas.openxmlformats.org/officeDocument/2006/relationships/hyperlink" Target="https://link.springer.com/journal/12283" TargetMode="External"/><Relationship Id="rId2231" Type="http://schemas.openxmlformats.org/officeDocument/2006/relationships/hyperlink" Target="https://link.springer.com/journal/41358" TargetMode="External"/><Relationship Id="rId203" Type="http://schemas.openxmlformats.org/officeDocument/2006/relationships/hyperlink" Target="https://link.springer.com/journal/38311" TargetMode="External"/><Relationship Id="rId648" Type="http://schemas.openxmlformats.org/officeDocument/2006/relationships/hyperlink" Target="https://link.springer.com/journal/366" TargetMode="External"/><Relationship Id="rId855" Type="http://schemas.openxmlformats.org/officeDocument/2006/relationships/hyperlink" Target="https://link.springer.com/journal/10029" TargetMode="External"/><Relationship Id="rId1040" Type="http://schemas.openxmlformats.org/officeDocument/2006/relationships/hyperlink" Target="https://link.springer.com/journal/264" TargetMode="External"/><Relationship Id="rId1278" Type="http://schemas.openxmlformats.org/officeDocument/2006/relationships/hyperlink" Target="https://link.springer.com/journal/12122" TargetMode="External"/><Relationship Id="rId1485" Type="http://schemas.openxmlformats.org/officeDocument/2006/relationships/hyperlink" Target="https://link.springer.com/journal/10103" TargetMode="External"/><Relationship Id="rId1692" Type="http://schemas.openxmlformats.org/officeDocument/2006/relationships/hyperlink" Target="https://link.springer.com/journal/10236" TargetMode="External"/><Relationship Id="rId410" Type="http://schemas.openxmlformats.org/officeDocument/2006/relationships/hyperlink" Target="https://link.springer.com/journal/10573" TargetMode="External"/><Relationship Id="rId508" Type="http://schemas.openxmlformats.org/officeDocument/2006/relationships/hyperlink" Target="https://link.springer.com/journal/11916" TargetMode="External"/><Relationship Id="rId715" Type="http://schemas.openxmlformats.org/officeDocument/2006/relationships/hyperlink" Target="https://link.springer.com/journal/10353" TargetMode="External"/><Relationship Id="rId922" Type="http://schemas.openxmlformats.org/officeDocument/2006/relationships/hyperlink" Target="https://link.springer.com/journal/10257" TargetMode="External"/><Relationship Id="rId1138" Type="http://schemas.openxmlformats.org/officeDocument/2006/relationships/hyperlink" Target="https://link.springer.com/journal/12265" TargetMode="External"/><Relationship Id="rId1345" Type="http://schemas.openxmlformats.org/officeDocument/2006/relationships/hyperlink" Target="https://link.springer.com/journal/12639" TargetMode="External"/><Relationship Id="rId1552" Type="http://schemas.openxmlformats.org/officeDocument/2006/relationships/hyperlink" Target="https://link.springer.com/journal/430" TargetMode="External"/><Relationship Id="rId1997" Type="http://schemas.openxmlformats.org/officeDocument/2006/relationships/hyperlink" Target="https://link.springer.com/journal/43545" TargetMode="External"/><Relationship Id="rId1205" Type="http://schemas.openxmlformats.org/officeDocument/2006/relationships/hyperlink" Target="https://link.springer.com/journal/11664" TargetMode="External"/><Relationship Id="rId1857" Type="http://schemas.openxmlformats.org/officeDocument/2006/relationships/hyperlink" Target="https://link.springer.com/journal/11134" TargetMode="External"/><Relationship Id="rId51" Type="http://schemas.openxmlformats.org/officeDocument/2006/relationships/hyperlink" Target="https://link.springer.com/journal/10459" TargetMode="External"/><Relationship Id="rId1412" Type="http://schemas.openxmlformats.org/officeDocument/2006/relationships/hyperlink" Target="https://link.springer.com/journal/10948" TargetMode="External"/><Relationship Id="rId1717" Type="http://schemas.openxmlformats.org/officeDocument/2006/relationships/hyperlink" Target="https://link.springer.com/journal/13127" TargetMode="External"/><Relationship Id="rId1924" Type="http://schemas.openxmlformats.org/officeDocument/2006/relationships/hyperlink" Target="https://link.springer.com/journal/11167" TargetMode="External"/><Relationship Id="rId298" Type="http://schemas.openxmlformats.org/officeDocument/2006/relationships/hyperlink" Target="https://link.springer.com/journal/445" TargetMode="External"/><Relationship Id="rId158" Type="http://schemas.openxmlformats.org/officeDocument/2006/relationships/hyperlink" Target="https://link.springer.com/journal/403" TargetMode="External"/><Relationship Id="rId2186" Type="http://schemas.openxmlformats.org/officeDocument/2006/relationships/hyperlink" Target="https://link.springer.com/journal/10055" TargetMode="External"/><Relationship Id="rId365" Type="http://schemas.openxmlformats.org/officeDocument/2006/relationships/hyperlink" Target="https://link.springer.com/journal/42058" TargetMode="External"/><Relationship Id="rId572" Type="http://schemas.openxmlformats.org/officeDocument/2006/relationships/hyperlink" Target="https://link.springer.com/journal/117" TargetMode="External"/><Relationship Id="rId2046" Type="http://schemas.openxmlformats.org/officeDocument/2006/relationships/hyperlink" Target="https://link.springer.com/journal/11507" TargetMode="External"/><Relationship Id="rId225" Type="http://schemas.openxmlformats.org/officeDocument/2006/relationships/hyperlink" Target="https://link.springer.com/journal/41237" TargetMode="External"/><Relationship Id="rId432" Type="http://schemas.openxmlformats.org/officeDocument/2006/relationships/hyperlink" Target="https://link.springer.com/journal/180" TargetMode="External"/><Relationship Id="rId877" Type="http://schemas.openxmlformats.org/officeDocument/2006/relationships/hyperlink" Target="https://link.springer.com/journal/10747" TargetMode="External"/><Relationship Id="rId1062" Type="http://schemas.openxmlformats.org/officeDocument/2006/relationships/hyperlink" Target="https://link.springer.com/journal/43039" TargetMode="External"/><Relationship Id="rId2113" Type="http://schemas.openxmlformats.org/officeDocument/2006/relationships/hyperlink" Target="https://link.springer.com/journal/13237" TargetMode="External"/><Relationship Id="rId737" Type="http://schemas.openxmlformats.org/officeDocument/2006/relationships/hyperlink" Target="https://link.springer.com/journal/12221" TargetMode="External"/><Relationship Id="rId944" Type="http://schemas.openxmlformats.org/officeDocument/2006/relationships/hyperlink" Target="https://link.springer.com/journal/11294" TargetMode="External"/><Relationship Id="rId1367" Type="http://schemas.openxmlformats.org/officeDocument/2006/relationships/hyperlink" Target="https://link.springer.com/journal/148" TargetMode="External"/><Relationship Id="rId1574" Type="http://schemas.openxmlformats.org/officeDocument/2006/relationships/hyperlink" Target="https://link.springer.com/journal/12540" TargetMode="External"/><Relationship Id="rId1781" Type="http://schemas.openxmlformats.org/officeDocument/2006/relationships/hyperlink" Target="https://link.springer.com/journal/10725" TargetMode="External"/><Relationship Id="rId73" Type="http://schemas.openxmlformats.org/officeDocument/2006/relationships/hyperlink" Target="https://link.springer.com/journal/10461" TargetMode="External"/><Relationship Id="rId804" Type="http://schemas.openxmlformats.org/officeDocument/2006/relationships/hyperlink" Target="https://link.springer.com/journal/11478" TargetMode="External"/><Relationship Id="rId1227" Type="http://schemas.openxmlformats.org/officeDocument/2006/relationships/hyperlink" Target="https://link.springer.com/journal/11694" TargetMode="External"/><Relationship Id="rId1434" Type="http://schemas.openxmlformats.org/officeDocument/2006/relationships/hyperlink" Target="https://link.springer.com/journal/40034" TargetMode="External"/><Relationship Id="rId1641" Type="http://schemas.openxmlformats.org/officeDocument/2006/relationships/hyperlink" Target="https://link.springer.com/journal/40009" TargetMode="External"/><Relationship Id="rId1879" Type="http://schemas.openxmlformats.org/officeDocument/2006/relationships/hyperlink" Target="https://link.springer.com/journal/766" TargetMode="External"/><Relationship Id="rId1501" Type="http://schemas.openxmlformats.org/officeDocument/2006/relationships/hyperlink" Target="https://link.springer.com/journal/12202" TargetMode="External"/><Relationship Id="rId1739" Type="http://schemas.openxmlformats.org/officeDocument/2006/relationships/hyperlink" Target="https://link.springer.com/journal/247" TargetMode="External"/><Relationship Id="rId1946" Type="http://schemas.openxmlformats.org/officeDocument/2006/relationships/hyperlink" Target="https://link.springer.com/journal/11983" TargetMode="External"/><Relationship Id="rId1806" Type="http://schemas.openxmlformats.org/officeDocument/2006/relationships/hyperlink" Target="https://link.springer.com/journal/11106" TargetMode="External"/><Relationship Id="rId387" Type="http://schemas.openxmlformats.org/officeDocument/2006/relationships/hyperlink" Target="https://link.springer.com/journal/12328" TargetMode="External"/><Relationship Id="rId594" Type="http://schemas.openxmlformats.org/officeDocument/2006/relationships/hyperlink" Target="https://link.springer.com/journal/15202" TargetMode="External"/><Relationship Id="rId2068" Type="http://schemas.openxmlformats.org/officeDocument/2006/relationships/hyperlink" Target="https://link.springer.com/journal/11528" TargetMode="External"/><Relationship Id="rId247" Type="http://schemas.openxmlformats.org/officeDocument/2006/relationships/hyperlink" Target="https://link.springer.com/journal/12011" TargetMode="External"/><Relationship Id="rId899" Type="http://schemas.openxmlformats.org/officeDocument/2006/relationships/hyperlink" Target="https://link.springer.com/journal/40944" TargetMode="External"/><Relationship Id="rId1084" Type="http://schemas.openxmlformats.org/officeDocument/2006/relationships/hyperlink" Target="https://link.springer.com/journal/13138" TargetMode="External"/><Relationship Id="rId107" Type="http://schemas.openxmlformats.org/officeDocument/2006/relationships/hyperlink" Target="https://link.springer.com/journal/277" TargetMode="External"/><Relationship Id="rId454" Type="http://schemas.openxmlformats.org/officeDocument/2006/relationships/hyperlink" Target="https://link.springer.com/journal/10611" TargetMode="External"/><Relationship Id="rId661" Type="http://schemas.openxmlformats.org/officeDocument/2006/relationships/hyperlink" Target="https://link.springer.com/journal/10653" TargetMode="External"/><Relationship Id="rId759" Type="http://schemas.openxmlformats.org/officeDocument/2006/relationships/hyperlink" Target="https://link.springer.com/journal/11757" TargetMode="External"/><Relationship Id="rId966" Type="http://schemas.openxmlformats.org/officeDocument/2006/relationships/hyperlink" Target="https://link.springer.com/journal/42380" TargetMode="External"/><Relationship Id="rId1291" Type="http://schemas.openxmlformats.org/officeDocument/2006/relationships/hyperlink" Target="https://link.springer.com/journal/10854" TargetMode="External"/><Relationship Id="rId1389" Type="http://schemas.openxmlformats.org/officeDocument/2006/relationships/hyperlink" Target="https://link.springer.com/journal/13243" TargetMode="External"/><Relationship Id="rId1596" Type="http://schemas.openxmlformats.org/officeDocument/2006/relationships/hyperlink" Target="https://link.springer.com/journal/11027" TargetMode="External"/><Relationship Id="rId2135" Type="http://schemas.openxmlformats.org/officeDocument/2006/relationships/hyperlink" Target="https://link.springer.com/journal/11186" TargetMode="External"/><Relationship Id="rId314" Type="http://schemas.openxmlformats.org/officeDocument/2006/relationships/hyperlink" Target="https://link.springer.com/journal/15027" TargetMode="External"/><Relationship Id="rId521" Type="http://schemas.openxmlformats.org/officeDocument/2006/relationships/hyperlink" Target="https://link.springer.com/journal/11930" TargetMode="External"/><Relationship Id="rId619" Type="http://schemas.openxmlformats.org/officeDocument/2006/relationships/hyperlink" Target="https://link.springer.com/journal/41885" TargetMode="External"/><Relationship Id="rId1151" Type="http://schemas.openxmlformats.org/officeDocument/2006/relationships/hyperlink" Target="https://link.springer.com/journal/10880" TargetMode="External"/><Relationship Id="rId1249" Type="http://schemas.openxmlformats.org/officeDocument/2006/relationships/hyperlink" Target="https://link.springer.com/journal/10902" TargetMode="External"/><Relationship Id="rId2202" Type="http://schemas.openxmlformats.org/officeDocument/2006/relationships/hyperlink" Target="https://link.springer.com/journal/740" TargetMode="External"/><Relationship Id="rId95" Type="http://schemas.openxmlformats.org/officeDocument/2006/relationships/hyperlink" Target="https://link.springer.com/journal/10071" TargetMode="External"/><Relationship Id="rId826" Type="http://schemas.openxmlformats.org/officeDocument/2006/relationships/hyperlink" Target="https://link.springer.com/journal/41066" TargetMode="External"/><Relationship Id="rId1011" Type="http://schemas.openxmlformats.org/officeDocument/2006/relationships/hyperlink" Target="https://link.springer.com/journal/10766" TargetMode="External"/><Relationship Id="rId1109" Type="http://schemas.openxmlformats.org/officeDocument/2006/relationships/hyperlink" Target="https://link.springer.com/journal/40333" TargetMode="External"/><Relationship Id="rId1456" Type="http://schemas.openxmlformats.org/officeDocument/2006/relationships/hyperlink" Target="https://link.springer.com/journal/11582" TargetMode="External"/><Relationship Id="rId1663" Type="http://schemas.openxmlformats.org/officeDocument/2006/relationships/hyperlink" Target="https://link.springer.com/journal/12021" TargetMode="External"/><Relationship Id="rId1870" Type="http://schemas.openxmlformats.org/officeDocument/2006/relationships/hyperlink" Target="https://link.springer.com/journal/11148" TargetMode="External"/><Relationship Id="rId1968" Type="http://schemas.openxmlformats.org/officeDocument/2006/relationships/hyperlink" Target="https://link.springer.com/journal/11990" TargetMode="External"/><Relationship Id="rId1316" Type="http://schemas.openxmlformats.org/officeDocument/2006/relationships/hyperlink" Target="https://link.springer.com/journal/10974" TargetMode="External"/><Relationship Id="rId1523" Type="http://schemas.openxmlformats.org/officeDocument/2006/relationships/hyperlink" Target="https://link.springer.com/journal/40152" TargetMode="External"/><Relationship Id="rId1730" Type="http://schemas.openxmlformats.org/officeDocument/2006/relationships/hyperlink" Target="https://link.springer.com/journal/11492" TargetMode="External"/><Relationship Id="rId22" Type="http://schemas.openxmlformats.org/officeDocument/2006/relationships/hyperlink" Target="https://link.springer.com/journal/10473" TargetMode="External"/><Relationship Id="rId1828" Type="http://schemas.openxmlformats.org/officeDocument/2006/relationships/hyperlink" Target="https://link.springer.com/journal/11125" TargetMode="External"/><Relationship Id="rId171" Type="http://schemas.openxmlformats.org/officeDocument/2006/relationships/hyperlink" Target="https://link.springer.com/journal/40598" TargetMode="External"/><Relationship Id="rId269" Type="http://schemas.openxmlformats.org/officeDocument/2006/relationships/hyperlink" Target="https://link.springer.com/journal/10529" TargetMode="External"/><Relationship Id="rId476" Type="http://schemas.openxmlformats.org/officeDocument/2006/relationships/hyperlink" Target="https://link.springer.com/journal/11888" TargetMode="External"/><Relationship Id="rId683" Type="http://schemas.openxmlformats.org/officeDocument/2006/relationships/hyperlink" Target="https://link.springer.com/journal/405" TargetMode="External"/><Relationship Id="rId890" Type="http://schemas.openxmlformats.org/officeDocument/2006/relationships/hyperlink" Target="https://link.springer.com/journal/12026" TargetMode="External"/><Relationship Id="rId2157" Type="http://schemas.openxmlformats.org/officeDocument/2006/relationships/hyperlink" Target="https://link.springer.com/journal/11116" TargetMode="External"/><Relationship Id="rId129" Type="http://schemas.openxmlformats.org/officeDocument/2006/relationships/hyperlink" Target="https://link.springer.com/journal/723" TargetMode="External"/><Relationship Id="rId336" Type="http://schemas.openxmlformats.org/officeDocument/2006/relationships/hyperlink" Target="https://link.springer.com/journal/10571" TargetMode="External"/><Relationship Id="rId543" Type="http://schemas.openxmlformats.org/officeDocument/2006/relationships/hyperlink" Target="https://link.springer.com/journal/11956" TargetMode="External"/><Relationship Id="rId988" Type="http://schemas.openxmlformats.org/officeDocument/2006/relationships/hyperlink" Target="https://link.springer.com/journal/40889" TargetMode="External"/><Relationship Id="rId1173" Type="http://schemas.openxmlformats.org/officeDocument/2006/relationships/hyperlink" Target="https://link.springer.com/journal/11957" TargetMode="External"/><Relationship Id="rId1380" Type="http://schemas.openxmlformats.org/officeDocument/2006/relationships/hyperlink" Target="https://link.springer.com/journal/40953" TargetMode="External"/><Relationship Id="rId2017" Type="http://schemas.openxmlformats.org/officeDocument/2006/relationships/hyperlink" Target="https://link.springer.com/journal/12592" TargetMode="External"/><Relationship Id="rId2224" Type="http://schemas.openxmlformats.org/officeDocument/2006/relationships/hyperlink" Target="https://link.springer.com/journal/11618" TargetMode="External"/><Relationship Id="rId403" Type="http://schemas.openxmlformats.org/officeDocument/2006/relationships/hyperlink" Target="https://link.springer.com/journal/13415" TargetMode="External"/><Relationship Id="rId750" Type="http://schemas.openxmlformats.org/officeDocument/2006/relationships/hyperlink" Target="https://link.springer.com/journal/11947" TargetMode="External"/><Relationship Id="rId848" Type="http://schemas.openxmlformats.org/officeDocument/2006/relationships/hyperlink" Target="https://link.springer.com/journal/231" TargetMode="External"/><Relationship Id="rId1033" Type="http://schemas.openxmlformats.org/officeDocument/2006/relationships/hyperlink" Target="https://link.springer.com/journal/799" TargetMode="External"/><Relationship Id="rId1478" Type="http://schemas.openxmlformats.org/officeDocument/2006/relationships/hyperlink" Target="https://link.springer.com/journal/10980" TargetMode="External"/><Relationship Id="rId1685" Type="http://schemas.openxmlformats.org/officeDocument/2006/relationships/hyperlink" Target="https://link.springer.com/journal/12258" TargetMode="External"/><Relationship Id="rId1892" Type="http://schemas.openxmlformats.org/officeDocument/2006/relationships/hyperlink" Target="https://link.springer.com/journal/11142" TargetMode="External"/><Relationship Id="rId610" Type="http://schemas.openxmlformats.org/officeDocument/2006/relationships/hyperlink" Target="https://link.springer.com/journal/11038" TargetMode="External"/><Relationship Id="rId708" Type="http://schemas.openxmlformats.org/officeDocument/2006/relationships/hyperlink" Target="https://link.springer.com/journal/10212" TargetMode="External"/><Relationship Id="rId915" Type="http://schemas.openxmlformats.org/officeDocument/2006/relationships/hyperlink" Target="https://link.springer.com/journal/10787" TargetMode="External"/><Relationship Id="rId1240" Type="http://schemas.openxmlformats.org/officeDocument/2006/relationships/hyperlink" Target="https://link.springer.com/journal/12041" TargetMode="External"/><Relationship Id="rId1338" Type="http://schemas.openxmlformats.org/officeDocument/2006/relationships/hyperlink" Target="https://link.springer.com/journal/41469" TargetMode="External"/><Relationship Id="rId1545" Type="http://schemas.openxmlformats.org/officeDocument/2006/relationships/hyperlink" Target="https://link.springer.com/journal/11018" TargetMode="External"/><Relationship Id="rId1100" Type="http://schemas.openxmlformats.org/officeDocument/2006/relationships/hyperlink" Target="https://link.springer.com/journal/10800" TargetMode="External"/><Relationship Id="rId1405" Type="http://schemas.openxmlformats.org/officeDocument/2006/relationships/hyperlink" Target="https://link.springer.com/journal/10971" TargetMode="External"/><Relationship Id="rId1752" Type="http://schemas.openxmlformats.org/officeDocument/2006/relationships/hyperlink" Target="https://link.springer.com/journal/11095" TargetMode="External"/><Relationship Id="rId44" Type="http://schemas.openxmlformats.org/officeDocument/2006/relationships/hyperlink" Target="https://link.springer.com/journal/6" TargetMode="External"/><Relationship Id="rId1612" Type="http://schemas.openxmlformats.org/officeDocument/2006/relationships/hyperlink" Target="https://link.springer.com/journal/706" TargetMode="External"/><Relationship Id="rId1917" Type="http://schemas.openxmlformats.org/officeDocument/2006/relationships/hyperlink" Target="https://link.springer.com/journal/11587" TargetMode="External"/><Relationship Id="rId193" Type="http://schemas.openxmlformats.org/officeDocument/2006/relationships/hyperlink" Target="https://link.springer.com/journal/11443" TargetMode="External"/><Relationship Id="rId498" Type="http://schemas.openxmlformats.org/officeDocument/2006/relationships/hyperlink" Target="https://link.springer.com/journal/40610" TargetMode="External"/><Relationship Id="rId2081" Type="http://schemas.openxmlformats.org/officeDocument/2006/relationships/hyperlink" Target="https://link.springer.com/journal/12311" TargetMode="External"/><Relationship Id="rId2179" Type="http://schemas.openxmlformats.org/officeDocument/2006/relationships/hyperlink" Target="https://link.springer.com/journal/11257" TargetMode="External"/><Relationship Id="rId260" Type="http://schemas.openxmlformats.org/officeDocument/2006/relationships/hyperlink" Target="https://link.springer.com/journal/12104" TargetMode="External"/><Relationship Id="rId120" Type="http://schemas.openxmlformats.org/officeDocument/2006/relationships/hyperlink" Target="https://link.springer.com/journal/10492" TargetMode="External"/><Relationship Id="rId358" Type="http://schemas.openxmlformats.org/officeDocument/2006/relationships/hyperlink" Target="https://link.springer.com/journal/41230" TargetMode="External"/><Relationship Id="rId565" Type="http://schemas.openxmlformats.org/officeDocument/2006/relationships/hyperlink" Target="https://link.springer.com/journal/11560" TargetMode="External"/><Relationship Id="rId772" Type="http://schemas.openxmlformats.org/officeDocument/2006/relationships/hyperlink" Target="https://link.springer.com/journal/42524" TargetMode="External"/><Relationship Id="rId1195" Type="http://schemas.openxmlformats.org/officeDocument/2006/relationships/hyperlink" Target="https://link.springer.com/journal/12574" TargetMode="External"/><Relationship Id="rId2039" Type="http://schemas.openxmlformats.org/officeDocument/2006/relationships/hyperlink" Target="https://link.springer.com/journal/158" TargetMode="External"/><Relationship Id="rId218" Type="http://schemas.openxmlformats.org/officeDocument/2006/relationships/hyperlink" Target="https://link.springer.com/journal/43037" TargetMode="External"/><Relationship Id="rId425" Type="http://schemas.openxmlformats.org/officeDocument/2006/relationships/hyperlink" Target="https://link.springer.com/journal/10287" TargetMode="External"/><Relationship Id="rId632" Type="http://schemas.openxmlformats.org/officeDocument/2006/relationships/hyperlink" Target="https://link.springer.com/journal/41918" TargetMode="External"/><Relationship Id="rId1055" Type="http://schemas.openxmlformats.org/officeDocument/2006/relationships/hyperlink" Target="https://link.springer.com/journal/13726" TargetMode="External"/><Relationship Id="rId1262" Type="http://schemas.openxmlformats.org/officeDocument/2006/relationships/hyperlink" Target="https://link.springer.com/journal/10847" TargetMode="External"/><Relationship Id="rId2106" Type="http://schemas.openxmlformats.org/officeDocument/2006/relationships/hyperlink" Target="https://link.springer.com/journal/42414" TargetMode="External"/><Relationship Id="rId937" Type="http://schemas.openxmlformats.org/officeDocument/2006/relationships/hyperlink" Target="https://link.springer.com/journal/12124" TargetMode="External"/><Relationship Id="rId1122" Type="http://schemas.openxmlformats.org/officeDocument/2006/relationships/hyperlink" Target="https://link.springer.com/journal/10863" TargetMode="External"/><Relationship Id="rId1567" Type="http://schemas.openxmlformats.org/officeDocument/2006/relationships/hyperlink" Target="https://link.springer.com/journal/11306" TargetMode="External"/><Relationship Id="rId1774" Type="http://schemas.openxmlformats.org/officeDocument/2006/relationships/hyperlink" Target="https://link.springer.com/journal/11102" TargetMode="External"/><Relationship Id="rId1981" Type="http://schemas.openxmlformats.org/officeDocument/2006/relationships/hyperlink" Target="https://link.springer.com/journal/13178" TargetMode="External"/><Relationship Id="rId66" Type="http://schemas.openxmlformats.org/officeDocument/2006/relationships/hyperlink" Target="https://link.springer.com/journal/12126" TargetMode="External"/><Relationship Id="rId1427" Type="http://schemas.openxmlformats.org/officeDocument/2006/relationships/hyperlink" Target="https://link.springer.com/journal/41745" TargetMode="External"/><Relationship Id="rId1634" Type="http://schemas.openxmlformats.org/officeDocument/2006/relationships/hyperlink" Target="https://link.springer.com/journal/11557" TargetMode="External"/><Relationship Id="rId1841" Type="http://schemas.openxmlformats.org/officeDocument/2006/relationships/hyperlink" Target="https://link.springer.com/journal/11127" TargetMode="External"/><Relationship Id="rId1939" Type="http://schemas.openxmlformats.org/officeDocument/2006/relationships/hyperlink" Target="https://link.springer.com/journal/11720" TargetMode="External"/><Relationship Id="rId1701" Type="http://schemas.openxmlformats.org/officeDocument/2006/relationships/hyperlink" Target="https://link.springer.com/journal/64" TargetMode="External"/><Relationship Id="rId282" Type="http://schemas.openxmlformats.org/officeDocument/2006/relationships/hyperlink" Target="https://link.springer.com/journal/12282" TargetMode="External"/><Relationship Id="rId587" Type="http://schemas.openxmlformats.org/officeDocument/2006/relationships/hyperlink" Target="https://link.springer.com/journal/40751" TargetMode="External"/><Relationship Id="rId2170" Type="http://schemas.openxmlformats.org/officeDocument/2006/relationships/hyperlink" Target="https://link.springer.com/journal/11253" TargetMode="External"/><Relationship Id="rId8" Type="http://schemas.openxmlformats.org/officeDocument/2006/relationships/hyperlink" Target="https://link.springer.com/journal/769" TargetMode="External"/><Relationship Id="rId142" Type="http://schemas.openxmlformats.org/officeDocument/2006/relationships/hyperlink" Target="https://link.springer.com/journal/10452" TargetMode="External"/><Relationship Id="rId447" Type="http://schemas.openxmlformats.org/officeDocument/2006/relationships/hyperlink" Target="https://link.springer.com/journal/161" TargetMode="External"/><Relationship Id="rId794" Type="http://schemas.openxmlformats.org/officeDocument/2006/relationships/hyperlink" Target="https://link.springer.com/journal/10710" TargetMode="External"/><Relationship Id="rId1077" Type="http://schemas.openxmlformats.org/officeDocument/2006/relationships/hyperlink" Target="https://link.springer.com/journal/11854" TargetMode="External"/><Relationship Id="rId2030" Type="http://schemas.openxmlformats.org/officeDocument/2006/relationships/hyperlink" Target="https://link.springer.com/journal/11222" TargetMode="External"/><Relationship Id="rId2128" Type="http://schemas.openxmlformats.org/officeDocument/2006/relationships/hyperlink" Target="https://link.springer.com/journal/40626" TargetMode="External"/><Relationship Id="rId654" Type="http://schemas.openxmlformats.org/officeDocument/2006/relationships/hyperlink" Target="https://link.springer.com/journal/10651" TargetMode="External"/><Relationship Id="rId861" Type="http://schemas.openxmlformats.org/officeDocument/2006/relationships/hyperlink" Target="https://link.springer.com/journal/10734" TargetMode="External"/><Relationship Id="rId959" Type="http://schemas.openxmlformats.org/officeDocument/2006/relationships/hyperlink" Target="https://link.springer.com/journal/42405" TargetMode="External"/><Relationship Id="rId1284" Type="http://schemas.openxmlformats.org/officeDocument/2006/relationships/hyperlink" Target="https://link.springer.com/journal/187" TargetMode="External"/><Relationship Id="rId1491" Type="http://schemas.openxmlformats.org/officeDocument/2006/relationships/hyperlink" Target="https://link.springer.com/journal/11005" TargetMode="External"/><Relationship Id="rId1589" Type="http://schemas.openxmlformats.org/officeDocument/2006/relationships/hyperlink" Target="https://link.springer.com/journal/11023" TargetMode="External"/><Relationship Id="rId307" Type="http://schemas.openxmlformats.org/officeDocument/2006/relationships/hyperlink" Target="https://link.springer.com/journal/42650" TargetMode="External"/><Relationship Id="rId514" Type="http://schemas.openxmlformats.org/officeDocument/2006/relationships/hyperlink" Target="https://link.springer.com/journal/11920" TargetMode="External"/><Relationship Id="rId721" Type="http://schemas.openxmlformats.org/officeDocument/2006/relationships/hyperlink" Target="https://link.springer.com/journal/12530" TargetMode="External"/><Relationship Id="rId1144" Type="http://schemas.openxmlformats.org/officeDocument/2006/relationships/hyperlink" Target="https://link.springer.com/journal/40653" TargetMode="External"/><Relationship Id="rId1351" Type="http://schemas.openxmlformats.org/officeDocument/2006/relationships/hyperlink" Target="https://link.springer.com/journal/40005" TargetMode="External"/><Relationship Id="rId1449" Type="http://schemas.openxmlformats.org/officeDocument/2006/relationships/hyperlink" Target="https://link.springer.com/journal/42417" TargetMode="External"/><Relationship Id="rId1796" Type="http://schemas.openxmlformats.org/officeDocument/2006/relationships/hyperlink" Target="https://link.springer.com/journal/289" TargetMode="External"/><Relationship Id="rId88" Type="http://schemas.openxmlformats.org/officeDocument/2006/relationships/hyperlink" Target="https://link.springer.com/journal/13162" TargetMode="External"/><Relationship Id="rId819" Type="http://schemas.openxmlformats.org/officeDocument/2006/relationships/hyperlink" Target="https://link.springer.com/journal/43508" TargetMode="External"/><Relationship Id="rId1004" Type="http://schemas.openxmlformats.org/officeDocument/2006/relationships/hyperlink" Target="https://link.springer.com/journal/13042" TargetMode="External"/><Relationship Id="rId1211" Type="http://schemas.openxmlformats.org/officeDocument/2006/relationships/hyperlink" Target="https://link.springer.com/journal/11823" TargetMode="External"/><Relationship Id="rId1656" Type="http://schemas.openxmlformats.org/officeDocument/2006/relationships/hyperlink" Target="https://link.springer.com/journal/521" TargetMode="External"/><Relationship Id="rId1863" Type="http://schemas.openxmlformats.org/officeDocument/2006/relationships/hyperlink" Target="https://link.springer.com/journal/12194" TargetMode="External"/><Relationship Id="rId1309" Type="http://schemas.openxmlformats.org/officeDocument/2006/relationships/hyperlink" Target="https://link.springer.com/journal/10913" TargetMode="External"/><Relationship Id="rId1516" Type="http://schemas.openxmlformats.org/officeDocument/2006/relationships/hyperlink" Target="https://link.springer.com/journal/12647" TargetMode="External"/><Relationship Id="rId1723" Type="http://schemas.openxmlformats.org/officeDocument/2006/relationships/hyperlink" Target="https://link.springer.com/journal/11614" TargetMode="External"/><Relationship Id="rId1930" Type="http://schemas.openxmlformats.org/officeDocument/2006/relationships/hyperlink" Target="https://link.springer.com/journal/11175" TargetMode="External"/><Relationship Id="rId15" Type="http://schemas.openxmlformats.org/officeDocument/2006/relationships/hyperlink" Target="https://link.springer.com/journal/10211" TargetMode="External"/><Relationship Id="rId2192" Type="http://schemas.openxmlformats.org/officeDocument/2006/relationships/hyperlink" Target="https://link.springer.com/journal/41101" TargetMode="External"/><Relationship Id="rId164" Type="http://schemas.openxmlformats.org/officeDocument/2006/relationships/hyperlink" Target="https://link.springer.com/journal/12272" TargetMode="External"/><Relationship Id="rId371" Type="http://schemas.openxmlformats.org/officeDocument/2006/relationships/hyperlink" Target="https://link.springer.com/journal/412" TargetMode="External"/><Relationship Id="rId2052" Type="http://schemas.openxmlformats.org/officeDocument/2006/relationships/hyperlink" Target="https://link.springer.com/journal/464" TargetMode="External"/><Relationship Id="rId469" Type="http://schemas.openxmlformats.org/officeDocument/2006/relationships/hyperlink" Target="https://link.springer.com/journal/11884" TargetMode="External"/><Relationship Id="rId676" Type="http://schemas.openxmlformats.org/officeDocument/2006/relationships/hyperlink" Target="https://link.springer.com/journal/481" TargetMode="External"/><Relationship Id="rId883" Type="http://schemas.openxmlformats.org/officeDocument/2006/relationships/hyperlink" Target="https://link.springer.com/journal/10750" TargetMode="External"/><Relationship Id="rId1099" Type="http://schemas.openxmlformats.org/officeDocument/2006/relationships/hyperlink" Target="https://link.springer.com/journal/11754" TargetMode="External"/><Relationship Id="rId231" Type="http://schemas.openxmlformats.org/officeDocument/2006/relationships/hyperlink" Target="https://link.springer.com/journal/10541" TargetMode="External"/><Relationship Id="rId329" Type="http://schemas.openxmlformats.org/officeDocument/2006/relationships/hyperlink" Target="https://link.springer.com/journal/11821" TargetMode="External"/><Relationship Id="rId536" Type="http://schemas.openxmlformats.org/officeDocument/2006/relationships/hyperlink" Target="https://link.springer.com/journal/40501" TargetMode="External"/><Relationship Id="rId1166" Type="http://schemas.openxmlformats.org/officeDocument/2006/relationships/hyperlink" Target="https://link.springer.com/journal/11390" TargetMode="External"/><Relationship Id="rId1373" Type="http://schemas.openxmlformats.org/officeDocument/2006/relationships/hyperlink" Target="https://link.springer.com/journal/42485" TargetMode="External"/><Relationship Id="rId2217" Type="http://schemas.openxmlformats.org/officeDocument/2006/relationships/hyperlink" Target="https://link.springer.com/journal/41449" TargetMode="External"/><Relationship Id="rId743" Type="http://schemas.openxmlformats.org/officeDocument/2006/relationships/hyperlink" Target="https://link.springer.com/journal/12562" TargetMode="External"/><Relationship Id="rId950" Type="http://schemas.openxmlformats.org/officeDocument/2006/relationships/hyperlink" Target="https://link.springer.com/journal/43439" TargetMode="External"/><Relationship Id="rId1026" Type="http://schemas.openxmlformats.org/officeDocument/2006/relationships/hyperlink" Target="https://link.springer.com/journal/10798" TargetMode="External"/><Relationship Id="rId1580" Type="http://schemas.openxmlformats.org/officeDocument/2006/relationships/hyperlink" Target="https://link.springer.com/journal/248" TargetMode="External"/><Relationship Id="rId1678" Type="http://schemas.openxmlformats.org/officeDocument/2006/relationships/hyperlink" Target="https://link.springer.com/journal/4" TargetMode="External"/><Relationship Id="rId1885" Type="http://schemas.openxmlformats.org/officeDocument/2006/relationships/hyperlink" Target="https://link.springer.com/journal/40687" TargetMode="External"/><Relationship Id="rId603" Type="http://schemas.openxmlformats.org/officeDocument/2006/relationships/hyperlink" Target="https://link.springer.com/journal/13346" TargetMode="External"/><Relationship Id="rId810" Type="http://schemas.openxmlformats.org/officeDocument/2006/relationships/hyperlink" Target="https://link.springer.com/journal/11479" TargetMode="External"/><Relationship Id="rId908" Type="http://schemas.openxmlformats.org/officeDocument/2006/relationships/hyperlink" Target="https://link.springer.com/journal/13193" TargetMode="External"/><Relationship Id="rId1233" Type="http://schemas.openxmlformats.org/officeDocument/2006/relationships/hyperlink" Target="https://link.springer.com/journal/10894" TargetMode="External"/><Relationship Id="rId1440" Type="http://schemas.openxmlformats.org/officeDocument/2006/relationships/hyperlink" Target="https://link.springer.com/journal/40305" TargetMode="External"/><Relationship Id="rId1538" Type="http://schemas.openxmlformats.org/officeDocument/2006/relationships/hyperlink" Target="https://link.springer.com/journal/11579" TargetMode="External"/><Relationship Id="rId1300" Type="http://schemas.openxmlformats.org/officeDocument/2006/relationships/hyperlink" Target="https://link.springer.com/journal/40846" TargetMode="External"/><Relationship Id="rId1745" Type="http://schemas.openxmlformats.org/officeDocument/2006/relationships/hyperlink" Target="https://link.springer.com/journal/40614" TargetMode="External"/><Relationship Id="rId1952" Type="http://schemas.openxmlformats.org/officeDocument/2006/relationships/hyperlink" Target="https://link.springer.com/journal/40863" TargetMode="External"/><Relationship Id="rId37" Type="http://schemas.openxmlformats.org/officeDocument/2006/relationships/hyperlink" Target="https://link.springer.com/journal/35145" TargetMode="External"/><Relationship Id="rId1605" Type="http://schemas.openxmlformats.org/officeDocument/2006/relationships/hyperlink" Target="https://link.springer.com/journal/11032" TargetMode="External"/><Relationship Id="rId1812" Type="http://schemas.openxmlformats.org/officeDocument/2006/relationships/hyperlink" Target="https://link.springer.com/journal/10329" TargetMode="External"/><Relationship Id="rId186" Type="http://schemas.openxmlformats.org/officeDocument/2006/relationships/hyperlink" Target="https://link.springer.com/journal/10690" TargetMode="External"/><Relationship Id="rId393" Type="http://schemas.openxmlformats.org/officeDocument/2006/relationships/hyperlink" Target="https://link.springer.com/journal/10067" TargetMode="External"/><Relationship Id="rId2074" Type="http://schemas.openxmlformats.org/officeDocument/2006/relationships/hyperlink" Target="https://link.springer.com/journal/12108" TargetMode="External"/><Relationship Id="rId253" Type="http://schemas.openxmlformats.org/officeDocument/2006/relationships/hyperlink" Target="https://link.springer.com/journal/10237" TargetMode="External"/><Relationship Id="rId460" Type="http://schemas.openxmlformats.org/officeDocument/2006/relationships/hyperlink" Target="https://link.springer.com/journal/40012" TargetMode="External"/><Relationship Id="rId698" Type="http://schemas.openxmlformats.org/officeDocument/2006/relationships/hyperlink" Target="https://link.springer.com/journal/10654" TargetMode="External"/><Relationship Id="rId1090" Type="http://schemas.openxmlformats.org/officeDocument/2006/relationships/hyperlink" Target="https://link.springer.com/journal/12111" TargetMode="External"/><Relationship Id="rId2141" Type="http://schemas.openxmlformats.org/officeDocument/2006/relationships/hyperlink" Target="https://link.springer.com/journal/13770" TargetMode="External"/><Relationship Id="rId113" Type="http://schemas.openxmlformats.org/officeDocument/2006/relationships/hyperlink" Target="https://link.springer.com/journal/12243" TargetMode="External"/><Relationship Id="rId320" Type="http://schemas.openxmlformats.org/officeDocument/2006/relationships/hyperlink" Target="https://link.springer.com/journal/12604" TargetMode="External"/><Relationship Id="rId558" Type="http://schemas.openxmlformats.org/officeDocument/2006/relationships/hyperlink" Target="https://link.springer.com/journal/11377" TargetMode="External"/><Relationship Id="rId765" Type="http://schemas.openxmlformats.org/officeDocument/2006/relationships/hyperlink" Target="https://link.springer.com/journal/10208" TargetMode="External"/><Relationship Id="rId972" Type="http://schemas.openxmlformats.org/officeDocument/2006/relationships/hyperlink" Target="https://link.springer.com/journal/42413" TargetMode="External"/><Relationship Id="rId1188" Type="http://schemas.openxmlformats.org/officeDocument/2006/relationships/hyperlink" Target="https://link.springer.com/journal/10278" TargetMode="External"/><Relationship Id="rId1395" Type="http://schemas.openxmlformats.org/officeDocument/2006/relationships/hyperlink" Target="https://link.springer.com/journal/10956" TargetMode="External"/><Relationship Id="rId2001" Type="http://schemas.openxmlformats.org/officeDocument/2006/relationships/hyperlink" Target="https://link.springer.com/journal/13278" TargetMode="External"/><Relationship Id="rId418" Type="http://schemas.openxmlformats.org/officeDocument/2006/relationships/hyperlink" Target="https://link.springer.com/journal/11785" TargetMode="External"/><Relationship Id="rId625" Type="http://schemas.openxmlformats.org/officeDocument/2006/relationships/hyperlink" Target="https://link.springer.com/journal/11092" TargetMode="External"/><Relationship Id="rId832" Type="http://schemas.openxmlformats.org/officeDocument/2006/relationships/hyperlink" Target="https://link.springer.com/journal/767" TargetMode="External"/><Relationship Id="rId1048" Type="http://schemas.openxmlformats.org/officeDocument/2006/relationships/hyperlink" Target="https://link.springer.com/journal/10637" TargetMode="External"/><Relationship Id="rId1255" Type="http://schemas.openxmlformats.org/officeDocument/2006/relationships/hyperlink" Target="https://link.springer.com/journal/40062" TargetMode="External"/><Relationship Id="rId1462" Type="http://schemas.openxmlformats.org/officeDocument/2006/relationships/hyperlink" Target="https://link.springer.com/journal/12225" TargetMode="External"/><Relationship Id="rId1115" Type="http://schemas.openxmlformats.org/officeDocument/2006/relationships/hyperlink" Target="https://link.springer.com/journal/10817" TargetMode="External"/><Relationship Id="rId1322" Type="http://schemas.openxmlformats.org/officeDocument/2006/relationships/hyperlink" Target="https://link.springer.com/journal/702" TargetMode="External"/><Relationship Id="rId1767" Type="http://schemas.openxmlformats.org/officeDocument/2006/relationships/hyperlink" Target="https://link.springer.com/journal/11508" TargetMode="External"/><Relationship Id="rId1974" Type="http://schemas.openxmlformats.org/officeDocument/2006/relationships/hyperlink" Target="https://link.springer.com/journal/11220" TargetMode="External"/><Relationship Id="rId59" Type="http://schemas.openxmlformats.org/officeDocument/2006/relationships/hyperlink" Target="https://link.springer.com/journal/41810" TargetMode="External"/><Relationship Id="rId1627" Type="http://schemas.openxmlformats.org/officeDocument/2006/relationships/hyperlink" Target="https://link.springer.com/journal/11044" TargetMode="External"/><Relationship Id="rId1834" Type="http://schemas.openxmlformats.org/officeDocument/2006/relationships/hyperlink" Target="https://link.springer.com/journal/12646" TargetMode="External"/><Relationship Id="rId2096" Type="http://schemas.openxmlformats.org/officeDocument/2006/relationships/hyperlink" Target="https://link.springer.com/journal/41478" TargetMode="External"/><Relationship Id="rId1901" Type="http://schemas.openxmlformats.org/officeDocument/2006/relationships/hyperlink" Target="https://link.springer.com/journal/11156" TargetMode="External"/><Relationship Id="rId275" Type="http://schemas.openxmlformats.org/officeDocument/2006/relationships/hyperlink" Target="https://link.springer.com/journal/429" TargetMode="External"/><Relationship Id="rId482" Type="http://schemas.openxmlformats.org/officeDocument/2006/relationships/hyperlink" Target="https://link.springer.com/journal/40471" TargetMode="External"/><Relationship Id="rId2163" Type="http://schemas.openxmlformats.org/officeDocument/2006/relationships/hyperlink" Target="https://link.springer.com/journal/43076" TargetMode="External"/><Relationship Id="rId135" Type="http://schemas.openxmlformats.org/officeDocument/2006/relationships/hyperlink" Target="https://link.springer.com/journal/339" TargetMode="External"/><Relationship Id="rId342" Type="http://schemas.openxmlformats.org/officeDocument/2006/relationships/hyperlink" Target="https://link.springer.com/journal/10556" TargetMode="External"/><Relationship Id="rId787" Type="http://schemas.openxmlformats.org/officeDocument/2006/relationships/hyperlink" Target="https://link.springer.com/journal/15036" TargetMode="External"/><Relationship Id="rId994" Type="http://schemas.openxmlformats.org/officeDocument/2006/relationships/hyperlink" Target="https://link.springer.com/journal/10754" TargetMode="External"/><Relationship Id="rId2023" Type="http://schemas.openxmlformats.org/officeDocument/2006/relationships/hyperlink" Target="https://link.springer.com/journal/11332" TargetMode="External"/><Relationship Id="rId2230" Type="http://schemas.openxmlformats.org/officeDocument/2006/relationships/hyperlink" Target="https://link.springer.com/journal/41244" TargetMode="External"/><Relationship Id="rId202" Type="http://schemas.openxmlformats.org/officeDocument/2006/relationships/hyperlink" Target="https://link.springer.com/journal/35148" TargetMode="External"/><Relationship Id="rId647" Type="http://schemas.openxmlformats.org/officeDocument/2006/relationships/hyperlink" Target="https://link.springer.com/journal/40974" TargetMode="External"/><Relationship Id="rId854" Type="http://schemas.openxmlformats.org/officeDocument/2006/relationships/hyperlink" Target="https://link.springer.com/journal/11480" TargetMode="External"/><Relationship Id="rId1277" Type="http://schemas.openxmlformats.org/officeDocument/2006/relationships/hyperlink" Target="https://link.springer.com/journal/42243" TargetMode="External"/><Relationship Id="rId1484" Type="http://schemas.openxmlformats.org/officeDocument/2006/relationships/hyperlink" Target="https://link.springer.com/journal/40516" TargetMode="External"/><Relationship Id="rId1691" Type="http://schemas.openxmlformats.org/officeDocument/2006/relationships/hyperlink" Target="https://link.springer.com/journal/41542" TargetMode="External"/><Relationship Id="rId507" Type="http://schemas.openxmlformats.org/officeDocument/2006/relationships/hyperlink" Target="https://link.springer.com/journal/40136" TargetMode="External"/><Relationship Id="rId714" Type="http://schemas.openxmlformats.org/officeDocument/2006/relationships/hyperlink" Target="https://link.springer.com/journal/586" TargetMode="External"/><Relationship Id="rId921" Type="http://schemas.openxmlformats.org/officeDocument/2006/relationships/hyperlink" Target="https://link.springer.com/journal/10791" TargetMode="External"/><Relationship Id="rId1137" Type="http://schemas.openxmlformats.org/officeDocument/2006/relationships/hyperlink" Target="https://link.springer.com/journal/11764" TargetMode="External"/><Relationship Id="rId1344" Type="http://schemas.openxmlformats.org/officeDocument/2006/relationships/hyperlink" Target="https://link.springer.com/journal/41982" TargetMode="External"/><Relationship Id="rId1551" Type="http://schemas.openxmlformats.org/officeDocument/2006/relationships/hyperlink" Target="https://link.springer.com/journal/11517" TargetMode="External"/><Relationship Id="rId1789" Type="http://schemas.openxmlformats.org/officeDocument/2006/relationships/hyperlink" Target="https://link.springer.com/journal/11452" TargetMode="External"/><Relationship Id="rId1996" Type="http://schemas.openxmlformats.org/officeDocument/2006/relationships/hyperlink" Target="https://link.springer.com/journal/42979" TargetMode="External"/><Relationship Id="rId50" Type="http://schemas.openxmlformats.org/officeDocument/2006/relationships/hyperlink" Target="https://link.springer.com/journal/13329" TargetMode="External"/><Relationship Id="rId1204" Type="http://schemas.openxmlformats.org/officeDocument/2006/relationships/hyperlink" Target="https://link.springer.com/journal/10832" TargetMode="External"/><Relationship Id="rId1411" Type="http://schemas.openxmlformats.org/officeDocument/2006/relationships/hyperlink" Target="https://link.springer.com/journal/10947" TargetMode="External"/><Relationship Id="rId1649" Type="http://schemas.openxmlformats.org/officeDocument/2006/relationships/hyperlink" Target="https://link.springer.com/journal/11059" TargetMode="External"/><Relationship Id="rId1856" Type="http://schemas.openxmlformats.org/officeDocument/2006/relationships/hyperlink" Target="https://link.springer.com/journal/40509" TargetMode="External"/><Relationship Id="rId1509" Type="http://schemas.openxmlformats.org/officeDocument/2006/relationships/hyperlink" Target="https://link.springer.com/journal/13364" TargetMode="External"/><Relationship Id="rId1716" Type="http://schemas.openxmlformats.org/officeDocument/2006/relationships/hyperlink" Target="https://link.springer.com/journal/11613" TargetMode="External"/><Relationship Id="rId1923" Type="http://schemas.openxmlformats.org/officeDocument/2006/relationships/hyperlink" Target="https://link.springer.com/journal/11980" TargetMode="External"/><Relationship Id="rId297" Type="http://schemas.openxmlformats.org/officeDocument/2006/relationships/hyperlink" Target="https://link.springer.com/journal/11954" TargetMode="External"/><Relationship Id="rId2185" Type="http://schemas.openxmlformats.org/officeDocument/2006/relationships/hyperlink" Target="https://link.springer.com/journal/428" TargetMode="External"/><Relationship Id="rId157" Type="http://schemas.openxmlformats.org/officeDocument/2006/relationships/hyperlink" Target="https://link.springer.com/journal/11831" TargetMode="External"/><Relationship Id="rId364" Type="http://schemas.openxmlformats.org/officeDocument/2006/relationships/hyperlink" Target="https://link.springer.com/journal/11769" TargetMode="External"/><Relationship Id="rId2045" Type="http://schemas.openxmlformats.org/officeDocument/2006/relationships/hyperlink" Target="https://link.springer.com/journal/11217" TargetMode="External"/><Relationship Id="rId571" Type="http://schemas.openxmlformats.org/officeDocument/2006/relationships/hyperlink" Target="https://link.springer.com/journal/10405" TargetMode="External"/><Relationship Id="rId669" Type="http://schemas.openxmlformats.org/officeDocument/2006/relationships/hyperlink" Target="https://link.springer.com/journal/12027" TargetMode="External"/><Relationship Id="rId876" Type="http://schemas.openxmlformats.org/officeDocument/2006/relationships/hyperlink" Target="https://link.springer.com/journal/12110" TargetMode="External"/><Relationship Id="rId1299" Type="http://schemas.openxmlformats.org/officeDocument/2006/relationships/hyperlink" Target="https://link.springer.com/journal/12206" TargetMode="External"/><Relationship Id="rId224" Type="http://schemas.openxmlformats.org/officeDocument/2006/relationships/hyperlink" Target="https://link.springer.com/journal/265" TargetMode="External"/><Relationship Id="rId431" Type="http://schemas.openxmlformats.org/officeDocument/2006/relationships/hyperlink" Target="https://link.springer.com/journal/40571" TargetMode="External"/><Relationship Id="rId529" Type="http://schemas.openxmlformats.org/officeDocument/2006/relationships/hyperlink" Target="https://link.springer.com/journal/40521" TargetMode="External"/><Relationship Id="rId736" Type="http://schemas.openxmlformats.org/officeDocument/2006/relationships/hyperlink" Target="https://link.springer.com/journal/601" TargetMode="External"/><Relationship Id="rId1061" Type="http://schemas.openxmlformats.org/officeDocument/2006/relationships/hyperlink" Target="https://link.springer.com/journal/40797" TargetMode="External"/><Relationship Id="rId1159" Type="http://schemas.openxmlformats.org/officeDocument/2006/relationships/hyperlink" Target="https://link.springer.com/journal/10900" TargetMode="External"/><Relationship Id="rId1366" Type="http://schemas.openxmlformats.org/officeDocument/2006/relationships/hyperlink" Target="https://link.springer.com/journal/12062" TargetMode="External"/><Relationship Id="rId2112" Type="http://schemas.openxmlformats.org/officeDocument/2006/relationships/hyperlink" Target="https://link.springer.com/journal/283" TargetMode="External"/><Relationship Id="rId943" Type="http://schemas.openxmlformats.org/officeDocument/2006/relationships/hyperlink" Target="https://link.springer.com/journal/11739" TargetMode="External"/><Relationship Id="rId1019" Type="http://schemas.openxmlformats.org/officeDocument/2006/relationships/hyperlink" Target="https://link.springer.com/journal/40753" TargetMode="External"/><Relationship Id="rId1573" Type="http://schemas.openxmlformats.org/officeDocument/2006/relationships/hyperlink" Target="https://link.springer.com/journal/11015" TargetMode="External"/><Relationship Id="rId1780" Type="http://schemas.openxmlformats.org/officeDocument/2006/relationships/hyperlink" Target="https://link.springer.com/journal/11130" TargetMode="External"/><Relationship Id="rId1878" Type="http://schemas.openxmlformats.org/officeDocument/2006/relationships/hyperlink" Target="https://link.springer.com/journal/43032" TargetMode="External"/><Relationship Id="rId72" Type="http://schemas.openxmlformats.org/officeDocument/2006/relationships/hyperlink" Target="https://link.springer.com/journal/43681" TargetMode="External"/><Relationship Id="rId803" Type="http://schemas.openxmlformats.org/officeDocument/2006/relationships/hyperlink" Target="https://link.springer.com/journal/11477" TargetMode="External"/><Relationship Id="rId1226" Type="http://schemas.openxmlformats.org/officeDocument/2006/relationships/hyperlink" Target="https://link.springer.com/journal/10895" TargetMode="External"/><Relationship Id="rId1433" Type="http://schemas.openxmlformats.org/officeDocument/2006/relationships/hyperlink" Target="https://link.springer.com/journal/40033" TargetMode="External"/><Relationship Id="rId1640" Type="http://schemas.openxmlformats.org/officeDocument/2006/relationships/hyperlink" Target="https://link.springer.com/journal/41204" TargetMode="External"/><Relationship Id="rId1738" Type="http://schemas.openxmlformats.org/officeDocument/2006/relationships/hyperlink" Target="https://link.springer.com/journal/467" TargetMode="External"/><Relationship Id="rId1500" Type="http://schemas.openxmlformats.org/officeDocument/2006/relationships/hyperlink" Target="https://link.springer.com/journal/10991" TargetMode="External"/><Relationship Id="rId1945" Type="http://schemas.openxmlformats.org/officeDocument/2006/relationships/hyperlink" Target="https://link.springer.com/journal/11505" TargetMode="External"/><Relationship Id="rId1805" Type="http://schemas.openxmlformats.org/officeDocument/2006/relationships/hyperlink" Target="https://link.springer.com/journal/11118" TargetMode="External"/><Relationship Id="rId179" Type="http://schemas.openxmlformats.org/officeDocument/2006/relationships/hyperlink" Target="https://link.springer.com/journal/10490" TargetMode="External"/><Relationship Id="rId386" Type="http://schemas.openxmlformats.org/officeDocument/2006/relationships/hyperlink" Target="https://link.springer.com/journal/41894" TargetMode="External"/><Relationship Id="rId593" Type="http://schemas.openxmlformats.org/officeDocument/2006/relationships/hyperlink" Target="https://link.springer.com/journal/446" TargetMode="External"/><Relationship Id="rId2067" Type="http://schemas.openxmlformats.org/officeDocument/2006/relationships/hyperlink" Target="https://link.springer.com/journal/10758" TargetMode="External"/><Relationship Id="rId246" Type="http://schemas.openxmlformats.org/officeDocument/2006/relationships/hyperlink" Target="https://link.springer.com/journal/13752" TargetMode="External"/><Relationship Id="rId453" Type="http://schemas.openxmlformats.org/officeDocument/2006/relationships/hyperlink" Target="https://link.springer.com/journal/10604" TargetMode="External"/><Relationship Id="rId660" Type="http://schemas.openxmlformats.org/officeDocument/2006/relationships/hyperlink" Target="https://link.springer.com/journal/10652" TargetMode="External"/><Relationship Id="rId898" Type="http://schemas.openxmlformats.org/officeDocument/2006/relationships/hyperlink" Target="https://link.springer.com/journal/12664" TargetMode="External"/><Relationship Id="rId1083" Type="http://schemas.openxmlformats.org/officeDocument/2006/relationships/hyperlink" Target="https://link.springer.com/journal/41969" TargetMode="External"/><Relationship Id="rId1290" Type="http://schemas.openxmlformats.org/officeDocument/2006/relationships/hyperlink" Target="https://link.springer.com/journal/10853" TargetMode="External"/><Relationship Id="rId2134" Type="http://schemas.openxmlformats.org/officeDocument/2006/relationships/hyperlink" Target="https://link.springer.com/journal/11238" TargetMode="External"/><Relationship Id="rId106" Type="http://schemas.openxmlformats.org/officeDocument/2006/relationships/hyperlink" Target="https://link.springer.com/journal/10455" TargetMode="External"/><Relationship Id="rId313" Type="http://schemas.openxmlformats.org/officeDocument/2006/relationships/hyperlink" Target="https://link.springer.com/journal/13146" TargetMode="External"/><Relationship Id="rId758" Type="http://schemas.openxmlformats.org/officeDocument/2006/relationships/hyperlink" Target="https://link.springer.com/journal/11419" TargetMode="External"/><Relationship Id="rId965" Type="http://schemas.openxmlformats.org/officeDocument/2006/relationships/hyperlink" Target="https://link.springer.com/journal/484" TargetMode="External"/><Relationship Id="rId1150" Type="http://schemas.openxmlformats.org/officeDocument/2006/relationships/hyperlink" Target="https://link.springer.com/journal/10877" TargetMode="External"/><Relationship Id="rId1388" Type="http://schemas.openxmlformats.org/officeDocument/2006/relationships/hyperlink" Target="https://link.springer.com/journal/40839" TargetMode="External"/><Relationship Id="rId1595" Type="http://schemas.openxmlformats.org/officeDocument/2006/relationships/hyperlink" Target="https://link.springer.com/journal/42461" TargetMode="External"/><Relationship Id="rId94" Type="http://schemas.openxmlformats.org/officeDocument/2006/relationships/hyperlink" Target="https://link.springer.com/journal/10456" TargetMode="External"/><Relationship Id="rId520" Type="http://schemas.openxmlformats.org/officeDocument/2006/relationships/hyperlink" Target="https://link.springer.com/journal/43154" TargetMode="External"/><Relationship Id="rId618" Type="http://schemas.openxmlformats.org/officeDocument/2006/relationships/hyperlink" Target="https://link.springer.com/journal/40505" TargetMode="External"/><Relationship Id="rId825" Type="http://schemas.openxmlformats.org/officeDocument/2006/relationships/hyperlink" Target="https://link.springer.com/journal/417" TargetMode="External"/><Relationship Id="rId1248" Type="http://schemas.openxmlformats.org/officeDocument/2006/relationships/hyperlink" Target="https://link.springer.com/journal/10723" TargetMode="External"/><Relationship Id="rId1455" Type="http://schemas.openxmlformats.org/officeDocument/2006/relationships/hyperlink" Target="https://link.springer.com/journal/10964" TargetMode="External"/><Relationship Id="rId1662" Type="http://schemas.openxmlformats.org/officeDocument/2006/relationships/hyperlink" Target="https://link.springer.com/journal/10048" TargetMode="External"/><Relationship Id="rId2201" Type="http://schemas.openxmlformats.org/officeDocument/2006/relationships/hyperlink" Target="https://link.springer.com/journal/508" TargetMode="External"/><Relationship Id="rId1010" Type="http://schemas.openxmlformats.org/officeDocument/2006/relationships/hyperlink" Target="https://link.springer.com/journal/13735" TargetMode="External"/><Relationship Id="rId1108" Type="http://schemas.openxmlformats.org/officeDocument/2006/relationships/hyperlink" Target="https://link.springer.com/journal/10814" TargetMode="External"/><Relationship Id="rId1315" Type="http://schemas.openxmlformats.org/officeDocument/2006/relationships/hyperlink" Target="https://link.springer.com/journal/11629" TargetMode="External"/><Relationship Id="rId1967" Type="http://schemas.openxmlformats.org/officeDocument/2006/relationships/hyperlink" Target="https://link.springer.com/journal/11192" TargetMode="External"/><Relationship Id="rId1522" Type="http://schemas.openxmlformats.org/officeDocument/2006/relationships/hyperlink" Target="https://link.springer.com/journal/40868" TargetMode="External"/><Relationship Id="rId21" Type="http://schemas.openxmlformats.org/officeDocument/2006/relationships/hyperlink" Target="https://link.springer.com/journal/10474" TargetMode="External"/><Relationship Id="rId2089" Type="http://schemas.openxmlformats.org/officeDocument/2006/relationships/hyperlink" Target="https://link.springer.com/journal/11734" TargetMode="External"/><Relationship Id="rId268" Type="http://schemas.openxmlformats.org/officeDocument/2006/relationships/hyperlink" Target="https://link.springer.com/journal/12257" TargetMode="External"/><Relationship Id="rId475" Type="http://schemas.openxmlformats.org/officeDocument/2006/relationships/hyperlink" Target="https://link.springer.com/journal/40588" TargetMode="External"/><Relationship Id="rId682" Type="http://schemas.openxmlformats.org/officeDocument/2006/relationships/hyperlink" Target="https://link.springer.com/journal/13385" TargetMode="External"/><Relationship Id="rId2156" Type="http://schemas.openxmlformats.org/officeDocument/2006/relationships/hyperlink" Target="https://link.springer.com/journal/11242" TargetMode="External"/><Relationship Id="rId128" Type="http://schemas.openxmlformats.org/officeDocument/2006/relationships/hyperlink" Target="https://link.springer.com/journal/10489" TargetMode="External"/><Relationship Id="rId335" Type="http://schemas.openxmlformats.org/officeDocument/2006/relationships/hyperlink" Target="https://link.springer.com/journal/18" TargetMode="External"/><Relationship Id="rId542" Type="http://schemas.openxmlformats.org/officeDocument/2006/relationships/hyperlink" Target="https://link.springer.com/journal/10559" TargetMode="External"/><Relationship Id="rId1172" Type="http://schemas.openxmlformats.org/officeDocument/2006/relationships/hyperlink" Target="https://link.springer.com/journal/3" TargetMode="External"/><Relationship Id="rId2016" Type="http://schemas.openxmlformats.org/officeDocument/2006/relationships/hyperlink" Target="https://link.springer.com/journal/12054" TargetMode="External"/><Relationship Id="rId2223" Type="http://schemas.openxmlformats.org/officeDocument/2006/relationships/hyperlink" Target="https://link.springer.com/journal/10309" TargetMode="External"/><Relationship Id="rId402" Type="http://schemas.openxmlformats.org/officeDocument/2006/relationships/hyperlink" Target="https://link.springer.com/journal/10608" TargetMode="External"/><Relationship Id="rId1032" Type="http://schemas.openxmlformats.org/officeDocument/2006/relationships/hyperlink" Target="https://link.springer.com/journal/10776" TargetMode="External"/><Relationship Id="rId1989" Type="http://schemas.openxmlformats.org/officeDocument/2006/relationships/hyperlink" Target="https://link.springer.com/journal/41105" TargetMode="External"/><Relationship Id="rId1849" Type="http://schemas.openxmlformats.org/officeDocument/2006/relationships/hyperlink" Target="https://link.springer.com/journal/12346" TargetMode="External"/><Relationship Id="rId192" Type="http://schemas.openxmlformats.org/officeDocument/2006/relationships/hyperlink" Target="https://link.springer.com/journal/42064" TargetMode="External"/><Relationship Id="rId1709" Type="http://schemas.openxmlformats.org/officeDocument/2006/relationships/hyperlink" Target="https://link.springer.com/journal/11801" TargetMode="External"/><Relationship Id="rId1916" Type="http://schemas.openxmlformats.org/officeDocument/2006/relationships/hyperlink" Target="https://link.springer.com/journal/296" TargetMode="External"/><Relationship Id="rId2080" Type="http://schemas.openxmlformats.org/officeDocument/2006/relationships/hyperlink" Target="https://link.springer.com/journal/12229" TargetMode="External"/><Relationship Id="rId869" Type="http://schemas.openxmlformats.org/officeDocument/2006/relationships/hyperlink" Target="https://link.springer.com/journal/42000" TargetMode="External"/><Relationship Id="rId1499" Type="http://schemas.openxmlformats.org/officeDocument/2006/relationships/hyperlink" Target="https://link.springer.com/journal/10986" TargetMode="External"/><Relationship Id="rId729" Type="http://schemas.openxmlformats.org/officeDocument/2006/relationships/hyperlink" Target="https://link.springer.com/journal/348" TargetMode="External"/><Relationship Id="rId1359" Type="http://schemas.openxmlformats.org/officeDocument/2006/relationships/hyperlink" Target="https://link.springer.com/journal/344" TargetMode="External"/><Relationship Id="rId936" Type="http://schemas.openxmlformats.org/officeDocument/2006/relationships/hyperlink" Target="https://link.springer.com/journal/40192" TargetMode="External"/><Relationship Id="rId1219" Type="http://schemas.openxmlformats.org/officeDocument/2006/relationships/hyperlink" Target="https://link.springer.com/journal/11292" TargetMode="External"/><Relationship Id="rId1566" Type="http://schemas.openxmlformats.org/officeDocument/2006/relationships/hyperlink" Target="https://link.springer.com/journal/11011" TargetMode="External"/><Relationship Id="rId1773" Type="http://schemas.openxmlformats.org/officeDocument/2006/relationships/hyperlink" Target="https://link.springer.com/journal/12600" TargetMode="External"/><Relationship Id="rId1980" Type="http://schemas.openxmlformats.org/officeDocument/2006/relationships/hyperlink" Target="https://link.springer.com/journal/11195" TargetMode="External"/><Relationship Id="rId65" Type="http://schemas.openxmlformats.org/officeDocument/2006/relationships/hyperlink" Target="https://link.springer.com/journal/13370" TargetMode="External"/><Relationship Id="rId1426" Type="http://schemas.openxmlformats.org/officeDocument/2006/relationships/hyperlink" Target="https://link.springer.com/journal/13196" TargetMode="External"/><Relationship Id="rId1633" Type="http://schemas.openxmlformats.org/officeDocument/2006/relationships/hyperlink" Target="https://link.springer.com/journal/12306" TargetMode="External"/><Relationship Id="rId1840" Type="http://schemas.openxmlformats.org/officeDocument/2006/relationships/hyperlink" Target="https://link.springer.com/journal/729" TargetMode="External"/><Relationship Id="rId1700" Type="http://schemas.openxmlformats.org/officeDocument/2006/relationships/hyperlink" Target="https://link.springer.com/journal/43069" TargetMode="External"/><Relationship Id="rId379" Type="http://schemas.openxmlformats.org/officeDocument/2006/relationships/hyperlink" Target="https://link.springer.com/journal/10585" TargetMode="External"/><Relationship Id="rId586" Type="http://schemas.openxmlformats.org/officeDocument/2006/relationships/hyperlink" Target="https://link.springer.com/journal/10620" TargetMode="External"/><Relationship Id="rId793" Type="http://schemas.openxmlformats.org/officeDocument/2006/relationships/hyperlink" Target="https://link.springer.com/journal/13258" TargetMode="External"/><Relationship Id="rId239" Type="http://schemas.openxmlformats.org/officeDocument/2006/relationships/hyperlink" Target="https://link.springer.com/journal/12155" TargetMode="External"/><Relationship Id="rId446" Type="http://schemas.openxmlformats.org/officeDocument/2006/relationships/hyperlink" Target="https://link.springer.com/journal/11007" TargetMode="External"/><Relationship Id="rId653" Type="http://schemas.openxmlformats.org/officeDocument/2006/relationships/hyperlink" Target="https://link.springer.com/journal/10668" TargetMode="External"/><Relationship Id="rId1076" Type="http://schemas.openxmlformats.org/officeDocument/2006/relationships/hyperlink" Target="https://link.springer.com/journal/35144" TargetMode="External"/><Relationship Id="rId1283" Type="http://schemas.openxmlformats.org/officeDocument/2006/relationships/hyperlink" Target="https://link.springer.com/journal/10997" TargetMode="External"/><Relationship Id="rId1490" Type="http://schemas.openxmlformats.org/officeDocument/2006/relationships/hyperlink" Target="https://link.springer.com/journal/40619" TargetMode="External"/><Relationship Id="rId2127" Type="http://schemas.openxmlformats.org/officeDocument/2006/relationships/hyperlink" Target="https://link.springer.com/journal/11237" TargetMode="External"/><Relationship Id="rId306" Type="http://schemas.openxmlformats.org/officeDocument/2006/relationships/hyperlink" Target="https://link.springer.com/journal/42330" TargetMode="External"/><Relationship Id="rId860" Type="http://schemas.openxmlformats.org/officeDocument/2006/relationships/hyperlink" Target="https://link.springer.com/journal/10740" TargetMode="External"/><Relationship Id="rId1143" Type="http://schemas.openxmlformats.org/officeDocument/2006/relationships/hyperlink" Target="https://link.springer.com/journal/12039" TargetMode="External"/><Relationship Id="rId513" Type="http://schemas.openxmlformats.org/officeDocument/2006/relationships/hyperlink" Target="https://link.springer.com/journal/40726" TargetMode="External"/><Relationship Id="rId720" Type="http://schemas.openxmlformats.org/officeDocument/2006/relationships/hyperlink" Target="https://link.springer.com/journal/40806" TargetMode="External"/><Relationship Id="rId1350" Type="http://schemas.openxmlformats.org/officeDocument/2006/relationships/hyperlink" Target="https://link.springer.com/journal/12247" TargetMode="External"/><Relationship Id="rId1003" Type="http://schemas.openxmlformats.org/officeDocument/2006/relationships/hyperlink" Target="https://link.springer.com/journal/414" TargetMode="External"/><Relationship Id="rId1210" Type="http://schemas.openxmlformats.org/officeDocument/2006/relationships/hyperlink" Target="https://link.springer.com/journal/10891" TargetMode="External"/><Relationship Id="rId2191" Type="http://schemas.openxmlformats.org/officeDocument/2006/relationships/hyperlink" Target="https://link.springer.com/journal/42768" TargetMode="External"/><Relationship Id="rId163" Type="http://schemas.openxmlformats.org/officeDocument/2006/relationships/hyperlink" Target="https://link.springer.com/journal/11657" TargetMode="External"/><Relationship Id="rId370" Type="http://schemas.openxmlformats.org/officeDocument/2006/relationships/hyperlink" Target="https://link.springer.com/journal/10337" TargetMode="External"/><Relationship Id="rId2051" Type="http://schemas.openxmlformats.org/officeDocument/2006/relationships/hyperlink" Target="https://link.springer.com/journal/276" TargetMode="External"/><Relationship Id="rId230" Type="http://schemas.openxmlformats.org/officeDocument/2006/relationships/hyperlink" Target="https://link.springer.com/journal/10528" TargetMode="External"/><Relationship Id="rId1677" Type="http://schemas.openxmlformats.org/officeDocument/2006/relationships/hyperlink" Target="https://link.springer.com/journal/40841" TargetMode="External"/><Relationship Id="rId1884" Type="http://schemas.openxmlformats.org/officeDocument/2006/relationships/hyperlink" Target="https://link.springer.com/journal/11165" TargetMode="External"/><Relationship Id="rId907" Type="http://schemas.openxmlformats.org/officeDocument/2006/relationships/hyperlink" Target="https://link.springer.com/journal/12262" TargetMode="External"/><Relationship Id="rId1537" Type="http://schemas.openxmlformats.org/officeDocument/2006/relationships/hyperlink" Target="https://link.springer.com/journal/40096" TargetMode="External"/><Relationship Id="rId1744" Type="http://schemas.openxmlformats.org/officeDocument/2006/relationships/hyperlink" Target="https://link.springer.com/journal/779" TargetMode="External"/><Relationship Id="rId1951" Type="http://schemas.openxmlformats.org/officeDocument/2006/relationships/hyperlink" Target="https://link.springer.com/journal/13572" TargetMode="External"/><Relationship Id="rId36" Type="http://schemas.openxmlformats.org/officeDocument/2006/relationships/hyperlink" Target="https://link.springer.com/journal/40750" TargetMode="External"/><Relationship Id="rId1604" Type="http://schemas.openxmlformats.org/officeDocument/2006/relationships/hyperlink" Target="https://link.springer.com/journal/12033" TargetMode="External"/><Relationship Id="rId1811" Type="http://schemas.openxmlformats.org/officeDocument/2006/relationships/hyperlink" Target="https://link.springer.com/journal/11121" TargetMode="External"/><Relationship Id="rId697" Type="http://schemas.openxmlformats.org/officeDocument/2006/relationships/hyperlink" Target="https://link.springer.com/journal/40699" TargetMode="External"/><Relationship Id="rId1187" Type="http://schemas.openxmlformats.org/officeDocument/2006/relationships/hyperlink" Target="https://link.springer.com/journal/40200" TargetMode="External"/><Relationship Id="rId557" Type="http://schemas.openxmlformats.org/officeDocument/2006/relationships/hyperlink" Target="https://link.springer.com/journal/12614" TargetMode="External"/><Relationship Id="rId764" Type="http://schemas.openxmlformats.org/officeDocument/2006/relationships/hyperlink" Target="https://link.springer.com/journal/10698" TargetMode="External"/><Relationship Id="rId971" Type="http://schemas.openxmlformats.org/officeDocument/2006/relationships/hyperlink" Target="https://link.springer.com/journal/384" TargetMode="External"/><Relationship Id="rId1394" Type="http://schemas.openxmlformats.org/officeDocument/2006/relationships/hyperlink" Target="https://link.springer.com/journal/10951" TargetMode="External"/><Relationship Id="rId417" Type="http://schemas.openxmlformats.org/officeDocument/2006/relationships/hyperlink" Target="https://link.springer.com/journal/40627" TargetMode="External"/><Relationship Id="rId624" Type="http://schemas.openxmlformats.org/officeDocument/2006/relationships/hyperlink" Target="https://link.springer.com/journal/43494" TargetMode="External"/><Relationship Id="rId831" Type="http://schemas.openxmlformats.org/officeDocument/2006/relationships/hyperlink" Target="https://link.springer.com/journal/10726" TargetMode="External"/><Relationship Id="rId1047" Type="http://schemas.openxmlformats.org/officeDocument/2006/relationships/hyperlink" Target="https://link.springer.com/journal/222" TargetMode="External"/><Relationship Id="rId1254" Type="http://schemas.openxmlformats.org/officeDocument/2006/relationships/hyperlink" Target="https://link.springer.com/journal/10732" TargetMode="External"/><Relationship Id="rId1461" Type="http://schemas.openxmlformats.org/officeDocument/2006/relationships/hyperlink" Target="https://link.springer.com/journal/42410" TargetMode="External"/><Relationship Id="rId1114" Type="http://schemas.openxmlformats.org/officeDocument/2006/relationships/hyperlink" Target="https://link.springer.com/journal/10803" TargetMode="External"/><Relationship Id="rId1321" Type="http://schemas.openxmlformats.org/officeDocument/2006/relationships/hyperlink" Target="https://link.springer.com/journal/10922" TargetMode="External"/><Relationship Id="rId2095" Type="http://schemas.openxmlformats.org/officeDocument/2006/relationships/hyperlink" Target="https://link.springer.com/journal/42973" TargetMode="External"/><Relationship Id="rId274" Type="http://schemas.openxmlformats.org/officeDocument/2006/relationships/hyperlink" Target="https://link.springer.com/journal/11682" TargetMode="External"/><Relationship Id="rId481" Type="http://schemas.openxmlformats.org/officeDocument/2006/relationships/hyperlink" Target="https://link.springer.com/journal/40572" TargetMode="External"/><Relationship Id="rId2162" Type="http://schemas.openxmlformats.org/officeDocument/2006/relationships/hyperlink" Target="https://link.springer.com/journal/12117" TargetMode="External"/><Relationship Id="rId134" Type="http://schemas.openxmlformats.org/officeDocument/2006/relationships/hyperlink" Target="https://link.springer.com/journal/13204" TargetMode="External"/><Relationship Id="rId341" Type="http://schemas.openxmlformats.org/officeDocument/2006/relationships/hyperlink" Target="https://link.springer.com/journal/42976" TargetMode="External"/><Relationship Id="rId2022" Type="http://schemas.openxmlformats.org/officeDocument/2006/relationships/hyperlink" Target="https://link.springer.com/journal/43390" TargetMode="External"/><Relationship Id="rId201" Type="http://schemas.openxmlformats.org/officeDocument/2006/relationships/hyperlink" Target="https://link.springer.com/journal/13414" TargetMode="External"/><Relationship Id="rId1788" Type="http://schemas.openxmlformats.org/officeDocument/2006/relationships/hyperlink" Target="https://link.springer.com/journal/11090" TargetMode="External"/><Relationship Id="rId1995" Type="http://schemas.openxmlformats.org/officeDocument/2006/relationships/hyperlink" Target="https://link.springer.com/journal/42399" TargetMode="External"/><Relationship Id="rId1648" Type="http://schemas.openxmlformats.org/officeDocument/2006/relationships/hyperlink" Target="https://link.springer.com/journal/210" TargetMode="External"/><Relationship Id="rId1508" Type="http://schemas.openxmlformats.org/officeDocument/2006/relationships/hyperlink" Target="https://link.springer.com/journal/10334" TargetMode="External"/><Relationship Id="rId1855" Type="http://schemas.openxmlformats.org/officeDocument/2006/relationships/hyperlink" Target="https://link.springer.com/journal/42484" TargetMode="External"/><Relationship Id="rId1715" Type="http://schemas.openxmlformats.org/officeDocument/2006/relationships/hyperlink" Target="https://link.springer.com/journal/13165" TargetMode="External"/><Relationship Id="rId1922" Type="http://schemas.openxmlformats.org/officeDocument/2006/relationships/hyperlink" Target="https://link.springer.com/journal/11979" TargetMode="External"/><Relationship Id="rId668" Type="http://schemas.openxmlformats.org/officeDocument/2006/relationships/hyperlink" Target="https://link.springer.com/journal/13167" TargetMode="External"/><Relationship Id="rId875" Type="http://schemas.openxmlformats.org/officeDocument/2006/relationships/hyperlink" Target="https://link.springer.com/journal/439" TargetMode="External"/><Relationship Id="rId1298" Type="http://schemas.openxmlformats.org/officeDocument/2006/relationships/hyperlink" Target="https://link.springer.com/journal/12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O2249"/>
  <sheetViews>
    <sheetView showGridLines="0" tabSelected="1" workbookViewId="0">
      <pane xSplit="1" ySplit="12" topLeftCell="B13" activePane="bottomRight" state="frozen"/>
      <selection pane="topRight" activeCell="B1" sqref="B1"/>
      <selection pane="bottomLeft" activeCell="A13" sqref="A13"/>
      <selection pane="bottomRight" activeCell="B13" sqref="B13"/>
    </sheetView>
  </sheetViews>
  <sheetFormatPr defaultColWidth="14.42578125" defaultRowHeight="15" customHeight="1" x14ac:dyDescent="0.25"/>
  <cols>
    <col min="1" max="1" width="2.42578125" customWidth="1"/>
    <col min="2" max="2" width="8.140625" customWidth="1"/>
    <col min="3" max="3" width="8.85546875" customWidth="1"/>
    <col min="4" max="4" width="13" customWidth="1"/>
    <col min="5" max="5" width="59.7109375" customWidth="1"/>
    <col min="6" max="6" width="12" customWidth="1"/>
    <col min="7" max="7" width="12.140625" customWidth="1"/>
    <col min="8" max="8" width="39" customWidth="1"/>
    <col min="9" max="9" width="25.85546875" customWidth="1"/>
    <col min="10" max="10" width="14.42578125" customWidth="1"/>
    <col min="11" max="11" width="38.140625" customWidth="1"/>
    <col min="12" max="12" width="12" customWidth="1"/>
    <col min="13" max="13" width="20" customWidth="1"/>
    <col min="14" max="14" width="19.140625" customWidth="1"/>
    <col min="15" max="15" width="34.28515625" customWidth="1"/>
  </cols>
  <sheetData>
    <row r="1" spans="1:15" ht="10.5" customHeight="1" x14ac:dyDescent="0.25">
      <c r="A1" s="1"/>
      <c r="B1" s="1"/>
      <c r="C1" s="1"/>
      <c r="D1" s="1"/>
      <c r="E1" s="1"/>
      <c r="F1" s="2"/>
      <c r="G1" s="2"/>
      <c r="H1" s="1"/>
      <c r="I1" s="1"/>
      <c r="J1" s="2"/>
      <c r="K1" s="1"/>
      <c r="L1" s="2"/>
      <c r="M1" s="2"/>
      <c r="N1" s="2"/>
      <c r="O1" s="1"/>
    </row>
    <row r="2" spans="1:15" ht="16.5" customHeight="1" x14ac:dyDescent="0.25">
      <c r="A2" s="1"/>
      <c r="B2" s="3" t="s">
        <v>0</v>
      </c>
      <c r="C2" s="4"/>
      <c r="D2" s="4"/>
      <c r="E2" s="4"/>
      <c r="F2" s="5"/>
      <c r="G2" s="5"/>
      <c r="H2" s="4"/>
      <c r="I2" s="4"/>
      <c r="J2" s="5"/>
      <c r="K2" s="4"/>
      <c r="L2" s="5"/>
      <c r="M2" s="5"/>
      <c r="N2" s="5"/>
      <c r="O2" s="4"/>
    </row>
    <row r="3" spans="1:15" ht="12.75" customHeight="1" x14ac:dyDescent="0.25">
      <c r="A3" s="1"/>
      <c r="B3" s="6" t="s">
        <v>1</v>
      </c>
      <c r="C3" s="6"/>
      <c r="D3" s="6"/>
      <c r="E3" s="6"/>
      <c r="F3" s="7"/>
      <c r="G3" s="7"/>
      <c r="H3" s="6"/>
      <c r="I3" s="6"/>
      <c r="J3" s="7"/>
      <c r="K3" s="6"/>
      <c r="L3" s="7"/>
      <c r="M3" s="7"/>
      <c r="N3" s="7"/>
      <c r="O3" s="6"/>
    </row>
    <row r="4" spans="1:15" ht="14.25" customHeight="1" x14ac:dyDescent="0.25">
      <c r="A4" s="1"/>
      <c r="B4" s="8" t="s">
        <v>2</v>
      </c>
      <c r="C4" s="6"/>
      <c r="D4" s="6"/>
      <c r="E4" s="6"/>
      <c r="F4" s="7"/>
      <c r="G4" s="7"/>
      <c r="H4" s="6"/>
      <c r="I4" s="6"/>
      <c r="J4" s="7"/>
      <c r="K4" s="6"/>
      <c r="L4" s="7"/>
      <c r="M4" s="7"/>
      <c r="N4" s="7"/>
      <c r="O4" s="6"/>
    </row>
    <row r="5" spans="1:15" ht="9" customHeight="1" x14ac:dyDescent="0.25">
      <c r="A5" s="1"/>
      <c r="B5" s="8"/>
      <c r="C5" s="6"/>
      <c r="D5" s="6"/>
      <c r="E5" s="6"/>
      <c r="F5" s="7"/>
      <c r="G5" s="7"/>
      <c r="H5" s="6"/>
      <c r="I5" s="6"/>
      <c r="J5" s="7"/>
      <c r="K5" s="6"/>
      <c r="L5" s="7"/>
      <c r="M5" s="7"/>
      <c r="N5" s="7"/>
      <c r="O5" s="6"/>
    </row>
    <row r="6" spans="1:15" ht="13.5" customHeight="1" x14ac:dyDescent="0.25">
      <c r="A6" s="1"/>
      <c r="B6" s="9" t="s">
        <v>3</v>
      </c>
      <c r="C6" s="8"/>
      <c r="D6" s="8"/>
      <c r="E6" s="8"/>
      <c r="F6" s="7"/>
      <c r="G6" s="7"/>
      <c r="H6" s="6"/>
      <c r="I6" s="6"/>
      <c r="J6" s="7"/>
      <c r="K6" s="6"/>
      <c r="L6" s="7"/>
      <c r="M6" s="7"/>
      <c r="N6" s="7"/>
      <c r="O6" s="6"/>
    </row>
    <row r="7" spans="1:15" ht="1.5" customHeight="1" x14ac:dyDescent="0.25">
      <c r="A7" s="1"/>
      <c r="B7" s="8"/>
      <c r="C7" s="8"/>
      <c r="D7" s="8"/>
      <c r="E7" s="6"/>
      <c r="F7" s="7"/>
      <c r="G7" s="7"/>
      <c r="H7" s="6"/>
      <c r="I7" s="6"/>
      <c r="J7" s="7"/>
      <c r="K7" s="6"/>
      <c r="L7" s="7"/>
      <c r="M7" s="7"/>
      <c r="N7" s="7"/>
      <c r="O7" s="6"/>
    </row>
    <row r="8" spans="1:15" ht="16.5" customHeight="1" x14ac:dyDescent="0.25">
      <c r="A8" s="1"/>
      <c r="B8" s="10" t="s">
        <v>4</v>
      </c>
      <c r="C8" s="8"/>
      <c r="D8" s="8"/>
      <c r="E8" s="8"/>
      <c r="F8" s="7"/>
      <c r="G8" s="7"/>
      <c r="H8" s="6"/>
      <c r="I8" s="6"/>
      <c r="J8" s="7"/>
      <c r="K8" s="6"/>
      <c r="L8" s="7"/>
      <c r="M8" s="7"/>
      <c r="N8" s="7"/>
      <c r="O8" s="6"/>
    </row>
    <row r="9" spans="1:15" ht="14.25" customHeight="1" x14ac:dyDescent="0.25">
      <c r="A9" s="1"/>
      <c r="B9" s="11" t="s">
        <v>5</v>
      </c>
      <c r="C9" s="6"/>
      <c r="D9" s="6"/>
      <c r="E9" s="6"/>
      <c r="F9" s="7"/>
      <c r="G9" s="7"/>
      <c r="H9" s="6"/>
      <c r="I9" s="6"/>
      <c r="J9" s="7"/>
      <c r="K9" s="6"/>
      <c r="L9" s="7"/>
      <c r="M9" s="7"/>
      <c r="N9" s="7"/>
      <c r="O9" s="6"/>
    </row>
    <row r="10" spans="1:15" ht="3.75" customHeight="1" x14ac:dyDescent="0.25">
      <c r="A10" s="1"/>
      <c r="B10" s="12"/>
      <c r="C10" s="12"/>
      <c r="D10" s="12"/>
      <c r="E10" s="12"/>
      <c r="F10" s="13"/>
      <c r="G10" s="13"/>
      <c r="H10" s="12"/>
      <c r="I10" s="12"/>
      <c r="J10" s="13"/>
      <c r="K10" s="12"/>
      <c r="L10" s="13"/>
      <c r="M10" s="13"/>
      <c r="N10" s="13"/>
      <c r="O10" s="12"/>
    </row>
    <row r="11" spans="1:15" ht="11.25" customHeight="1" x14ac:dyDescent="0.25">
      <c r="A11" s="1"/>
      <c r="B11" s="1"/>
      <c r="C11" s="1"/>
      <c r="D11" s="1"/>
      <c r="E11" s="1"/>
      <c r="F11" s="2"/>
      <c r="G11" s="2"/>
      <c r="H11" s="1"/>
      <c r="I11" s="1"/>
      <c r="J11" s="2"/>
      <c r="K11" s="1"/>
      <c r="L11" s="2"/>
      <c r="M11" s="2"/>
      <c r="N11" s="2"/>
      <c r="O11" s="1"/>
    </row>
    <row r="12" spans="1:15" ht="13.5" customHeight="1" x14ac:dyDescent="0.25">
      <c r="A12" s="14"/>
      <c r="B12" s="15" t="s">
        <v>6</v>
      </c>
      <c r="C12" s="15" t="s">
        <v>7</v>
      </c>
      <c r="D12" s="15" t="s">
        <v>8</v>
      </c>
      <c r="E12" s="15" t="s">
        <v>9</v>
      </c>
      <c r="F12" s="16" t="s">
        <v>10</v>
      </c>
      <c r="G12" s="16" t="s">
        <v>11</v>
      </c>
      <c r="H12" s="15" t="s">
        <v>12</v>
      </c>
      <c r="I12" s="15" t="s">
        <v>13</v>
      </c>
      <c r="J12" s="16" t="s">
        <v>14</v>
      </c>
      <c r="K12" s="15" t="s">
        <v>15</v>
      </c>
      <c r="L12" s="16" t="s">
        <v>16</v>
      </c>
      <c r="M12" s="17" t="s">
        <v>17</v>
      </c>
      <c r="N12" s="18" t="s">
        <v>18</v>
      </c>
      <c r="O12" s="19" t="s">
        <v>19</v>
      </c>
    </row>
    <row r="13" spans="1:15" ht="13.5" customHeight="1" x14ac:dyDescent="0.25">
      <c r="A13" s="1"/>
      <c r="B13" s="20">
        <v>1</v>
      </c>
      <c r="C13" s="20">
        <v>2023</v>
      </c>
      <c r="D13" s="20">
        <v>13205</v>
      </c>
      <c r="E13" s="20" t="s">
        <v>20</v>
      </c>
      <c r="F13" s="20" t="s">
        <v>21</v>
      </c>
      <c r="G13" s="20"/>
      <c r="H13" s="20" t="s">
        <v>22</v>
      </c>
      <c r="I13" s="20" t="s">
        <v>23</v>
      </c>
      <c r="J13" s="21">
        <v>2011</v>
      </c>
      <c r="K13" s="20" t="s">
        <v>24</v>
      </c>
      <c r="L13" s="21"/>
      <c r="M13" s="21"/>
      <c r="N13" s="20"/>
      <c r="O13" s="20"/>
    </row>
    <row r="14" spans="1:15" ht="13.5" customHeight="1" x14ac:dyDescent="0.25">
      <c r="A14" s="1"/>
      <c r="B14" s="22">
        <v>2</v>
      </c>
      <c r="C14" s="22">
        <v>2023</v>
      </c>
      <c r="D14" s="22">
        <v>10288</v>
      </c>
      <c r="E14" s="22" t="s">
        <v>25</v>
      </c>
      <c r="F14" s="22" t="s">
        <v>26</v>
      </c>
      <c r="G14" s="22" t="s">
        <v>27</v>
      </c>
      <c r="H14" s="22" t="s">
        <v>28</v>
      </c>
      <c r="I14" s="22" t="s">
        <v>23</v>
      </c>
      <c r="J14" s="23">
        <v>2003</v>
      </c>
      <c r="K14" s="22" t="s">
        <v>29</v>
      </c>
      <c r="L14" s="23" t="s">
        <v>30</v>
      </c>
      <c r="M14" s="23" t="s">
        <v>30</v>
      </c>
      <c r="N14" s="22"/>
      <c r="O14" s="22"/>
    </row>
    <row r="15" spans="1:15" ht="13.5" customHeight="1" x14ac:dyDescent="0.25">
      <c r="A15" s="1"/>
      <c r="B15" s="20">
        <v>3</v>
      </c>
      <c r="C15" s="20">
        <v>2023</v>
      </c>
      <c r="D15" s="20">
        <v>12249</v>
      </c>
      <c r="E15" s="20" t="s">
        <v>31</v>
      </c>
      <c r="F15" s="20" t="s">
        <v>32</v>
      </c>
      <c r="G15" s="20"/>
      <c r="H15" s="20" t="s">
        <v>33</v>
      </c>
      <c r="I15" s="20" t="s">
        <v>23</v>
      </c>
      <c r="J15" s="21">
        <v>2000</v>
      </c>
      <c r="K15" s="20" t="s">
        <v>34</v>
      </c>
      <c r="L15" s="21"/>
      <c r="M15" s="21" t="s">
        <v>30</v>
      </c>
      <c r="N15" s="20" t="s">
        <v>35</v>
      </c>
      <c r="O15" s="20"/>
    </row>
    <row r="16" spans="1:15" ht="13.5" customHeight="1" x14ac:dyDescent="0.25">
      <c r="A16" s="1"/>
      <c r="B16" s="22">
        <v>4</v>
      </c>
      <c r="C16" s="22">
        <v>2023</v>
      </c>
      <c r="D16" s="22">
        <v>261</v>
      </c>
      <c r="E16" s="22" t="s">
        <v>36</v>
      </c>
      <c r="F16" s="22" t="s">
        <v>37</v>
      </c>
      <c r="G16" s="22"/>
      <c r="H16" s="22" t="s">
        <v>38</v>
      </c>
      <c r="I16" s="22" t="s">
        <v>23</v>
      </c>
      <c r="J16" s="23">
        <v>2000</v>
      </c>
      <c r="K16" s="22" t="s">
        <v>39</v>
      </c>
      <c r="L16" s="23"/>
      <c r="M16" s="23" t="s">
        <v>30</v>
      </c>
      <c r="N16" s="22"/>
      <c r="O16" s="22"/>
    </row>
    <row r="17" spans="1:15" ht="13.5" customHeight="1" x14ac:dyDescent="0.25">
      <c r="A17" s="1"/>
      <c r="B17" s="20">
        <v>5</v>
      </c>
      <c r="C17" s="20">
        <v>2023</v>
      </c>
      <c r="D17" s="20">
        <v>12188</v>
      </c>
      <c r="E17" s="20" t="s">
        <v>40</v>
      </c>
      <c r="F17" s="20" t="s">
        <v>41</v>
      </c>
      <c r="G17" s="20" t="s">
        <v>42</v>
      </c>
      <c r="H17" s="20" t="s">
        <v>43</v>
      </c>
      <c r="I17" s="20" t="s">
        <v>23</v>
      </c>
      <c r="J17" s="21">
        <v>2000</v>
      </c>
      <c r="K17" s="20" t="s">
        <v>44</v>
      </c>
      <c r="L17" s="21" t="s">
        <v>30</v>
      </c>
      <c r="M17" s="21" t="s">
        <v>30</v>
      </c>
      <c r="N17" s="20" t="s">
        <v>35</v>
      </c>
      <c r="O17" s="20"/>
    </row>
    <row r="18" spans="1:15" ht="13.5" customHeight="1" x14ac:dyDescent="0.25">
      <c r="A18" s="1"/>
      <c r="B18" s="22">
        <v>6</v>
      </c>
      <c r="C18" s="22">
        <v>2023</v>
      </c>
      <c r="D18" s="22">
        <v>42994</v>
      </c>
      <c r="E18" s="22" t="s">
        <v>45</v>
      </c>
      <c r="F18" s="22" t="s">
        <v>46</v>
      </c>
      <c r="G18" s="22"/>
      <c r="H18" s="22" t="s">
        <v>47</v>
      </c>
      <c r="I18" s="22" t="s">
        <v>23</v>
      </c>
      <c r="J18" s="23">
        <v>2020</v>
      </c>
      <c r="K18" s="22" t="s">
        <v>34</v>
      </c>
      <c r="L18" s="23"/>
      <c r="M18" s="23"/>
      <c r="N18" s="22" t="s">
        <v>48</v>
      </c>
      <c r="O18" s="22"/>
    </row>
    <row r="19" spans="1:15" ht="13.5" customHeight="1" x14ac:dyDescent="0.25">
      <c r="A19" s="1"/>
      <c r="B19" s="20">
        <v>7</v>
      </c>
      <c r="C19" s="20">
        <v>2023</v>
      </c>
      <c r="D19" s="20">
        <v>40596</v>
      </c>
      <c r="E19" s="20" t="s">
        <v>49</v>
      </c>
      <c r="F19" s="20" t="s">
        <v>50</v>
      </c>
      <c r="G19" s="20" t="s">
        <v>51</v>
      </c>
      <c r="H19" s="20" t="s">
        <v>52</v>
      </c>
      <c r="I19" s="20" t="s">
        <v>23</v>
      </c>
      <c r="J19" s="21">
        <v>2000</v>
      </c>
      <c r="K19" s="20" t="s">
        <v>39</v>
      </c>
      <c r="L19" s="21" t="s">
        <v>30</v>
      </c>
      <c r="M19" s="21"/>
      <c r="N19" s="20" t="s">
        <v>53</v>
      </c>
      <c r="O19" s="20"/>
    </row>
    <row r="20" spans="1:15" ht="13.5" customHeight="1" x14ac:dyDescent="0.25">
      <c r="A20" s="1"/>
      <c r="B20" s="22">
        <v>8</v>
      </c>
      <c r="C20" s="22">
        <v>2023</v>
      </c>
      <c r="D20" s="22">
        <v>769</v>
      </c>
      <c r="E20" s="22" t="s">
        <v>54</v>
      </c>
      <c r="F20" s="22" t="s">
        <v>55</v>
      </c>
      <c r="G20" s="22" t="s">
        <v>56</v>
      </c>
      <c r="H20" s="22" t="s">
        <v>57</v>
      </c>
      <c r="I20" s="22" t="s">
        <v>23</v>
      </c>
      <c r="J20" s="23">
        <v>2000</v>
      </c>
      <c r="K20" s="22" t="s">
        <v>24</v>
      </c>
      <c r="L20" s="23" t="s">
        <v>30</v>
      </c>
      <c r="M20" s="23" t="s">
        <v>30</v>
      </c>
      <c r="N20" s="22"/>
      <c r="O20" s="22"/>
    </row>
    <row r="21" spans="1:15" ht="13.5" customHeight="1" x14ac:dyDescent="0.25">
      <c r="A21" s="1"/>
      <c r="B21" s="20">
        <v>9</v>
      </c>
      <c r="C21" s="20">
        <v>2023</v>
      </c>
      <c r="D21" s="20">
        <v>11441</v>
      </c>
      <c r="E21" s="20" t="s">
        <v>58</v>
      </c>
      <c r="F21" s="20" t="s">
        <v>59</v>
      </c>
      <c r="G21" s="20" t="s">
        <v>60</v>
      </c>
      <c r="H21" s="20" t="s">
        <v>61</v>
      </c>
      <c r="I21" s="20" t="s">
        <v>62</v>
      </c>
      <c r="J21" s="21">
        <v>2000</v>
      </c>
      <c r="K21" s="20" t="s">
        <v>63</v>
      </c>
      <c r="L21" s="21" t="s">
        <v>30</v>
      </c>
      <c r="M21" s="21" t="s">
        <v>30</v>
      </c>
      <c r="N21" s="20"/>
      <c r="O21" s="20"/>
    </row>
    <row r="22" spans="1:15" ht="13.5" customHeight="1" x14ac:dyDescent="0.25">
      <c r="A22" s="1"/>
      <c r="B22" s="22">
        <v>10</v>
      </c>
      <c r="C22" s="22">
        <v>2023</v>
      </c>
      <c r="D22" s="22">
        <v>40857</v>
      </c>
      <c r="E22" s="22" t="s">
        <v>64</v>
      </c>
      <c r="F22" s="22" t="s">
        <v>65</v>
      </c>
      <c r="G22" s="22"/>
      <c r="H22" s="22" t="s">
        <v>66</v>
      </c>
      <c r="I22" s="22" t="s">
        <v>23</v>
      </c>
      <c r="J22" s="23">
        <v>2015</v>
      </c>
      <c r="K22" s="22" t="s">
        <v>67</v>
      </c>
      <c r="L22" s="23"/>
      <c r="M22" s="23"/>
      <c r="N22" s="22" t="s">
        <v>68</v>
      </c>
      <c r="O22" s="22"/>
    </row>
    <row r="23" spans="1:15" ht="13.5" customHeight="1" x14ac:dyDescent="0.25">
      <c r="A23" s="1"/>
      <c r="B23" s="20">
        <v>11</v>
      </c>
      <c r="C23" s="20">
        <v>2023</v>
      </c>
      <c r="D23" s="20">
        <v>12136</v>
      </c>
      <c r="E23" s="20" t="s">
        <v>69</v>
      </c>
      <c r="F23" s="20" t="s">
        <v>70</v>
      </c>
      <c r="G23" s="20" t="s">
        <v>71</v>
      </c>
      <c r="H23" s="20" t="s">
        <v>72</v>
      </c>
      <c r="I23" s="20" t="s">
        <v>23</v>
      </c>
      <c r="J23" s="21">
        <v>2002</v>
      </c>
      <c r="K23" s="20" t="s">
        <v>73</v>
      </c>
      <c r="L23" s="21" t="s">
        <v>30</v>
      </c>
      <c r="M23" s="21" t="s">
        <v>30</v>
      </c>
      <c r="N23" s="20" t="s">
        <v>74</v>
      </c>
      <c r="O23" s="20"/>
    </row>
    <row r="24" spans="1:15" ht="13.5" customHeight="1" x14ac:dyDescent="0.25">
      <c r="A24" s="1"/>
      <c r="B24" s="22">
        <v>12</v>
      </c>
      <c r="C24" s="22">
        <v>2023</v>
      </c>
      <c r="D24" s="22">
        <v>10440</v>
      </c>
      <c r="E24" s="22" t="s">
        <v>75</v>
      </c>
      <c r="F24" s="22" t="s">
        <v>76</v>
      </c>
      <c r="G24" s="22" t="s">
        <v>77</v>
      </c>
      <c r="H24" s="22" t="s">
        <v>78</v>
      </c>
      <c r="I24" s="22" t="s">
        <v>23</v>
      </c>
      <c r="J24" s="23">
        <v>2000</v>
      </c>
      <c r="K24" s="22" t="s">
        <v>44</v>
      </c>
      <c r="L24" s="23" t="s">
        <v>30</v>
      </c>
      <c r="M24" s="23" t="s">
        <v>30</v>
      </c>
      <c r="N24" s="22"/>
      <c r="O24" s="22"/>
    </row>
    <row r="25" spans="1:15" ht="13.5" customHeight="1" x14ac:dyDescent="0.25">
      <c r="A25" s="1"/>
      <c r="B25" s="20">
        <v>13</v>
      </c>
      <c r="C25" s="20">
        <v>2023</v>
      </c>
      <c r="D25" s="20">
        <v>10441</v>
      </c>
      <c r="E25" s="20" t="s">
        <v>79</v>
      </c>
      <c r="F25" s="20" t="s">
        <v>80</v>
      </c>
      <c r="G25" s="20" t="s">
        <v>81</v>
      </c>
      <c r="H25" s="20" t="s">
        <v>82</v>
      </c>
      <c r="I25" s="20" t="s">
        <v>23</v>
      </c>
      <c r="J25" s="21">
        <v>2000</v>
      </c>
      <c r="K25" s="20" t="s">
        <v>73</v>
      </c>
      <c r="L25" s="21" t="s">
        <v>30</v>
      </c>
      <c r="M25" s="21" t="s">
        <v>30</v>
      </c>
      <c r="N25" s="20"/>
      <c r="O25" s="20"/>
    </row>
    <row r="26" spans="1:15" ht="13.5" customHeight="1" x14ac:dyDescent="0.25">
      <c r="A26" s="1"/>
      <c r="B26" s="22">
        <v>14</v>
      </c>
      <c r="C26" s="22">
        <v>2023</v>
      </c>
      <c r="D26" s="22">
        <v>592</v>
      </c>
      <c r="E26" s="22" t="s">
        <v>83</v>
      </c>
      <c r="F26" s="22" t="s">
        <v>84</v>
      </c>
      <c r="G26" s="22"/>
      <c r="H26" s="22" t="s">
        <v>85</v>
      </c>
      <c r="I26" s="22" t="s">
        <v>23</v>
      </c>
      <c r="J26" s="23">
        <v>2000</v>
      </c>
      <c r="K26" s="22" t="s">
        <v>39</v>
      </c>
      <c r="L26" s="23"/>
      <c r="M26" s="23" t="s">
        <v>30</v>
      </c>
      <c r="N26" s="22"/>
      <c r="O26" s="22"/>
    </row>
    <row r="27" spans="1:15" ht="13.5" customHeight="1" x14ac:dyDescent="0.25">
      <c r="A27" s="1"/>
      <c r="B27" s="20">
        <v>15</v>
      </c>
      <c r="C27" s="20">
        <v>2023</v>
      </c>
      <c r="D27" s="20">
        <v>10211</v>
      </c>
      <c r="E27" s="20" t="s">
        <v>86</v>
      </c>
      <c r="F27" s="20" t="s">
        <v>87</v>
      </c>
      <c r="G27" s="20" t="s">
        <v>88</v>
      </c>
      <c r="H27" s="20" t="s">
        <v>89</v>
      </c>
      <c r="I27" s="20" t="s">
        <v>23</v>
      </c>
      <c r="J27" s="21">
        <v>2000</v>
      </c>
      <c r="K27" s="20" t="s">
        <v>34</v>
      </c>
      <c r="L27" s="21" t="s">
        <v>30</v>
      </c>
      <c r="M27" s="21" t="s">
        <v>30</v>
      </c>
      <c r="N27" s="20"/>
      <c r="O27" s="20"/>
    </row>
    <row r="28" spans="1:15" ht="13.5" customHeight="1" x14ac:dyDescent="0.25">
      <c r="A28" s="1"/>
      <c r="B28" s="22">
        <v>16</v>
      </c>
      <c r="C28" s="22">
        <v>2023</v>
      </c>
      <c r="D28" s="22">
        <v>11631</v>
      </c>
      <c r="E28" s="22" t="s">
        <v>90</v>
      </c>
      <c r="F28" s="22" t="s">
        <v>91</v>
      </c>
      <c r="G28" s="22" t="s">
        <v>92</v>
      </c>
      <c r="H28" s="22" t="s">
        <v>93</v>
      </c>
      <c r="I28" s="22" t="s">
        <v>94</v>
      </c>
      <c r="J28" s="23">
        <v>2000</v>
      </c>
      <c r="K28" s="22" t="s">
        <v>95</v>
      </c>
      <c r="L28" s="23" t="s">
        <v>30</v>
      </c>
      <c r="M28" s="23" t="s">
        <v>30</v>
      </c>
      <c r="N28" s="22" t="s">
        <v>74</v>
      </c>
      <c r="O28" s="22"/>
    </row>
    <row r="29" spans="1:15" ht="13.5" customHeight="1" x14ac:dyDescent="0.25">
      <c r="A29" s="1"/>
      <c r="B29" s="20">
        <v>17</v>
      </c>
      <c r="C29" s="20">
        <v>2023</v>
      </c>
      <c r="D29" s="20">
        <v>40328</v>
      </c>
      <c r="E29" s="20" t="s">
        <v>96</v>
      </c>
      <c r="F29" s="20" t="s">
        <v>97</v>
      </c>
      <c r="G29" s="20" t="s">
        <v>98</v>
      </c>
      <c r="H29" s="20" t="s">
        <v>99</v>
      </c>
      <c r="I29" s="20" t="s">
        <v>100</v>
      </c>
      <c r="J29" s="21">
        <v>2000</v>
      </c>
      <c r="K29" s="20" t="s">
        <v>95</v>
      </c>
      <c r="L29" s="21" t="s">
        <v>30</v>
      </c>
      <c r="M29" s="21"/>
      <c r="N29" s="20" t="s">
        <v>101</v>
      </c>
      <c r="O29" s="20"/>
    </row>
    <row r="30" spans="1:15" ht="13.5" customHeight="1" x14ac:dyDescent="0.25">
      <c r="A30" s="1"/>
      <c r="B30" s="22">
        <v>18</v>
      </c>
      <c r="C30" s="22">
        <v>2023</v>
      </c>
      <c r="D30" s="22">
        <v>11600</v>
      </c>
      <c r="E30" s="22" t="s">
        <v>102</v>
      </c>
      <c r="F30" s="22" t="s">
        <v>103</v>
      </c>
      <c r="G30" s="22"/>
      <c r="H30" s="22" t="s">
        <v>104</v>
      </c>
      <c r="I30" s="22" t="s">
        <v>23</v>
      </c>
      <c r="J30" s="23">
        <v>2006</v>
      </c>
      <c r="K30" s="22" t="s">
        <v>95</v>
      </c>
      <c r="L30" s="23"/>
      <c r="M30" s="23"/>
      <c r="N30" s="22" t="s">
        <v>105</v>
      </c>
      <c r="O30" s="22"/>
    </row>
    <row r="31" spans="1:15" ht="13.5" customHeight="1" x14ac:dyDescent="0.25">
      <c r="A31" s="1"/>
      <c r="B31" s="20">
        <v>19</v>
      </c>
      <c r="C31" s="20">
        <v>2023</v>
      </c>
      <c r="D31" s="20">
        <v>11440</v>
      </c>
      <c r="E31" s="20" t="s">
        <v>106</v>
      </c>
      <c r="F31" s="20" t="s">
        <v>107</v>
      </c>
      <c r="G31" s="20" t="s">
        <v>108</v>
      </c>
      <c r="H31" s="20" t="s">
        <v>109</v>
      </c>
      <c r="I31" s="20" t="s">
        <v>23</v>
      </c>
      <c r="J31" s="21">
        <v>2006</v>
      </c>
      <c r="K31" s="20" t="s">
        <v>67</v>
      </c>
      <c r="L31" s="21" t="s">
        <v>30</v>
      </c>
      <c r="M31" s="21" t="s">
        <v>30</v>
      </c>
      <c r="N31" s="20"/>
      <c r="O31" s="20"/>
    </row>
    <row r="32" spans="1:15" ht="13.5" customHeight="1" x14ac:dyDescent="0.25">
      <c r="A32" s="1"/>
      <c r="B32" s="22">
        <v>20</v>
      </c>
      <c r="C32" s="22">
        <v>2023</v>
      </c>
      <c r="D32" s="22">
        <v>236</v>
      </c>
      <c r="E32" s="22" t="s">
        <v>110</v>
      </c>
      <c r="F32" s="22" t="s">
        <v>111</v>
      </c>
      <c r="G32" s="22" t="s">
        <v>112</v>
      </c>
      <c r="H32" s="22" t="s">
        <v>113</v>
      </c>
      <c r="I32" s="22" t="s">
        <v>23</v>
      </c>
      <c r="J32" s="23">
        <v>2000</v>
      </c>
      <c r="K32" s="22" t="s">
        <v>114</v>
      </c>
      <c r="L32" s="23" t="s">
        <v>30</v>
      </c>
      <c r="M32" s="23" t="s">
        <v>30</v>
      </c>
      <c r="N32" s="22"/>
      <c r="O32" s="22"/>
    </row>
    <row r="33" spans="1:15" ht="13.5" customHeight="1" x14ac:dyDescent="0.25">
      <c r="A33" s="1"/>
      <c r="B33" s="20">
        <v>21</v>
      </c>
      <c r="C33" s="20">
        <v>2023</v>
      </c>
      <c r="D33" s="20">
        <v>10474</v>
      </c>
      <c r="E33" s="20" t="s">
        <v>115</v>
      </c>
      <c r="F33" s="20" t="s">
        <v>116</v>
      </c>
      <c r="G33" s="20" t="s">
        <v>117</v>
      </c>
      <c r="H33" s="20" t="s">
        <v>118</v>
      </c>
      <c r="I33" s="20" t="s">
        <v>100</v>
      </c>
      <c r="J33" s="21">
        <v>2000</v>
      </c>
      <c r="K33" s="20" t="s">
        <v>44</v>
      </c>
      <c r="L33" s="21" t="s">
        <v>30</v>
      </c>
      <c r="M33" s="21" t="s">
        <v>30</v>
      </c>
      <c r="N33" s="20"/>
      <c r="O33" s="20"/>
    </row>
    <row r="34" spans="1:15" ht="13.5" customHeight="1" x14ac:dyDescent="0.25">
      <c r="A34" s="1"/>
      <c r="B34" s="22">
        <v>22</v>
      </c>
      <c r="C34" s="22">
        <v>2023</v>
      </c>
      <c r="D34" s="22">
        <v>10473</v>
      </c>
      <c r="E34" s="22" t="s">
        <v>119</v>
      </c>
      <c r="F34" s="22" t="s">
        <v>120</v>
      </c>
      <c r="G34" s="22" t="s">
        <v>121</v>
      </c>
      <c r="H34" s="22" t="s">
        <v>122</v>
      </c>
      <c r="I34" s="22" t="s">
        <v>23</v>
      </c>
      <c r="J34" s="23">
        <v>2019</v>
      </c>
      <c r="K34" s="22" t="s">
        <v>44</v>
      </c>
      <c r="L34" s="23" t="s">
        <v>30</v>
      </c>
      <c r="M34" s="23"/>
      <c r="N34" s="22" t="s">
        <v>123</v>
      </c>
      <c r="O34" s="22"/>
    </row>
    <row r="35" spans="1:15" ht="13.5" customHeight="1" x14ac:dyDescent="0.25">
      <c r="A35" s="1"/>
      <c r="B35" s="20">
        <v>23</v>
      </c>
      <c r="C35" s="20">
        <v>2023</v>
      </c>
      <c r="D35" s="20">
        <v>10114</v>
      </c>
      <c r="E35" s="20" t="s">
        <v>124</v>
      </c>
      <c r="F35" s="20" t="s">
        <v>125</v>
      </c>
      <c r="G35" s="20" t="s">
        <v>126</v>
      </c>
      <c r="H35" s="20" t="s">
        <v>127</v>
      </c>
      <c r="I35" s="20" t="s">
        <v>128</v>
      </c>
      <c r="J35" s="21">
        <v>2000</v>
      </c>
      <c r="K35" s="20" t="s">
        <v>44</v>
      </c>
      <c r="L35" s="21" t="s">
        <v>30</v>
      </c>
      <c r="M35" s="21" t="s">
        <v>30</v>
      </c>
      <c r="N35" s="20"/>
      <c r="O35" s="20"/>
    </row>
    <row r="36" spans="1:15" ht="13.5" customHeight="1" x14ac:dyDescent="0.25">
      <c r="A36" s="1"/>
      <c r="B36" s="22">
        <v>24</v>
      </c>
      <c r="C36" s="22">
        <v>2023</v>
      </c>
      <c r="D36" s="22">
        <v>40306</v>
      </c>
      <c r="E36" s="22" t="s">
        <v>129</v>
      </c>
      <c r="F36" s="22" t="s">
        <v>130</v>
      </c>
      <c r="G36" s="22" t="s">
        <v>131</v>
      </c>
      <c r="H36" s="22" t="s">
        <v>132</v>
      </c>
      <c r="I36" s="22" t="s">
        <v>23</v>
      </c>
      <c r="J36" s="23">
        <v>2013</v>
      </c>
      <c r="K36" s="22" t="s">
        <v>44</v>
      </c>
      <c r="L36" s="23" t="s">
        <v>30</v>
      </c>
      <c r="M36" s="23"/>
      <c r="N36" s="22" t="s">
        <v>101</v>
      </c>
      <c r="O36" s="22"/>
    </row>
    <row r="37" spans="1:15" ht="13.5" customHeight="1" x14ac:dyDescent="0.25">
      <c r="A37" s="1"/>
      <c r="B37" s="20">
        <v>25</v>
      </c>
      <c r="C37" s="20">
        <v>2023</v>
      </c>
      <c r="D37" s="20">
        <v>10255</v>
      </c>
      <c r="E37" s="20" t="s">
        <v>133</v>
      </c>
      <c r="F37" s="20" t="s">
        <v>134</v>
      </c>
      <c r="G37" s="20" t="s">
        <v>135</v>
      </c>
      <c r="H37" s="20" t="s">
        <v>136</v>
      </c>
      <c r="I37" s="20" t="s">
        <v>137</v>
      </c>
      <c r="J37" s="21">
        <v>2000</v>
      </c>
      <c r="K37" s="20" t="s">
        <v>44</v>
      </c>
      <c r="L37" s="21" t="s">
        <v>30</v>
      </c>
      <c r="M37" s="21" t="s">
        <v>30</v>
      </c>
      <c r="N37" s="20"/>
      <c r="O37" s="20"/>
    </row>
    <row r="38" spans="1:15" ht="13.5" customHeight="1" x14ac:dyDescent="0.25">
      <c r="A38" s="1"/>
      <c r="B38" s="22">
        <v>26</v>
      </c>
      <c r="C38" s="22">
        <v>2023</v>
      </c>
      <c r="D38" s="22">
        <v>707</v>
      </c>
      <c r="E38" s="22" t="s">
        <v>138</v>
      </c>
      <c r="F38" s="22" t="s">
        <v>139</v>
      </c>
      <c r="G38" s="22" t="s">
        <v>140</v>
      </c>
      <c r="H38" s="22" t="s">
        <v>141</v>
      </c>
      <c r="I38" s="22" t="s">
        <v>23</v>
      </c>
      <c r="J38" s="23">
        <v>2000</v>
      </c>
      <c r="K38" s="22" t="s">
        <v>67</v>
      </c>
      <c r="L38" s="23" t="s">
        <v>30</v>
      </c>
      <c r="M38" s="23" t="s">
        <v>30</v>
      </c>
      <c r="N38" s="22"/>
      <c r="O38" s="22"/>
    </row>
    <row r="39" spans="1:15" ht="13.5" customHeight="1" x14ac:dyDescent="0.25">
      <c r="A39" s="1"/>
      <c r="B39" s="20">
        <v>27</v>
      </c>
      <c r="C39" s="20">
        <v>2023</v>
      </c>
      <c r="D39" s="20">
        <v>10409</v>
      </c>
      <c r="E39" s="20" t="s">
        <v>142</v>
      </c>
      <c r="F39" s="20" t="s">
        <v>143</v>
      </c>
      <c r="G39" s="20" t="s">
        <v>144</v>
      </c>
      <c r="H39" s="20" t="s">
        <v>145</v>
      </c>
      <c r="I39" s="20" t="s">
        <v>146</v>
      </c>
      <c r="J39" s="21">
        <v>2000</v>
      </c>
      <c r="K39" s="20" t="s">
        <v>67</v>
      </c>
      <c r="L39" s="21" t="s">
        <v>30</v>
      </c>
      <c r="M39" s="21" t="s">
        <v>30</v>
      </c>
      <c r="N39" s="20"/>
      <c r="O39" s="20"/>
    </row>
    <row r="40" spans="1:15" ht="13.5" customHeight="1" x14ac:dyDescent="0.25">
      <c r="A40" s="1"/>
      <c r="B40" s="22">
        <v>28</v>
      </c>
      <c r="C40" s="22">
        <v>2023</v>
      </c>
      <c r="D40" s="22">
        <v>10338</v>
      </c>
      <c r="E40" s="22" t="s">
        <v>147</v>
      </c>
      <c r="F40" s="22" t="s">
        <v>148</v>
      </c>
      <c r="G40" s="22" t="s">
        <v>149</v>
      </c>
      <c r="H40" s="22" t="s">
        <v>150</v>
      </c>
      <c r="I40" s="22" t="s">
        <v>23</v>
      </c>
      <c r="J40" s="23">
        <v>2006</v>
      </c>
      <c r="K40" s="22" t="s">
        <v>67</v>
      </c>
      <c r="L40" s="23" t="s">
        <v>30</v>
      </c>
      <c r="M40" s="23"/>
      <c r="N40" s="22" t="s">
        <v>151</v>
      </c>
      <c r="O40" s="22"/>
    </row>
    <row r="41" spans="1:15" ht="13.5" customHeight="1" x14ac:dyDescent="0.25">
      <c r="A41" s="1"/>
      <c r="B41" s="20">
        <v>29</v>
      </c>
      <c r="C41" s="20">
        <v>2023</v>
      </c>
      <c r="D41" s="20">
        <v>40195</v>
      </c>
      <c r="E41" s="20" t="s">
        <v>152</v>
      </c>
      <c r="F41" s="20" t="s">
        <v>153</v>
      </c>
      <c r="G41" s="20" t="s">
        <v>154</v>
      </c>
      <c r="H41" s="20" t="s">
        <v>155</v>
      </c>
      <c r="I41" s="20" t="s">
        <v>156</v>
      </c>
      <c r="J41" s="21">
        <v>2013</v>
      </c>
      <c r="K41" s="20" t="s">
        <v>24</v>
      </c>
      <c r="L41" s="21" t="s">
        <v>30</v>
      </c>
      <c r="M41" s="21"/>
      <c r="N41" s="20" t="s">
        <v>101</v>
      </c>
      <c r="O41" s="20"/>
    </row>
    <row r="42" spans="1:15" ht="13.5" customHeight="1" x14ac:dyDescent="0.25">
      <c r="A42" s="1"/>
      <c r="B42" s="22">
        <v>30</v>
      </c>
      <c r="C42" s="22">
        <v>2023</v>
      </c>
      <c r="D42" s="22">
        <v>701</v>
      </c>
      <c r="E42" s="22" t="s">
        <v>157</v>
      </c>
      <c r="F42" s="22" t="s">
        <v>158</v>
      </c>
      <c r="G42" s="22"/>
      <c r="H42" s="22" t="s">
        <v>159</v>
      </c>
      <c r="I42" s="22" t="s">
        <v>23</v>
      </c>
      <c r="J42" s="23">
        <v>2000</v>
      </c>
      <c r="K42" s="22" t="s">
        <v>39</v>
      </c>
      <c r="L42" s="23"/>
      <c r="M42" s="23" t="s">
        <v>30</v>
      </c>
      <c r="N42" s="22"/>
      <c r="O42" s="22"/>
    </row>
    <row r="43" spans="1:15" ht="13.5" customHeight="1" x14ac:dyDescent="0.25">
      <c r="A43" s="1"/>
      <c r="B43" s="20">
        <v>31</v>
      </c>
      <c r="C43" s="20">
        <v>2023</v>
      </c>
      <c r="D43" s="20">
        <v>13760</v>
      </c>
      <c r="E43" s="20" t="s">
        <v>160</v>
      </c>
      <c r="F43" s="20" t="s">
        <v>161</v>
      </c>
      <c r="G43" s="20"/>
      <c r="H43" s="20" t="s">
        <v>162</v>
      </c>
      <c r="I43" s="20" t="s">
        <v>23</v>
      </c>
      <c r="J43" s="21">
        <v>2012</v>
      </c>
      <c r="K43" s="20" t="s">
        <v>34</v>
      </c>
      <c r="L43" s="21"/>
      <c r="M43" s="21"/>
      <c r="N43" s="20" t="s">
        <v>163</v>
      </c>
      <c r="O43" s="20"/>
    </row>
    <row r="44" spans="1:15" ht="13.5" customHeight="1" x14ac:dyDescent="0.25">
      <c r="A44" s="1"/>
      <c r="B44" s="22">
        <v>32</v>
      </c>
      <c r="C44" s="22">
        <v>2023</v>
      </c>
      <c r="D44" s="22">
        <v>401</v>
      </c>
      <c r="E44" s="22" t="s">
        <v>164</v>
      </c>
      <c r="F44" s="22" t="s">
        <v>165</v>
      </c>
      <c r="G44" s="22" t="s">
        <v>166</v>
      </c>
      <c r="H44" s="22" t="s">
        <v>167</v>
      </c>
      <c r="I44" s="22" t="s">
        <v>23</v>
      </c>
      <c r="J44" s="23">
        <v>2000</v>
      </c>
      <c r="K44" s="22" t="s">
        <v>39</v>
      </c>
      <c r="L44" s="23" t="s">
        <v>30</v>
      </c>
      <c r="M44" s="23" t="s">
        <v>30</v>
      </c>
      <c r="N44" s="22"/>
      <c r="O44" s="22"/>
    </row>
    <row r="45" spans="1:15" ht="13.5" customHeight="1" x14ac:dyDescent="0.25">
      <c r="A45" s="1"/>
      <c r="B45" s="20">
        <v>33</v>
      </c>
      <c r="C45" s="20">
        <v>2023</v>
      </c>
      <c r="D45" s="20">
        <v>13131</v>
      </c>
      <c r="E45" s="20" t="s">
        <v>168</v>
      </c>
      <c r="F45" s="20" t="s">
        <v>169</v>
      </c>
      <c r="G45" s="20" t="s">
        <v>170</v>
      </c>
      <c r="H45" s="20" t="s">
        <v>171</v>
      </c>
      <c r="I45" s="20" t="s">
        <v>172</v>
      </c>
      <c r="J45" s="21">
        <v>2010</v>
      </c>
      <c r="K45" s="20" t="s">
        <v>95</v>
      </c>
      <c r="L45" s="21" t="s">
        <v>30</v>
      </c>
      <c r="M45" s="21"/>
      <c r="N45" s="20" t="s">
        <v>173</v>
      </c>
      <c r="O45" s="20"/>
    </row>
    <row r="46" spans="1:15" ht="13.5" customHeight="1" x14ac:dyDescent="0.25">
      <c r="A46" s="1"/>
      <c r="B46" s="22">
        <v>34</v>
      </c>
      <c r="C46" s="22">
        <v>2023</v>
      </c>
      <c r="D46" s="22">
        <v>11686</v>
      </c>
      <c r="E46" s="22" t="s">
        <v>174</v>
      </c>
      <c r="F46" s="22" t="s">
        <v>175</v>
      </c>
      <c r="G46" s="22" t="s">
        <v>176</v>
      </c>
      <c r="H46" s="22" t="s">
        <v>177</v>
      </c>
      <c r="I46" s="22" t="s">
        <v>23</v>
      </c>
      <c r="J46" s="23">
        <v>2006</v>
      </c>
      <c r="K46" s="22" t="s">
        <v>34</v>
      </c>
      <c r="L46" s="23" t="s">
        <v>30</v>
      </c>
      <c r="M46" s="23"/>
      <c r="N46" s="22" t="s">
        <v>123</v>
      </c>
      <c r="O46" s="22"/>
    </row>
    <row r="47" spans="1:15" ht="13.5" customHeight="1" x14ac:dyDescent="0.25">
      <c r="A47" s="1"/>
      <c r="B47" s="20">
        <v>35</v>
      </c>
      <c r="C47" s="20">
        <v>2023</v>
      </c>
      <c r="D47" s="20">
        <v>11738</v>
      </c>
      <c r="E47" s="20" t="s">
        <v>178</v>
      </c>
      <c r="F47" s="20" t="s">
        <v>179</v>
      </c>
      <c r="G47" s="20"/>
      <c r="H47" s="20" t="s">
        <v>180</v>
      </c>
      <c r="I47" s="20" t="s">
        <v>23</v>
      </c>
      <c r="J47" s="21">
        <v>2000</v>
      </c>
      <c r="K47" s="20" t="s">
        <v>34</v>
      </c>
      <c r="L47" s="21"/>
      <c r="M47" s="21" t="s">
        <v>30</v>
      </c>
      <c r="N47" s="20" t="s">
        <v>74</v>
      </c>
      <c r="O47" s="20"/>
    </row>
    <row r="48" spans="1:15" ht="13.5" customHeight="1" x14ac:dyDescent="0.25">
      <c r="A48" s="1"/>
      <c r="B48" s="22">
        <v>36</v>
      </c>
      <c r="C48" s="22">
        <v>2023</v>
      </c>
      <c r="D48" s="22">
        <v>40750</v>
      </c>
      <c r="E48" s="22" t="s">
        <v>181</v>
      </c>
      <c r="F48" s="22" t="s">
        <v>182</v>
      </c>
      <c r="G48" s="22"/>
      <c r="H48" s="22" t="s">
        <v>183</v>
      </c>
      <c r="I48" s="22" t="s">
        <v>23</v>
      </c>
      <c r="J48" s="23">
        <v>2015</v>
      </c>
      <c r="K48" s="22" t="s">
        <v>184</v>
      </c>
      <c r="L48" s="23"/>
      <c r="M48" s="23"/>
      <c r="N48" s="22" t="s">
        <v>185</v>
      </c>
      <c r="O48" s="22"/>
    </row>
    <row r="49" spans="1:15" ht="13.5" customHeight="1" x14ac:dyDescent="0.25">
      <c r="A49" s="1"/>
      <c r="B49" s="20">
        <v>37</v>
      </c>
      <c r="C49" s="20">
        <v>2023</v>
      </c>
      <c r="D49" s="20">
        <v>35145</v>
      </c>
      <c r="E49" s="20" t="s">
        <v>186</v>
      </c>
      <c r="F49" s="20" t="s">
        <v>187</v>
      </c>
      <c r="G49" s="20" t="s">
        <v>188</v>
      </c>
      <c r="H49" s="20" t="s">
        <v>189</v>
      </c>
      <c r="I49" s="20" t="s">
        <v>190</v>
      </c>
      <c r="J49" s="21">
        <v>2003</v>
      </c>
      <c r="K49" s="20" t="s">
        <v>24</v>
      </c>
      <c r="L49" s="21" t="s">
        <v>30</v>
      </c>
      <c r="M49" s="21"/>
      <c r="N49" s="20"/>
      <c r="O49" s="20"/>
    </row>
    <row r="50" spans="1:15" ht="13.5" customHeight="1" x14ac:dyDescent="0.25">
      <c r="A50" s="1"/>
      <c r="B50" s="22">
        <v>38</v>
      </c>
      <c r="C50" s="22">
        <v>2023</v>
      </c>
      <c r="D50" s="22">
        <v>35784</v>
      </c>
      <c r="E50" s="22" t="s">
        <v>191</v>
      </c>
      <c r="F50" s="22" t="s">
        <v>192</v>
      </c>
      <c r="G50" s="22" t="s">
        <v>193</v>
      </c>
      <c r="H50" s="22" t="s">
        <v>194</v>
      </c>
      <c r="I50" s="22" t="s">
        <v>190</v>
      </c>
      <c r="J50" s="23">
        <v>2009</v>
      </c>
      <c r="K50" s="22" t="s">
        <v>24</v>
      </c>
      <c r="L50" s="23" t="s">
        <v>30</v>
      </c>
      <c r="M50" s="23"/>
      <c r="N50" s="22"/>
      <c r="O50" s="22"/>
    </row>
    <row r="51" spans="1:15" ht="13.5" customHeight="1" x14ac:dyDescent="0.25">
      <c r="A51" s="1"/>
      <c r="B51" s="20">
        <v>39</v>
      </c>
      <c r="C51" s="20">
        <v>2023</v>
      </c>
      <c r="D51" s="20">
        <v>10488</v>
      </c>
      <c r="E51" s="20" t="s">
        <v>195</v>
      </c>
      <c r="F51" s="20" t="s">
        <v>196</v>
      </c>
      <c r="G51" s="20" t="s">
        <v>197</v>
      </c>
      <c r="H51" s="20" t="s">
        <v>198</v>
      </c>
      <c r="I51" s="20" t="s">
        <v>23</v>
      </c>
      <c r="J51" s="21">
        <v>2000</v>
      </c>
      <c r="K51" s="20" t="s">
        <v>39</v>
      </c>
      <c r="L51" s="21" t="s">
        <v>30</v>
      </c>
      <c r="M51" s="21" t="s">
        <v>30</v>
      </c>
      <c r="N51" s="20"/>
      <c r="O51" s="20"/>
    </row>
    <row r="52" spans="1:15" ht="13.5" customHeight="1" x14ac:dyDescent="0.25">
      <c r="A52" s="1"/>
      <c r="B52" s="22">
        <v>40</v>
      </c>
      <c r="C52" s="22">
        <v>2023</v>
      </c>
      <c r="D52" s="22">
        <v>40894</v>
      </c>
      <c r="E52" s="22" t="s">
        <v>199</v>
      </c>
      <c r="F52" s="22" t="s">
        <v>200</v>
      </c>
      <c r="G52" s="22" t="s">
        <v>201</v>
      </c>
      <c r="H52" s="22" t="s">
        <v>202</v>
      </c>
      <c r="I52" s="22" t="s">
        <v>23</v>
      </c>
      <c r="J52" s="23">
        <v>2016</v>
      </c>
      <c r="K52" s="22" t="s">
        <v>203</v>
      </c>
      <c r="L52" s="23" t="s">
        <v>30</v>
      </c>
      <c r="M52" s="23"/>
      <c r="N52" s="22" t="s">
        <v>204</v>
      </c>
      <c r="O52" s="22"/>
    </row>
    <row r="53" spans="1:15" ht="13.5" customHeight="1" x14ac:dyDescent="0.25">
      <c r="A53" s="1"/>
      <c r="B53" s="20">
        <v>41</v>
      </c>
      <c r="C53" s="20">
        <v>2023</v>
      </c>
      <c r="D53" s="20">
        <v>10450</v>
      </c>
      <c r="E53" s="20" t="s">
        <v>205</v>
      </c>
      <c r="F53" s="20" t="s">
        <v>206</v>
      </c>
      <c r="G53" s="20" t="s">
        <v>207</v>
      </c>
      <c r="H53" s="20" t="s">
        <v>208</v>
      </c>
      <c r="I53" s="20" t="s">
        <v>23</v>
      </c>
      <c r="J53" s="21">
        <v>2000</v>
      </c>
      <c r="K53" s="20" t="s">
        <v>24</v>
      </c>
      <c r="L53" s="21" t="s">
        <v>30</v>
      </c>
      <c r="M53" s="21" t="s">
        <v>30</v>
      </c>
      <c r="N53" s="20"/>
      <c r="O53" s="20"/>
    </row>
    <row r="54" spans="1:15" ht="13.5" customHeight="1" x14ac:dyDescent="0.25">
      <c r="A54" s="1"/>
      <c r="B54" s="22">
        <v>42</v>
      </c>
      <c r="C54" s="22">
        <v>2023</v>
      </c>
      <c r="D54" s="22">
        <v>42114</v>
      </c>
      <c r="E54" s="22" t="s">
        <v>209</v>
      </c>
      <c r="F54" s="22" t="s">
        <v>210</v>
      </c>
      <c r="G54" s="22" t="s">
        <v>211</v>
      </c>
      <c r="H54" s="22" t="s">
        <v>212</v>
      </c>
      <c r="I54" s="22" t="s">
        <v>23</v>
      </c>
      <c r="J54" s="23">
        <v>2018</v>
      </c>
      <c r="K54" s="22" t="s">
        <v>24</v>
      </c>
      <c r="L54" s="23" t="s">
        <v>30</v>
      </c>
      <c r="M54" s="23"/>
      <c r="N54" s="22" t="s">
        <v>213</v>
      </c>
      <c r="O54" s="22"/>
    </row>
    <row r="55" spans="1:15" ht="13.5" customHeight="1" x14ac:dyDescent="0.25">
      <c r="A55" s="1"/>
      <c r="B55" s="20">
        <v>43</v>
      </c>
      <c r="C55" s="20">
        <v>2023</v>
      </c>
      <c r="D55" s="20">
        <v>42765</v>
      </c>
      <c r="E55" s="20" t="s">
        <v>214</v>
      </c>
      <c r="F55" s="20" t="s">
        <v>215</v>
      </c>
      <c r="G55" s="20" t="s">
        <v>216</v>
      </c>
      <c r="H55" s="20" t="s">
        <v>217</v>
      </c>
      <c r="I55" s="20" t="s">
        <v>23</v>
      </c>
      <c r="J55" s="21">
        <v>2019</v>
      </c>
      <c r="K55" s="20" t="s">
        <v>24</v>
      </c>
      <c r="L55" s="21" t="s">
        <v>30</v>
      </c>
      <c r="M55" s="21"/>
      <c r="N55" s="20" t="s">
        <v>218</v>
      </c>
      <c r="O55" s="20"/>
    </row>
    <row r="56" spans="1:15" ht="13.5" customHeight="1" x14ac:dyDescent="0.25">
      <c r="A56" s="1"/>
      <c r="B56" s="22">
        <v>44</v>
      </c>
      <c r="C56" s="22">
        <v>2023</v>
      </c>
      <c r="D56" s="22">
        <v>6</v>
      </c>
      <c r="E56" s="22" t="s">
        <v>219</v>
      </c>
      <c r="F56" s="22" t="s">
        <v>220</v>
      </c>
      <c r="G56" s="22" t="s">
        <v>221</v>
      </c>
      <c r="H56" s="22" t="s">
        <v>222</v>
      </c>
      <c r="I56" s="22" t="s">
        <v>223</v>
      </c>
      <c r="J56" s="23">
        <v>2000</v>
      </c>
      <c r="K56" s="22" t="s">
        <v>63</v>
      </c>
      <c r="L56" s="23" t="s">
        <v>30</v>
      </c>
      <c r="M56" s="23" t="s">
        <v>30</v>
      </c>
      <c r="N56" s="22"/>
      <c r="O56" s="22"/>
    </row>
    <row r="57" spans="1:15" ht="13.5" customHeight="1" x14ac:dyDescent="0.25">
      <c r="A57" s="1"/>
      <c r="B57" s="20">
        <v>45</v>
      </c>
      <c r="C57" s="20">
        <v>2023</v>
      </c>
      <c r="D57" s="20">
        <v>42423</v>
      </c>
      <c r="E57" s="20" t="s">
        <v>224</v>
      </c>
      <c r="F57" s="20" t="s">
        <v>225</v>
      </c>
      <c r="G57" s="20" t="s">
        <v>226</v>
      </c>
      <c r="H57" s="20" t="s">
        <v>227</v>
      </c>
      <c r="I57" s="20" t="s">
        <v>23</v>
      </c>
      <c r="J57" s="21">
        <v>2018</v>
      </c>
      <c r="K57" s="20" t="s">
        <v>67</v>
      </c>
      <c r="L57" s="21" t="s">
        <v>30</v>
      </c>
      <c r="M57" s="21"/>
      <c r="N57" s="20" t="s">
        <v>213</v>
      </c>
      <c r="O57" s="20"/>
    </row>
    <row r="58" spans="1:15" ht="13.5" customHeight="1" x14ac:dyDescent="0.25">
      <c r="A58" s="1"/>
      <c r="B58" s="22">
        <v>46</v>
      </c>
      <c r="C58" s="22">
        <v>2023</v>
      </c>
      <c r="D58" s="22">
        <v>376</v>
      </c>
      <c r="E58" s="22" t="s">
        <v>228</v>
      </c>
      <c r="F58" s="22" t="s">
        <v>229</v>
      </c>
      <c r="G58" s="22" t="s">
        <v>230</v>
      </c>
      <c r="H58" s="22" t="s">
        <v>231</v>
      </c>
      <c r="I58" s="22" t="s">
        <v>94</v>
      </c>
      <c r="J58" s="23">
        <v>2000</v>
      </c>
      <c r="K58" s="22" t="s">
        <v>95</v>
      </c>
      <c r="L58" s="23" t="s">
        <v>30</v>
      </c>
      <c r="M58" s="23" t="s">
        <v>30</v>
      </c>
      <c r="N58" s="22"/>
      <c r="O58" s="22"/>
    </row>
    <row r="59" spans="1:15" ht="13.5" customHeight="1" x14ac:dyDescent="0.25">
      <c r="A59" s="1"/>
      <c r="B59" s="20">
        <v>47</v>
      </c>
      <c r="C59" s="20">
        <v>2023</v>
      </c>
      <c r="D59" s="20">
        <v>43674</v>
      </c>
      <c r="E59" s="20" t="s">
        <v>232</v>
      </c>
      <c r="F59" s="20" t="s">
        <v>233</v>
      </c>
      <c r="G59" s="20" t="s">
        <v>234</v>
      </c>
      <c r="H59" s="20" t="s">
        <v>235</v>
      </c>
      <c r="I59" s="20" t="s">
        <v>23</v>
      </c>
      <c r="J59" s="21">
        <v>2021</v>
      </c>
      <c r="K59" s="20" t="s">
        <v>67</v>
      </c>
      <c r="L59" s="21" t="s">
        <v>30</v>
      </c>
      <c r="M59" s="21"/>
      <c r="N59" s="20" t="s">
        <v>236</v>
      </c>
      <c r="O59" s="20"/>
    </row>
    <row r="60" spans="1:15" ht="13.5" customHeight="1" x14ac:dyDescent="0.25">
      <c r="A60" s="1"/>
      <c r="B60" s="22">
        <v>48</v>
      </c>
      <c r="C60" s="22">
        <v>2023</v>
      </c>
      <c r="D60" s="22">
        <v>10444</v>
      </c>
      <c r="E60" s="22" t="s">
        <v>237</v>
      </c>
      <c r="F60" s="22" t="s">
        <v>238</v>
      </c>
      <c r="G60" s="22" t="s">
        <v>239</v>
      </c>
      <c r="H60" s="22" t="s">
        <v>240</v>
      </c>
      <c r="I60" s="22" t="s">
        <v>23</v>
      </c>
      <c r="J60" s="23">
        <v>2000</v>
      </c>
      <c r="K60" s="22" t="s">
        <v>44</v>
      </c>
      <c r="L60" s="23" t="s">
        <v>30</v>
      </c>
      <c r="M60" s="23" t="s">
        <v>30</v>
      </c>
      <c r="N60" s="22"/>
      <c r="O60" s="22"/>
    </row>
    <row r="61" spans="1:15" ht="13.5" customHeight="1" x14ac:dyDescent="0.25">
      <c r="A61" s="1"/>
      <c r="B61" s="20">
        <v>49</v>
      </c>
      <c r="C61" s="20">
        <v>2023</v>
      </c>
      <c r="D61" s="20">
        <v>11634</v>
      </c>
      <c r="E61" s="20" t="s">
        <v>241</v>
      </c>
      <c r="F61" s="20" t="s">
        <v>242</v>
      </c>
      <c r="G61" s="20" t="s">
        <v>243</v>
      </c>
      <c r="H61" s="20" t="s">
        <v>244</v>
      </c>
      <c r="I61" s="20" t="s">
        <v>23</v>
      </c>
      <c r="J61" s="21">
        <v>2007</v>
      </c>
      <c r="K61" s="20" t="s">
        <v>44</v>
      </c>
      <c r="L61" s="21" t="s">
        <v>30</v>
      </c>
      <c r="M61" s="21" t="s">
        <v>30</v>
      </c>
      <c r="N61" s="20" t="s">
        <v>245</v>
      </c>
      <c r="O61" s="20"/>
    </row>
    <row r="62" spans="1:15" ht="13.5" customHeight="1" x14ac:dyDescent="0.25">
      <c r="A62" s="1"/>
      <c r="B62" s="22">
        <v>50</v>
      </c>
      <c r="C62" s="22">
        <v>2023</v>
      </c>
      <c r="D62" s="22">
        <v>13329</v>
      </c>
      <c r="E62" s="22" t="s">
        <v>246</v>
      </c>
      <c r="F62" s="22" t="s">
        <v>247</v>
      </c>
      <c r="G62" s="22" t="s">
        <v>248</v>
      </c>
      <c r="H62" s="22" t="s">
        <v>249</v>
      </c>
      <c r="I62" s="22" t="s">
        <v>62</v>
      </c>
      <c r="J62" s="23">
        <v>2011</v>
      </c>
      <c r="K62" s="22" t="s">
        <v>39</v>
      </c>
      <c r="L62" s="23" t="s">
        <v>30</v>
      </c>
      <c r="M62" s="23"/>
      <c r="N62" s="22" t="s">
        <v>250</v>
      </c>
      <c r="O62" s="22"/>
    </row>
    <row r="63" spans="1:15" ht="13.5" customHeight="1" x14ac:dyDescent="0.25">
      <c r="A63" s="1"/>
      <c r="B63" s="20">
        <v>51</v>
      </c>
      <c r="C63" s="20">
        <v>2023</v>
      </c>
      <c r="D63" s="20">
        <v>10459</v>
      </c>
      <c r="E63" s="20" t="s">
        <v>251</v>
      </c>
      <c r="F63" s="20" t="s">
        <v>252</v>
      </c>
      <c r="G63" s="20" t="s">
        <v>253</v>
      </c>
      <c r="H63" s="20" t="s">
        <v>254</v>
      </c>
      <c r="I63" s="20" t="s">
        <v>23</v>
      </c>
      <c r="J63" s="21">
        <v>2000</v>
      </c>
      <c r="K63" s="20" t="s">
        <v>73</v>
      </c>
      <c r="L63" s="21" t="s">
        <v>30</v>
      </c>
      <c r="M63" s="21" t="s">
        <v>30</v>
      </c>
      <c r="N63" s="20"/>
      <c r="O63" s="20"/>
    </row>
    <row r="64" spans="1:15" ht="13.5" customHeight="1" x14ac:dyDescent="0.25">
      <c r="A64" s="1"/>
      <c r="B64" s="22">
        <v>52</v>
      </c>
      <c r="C64" s="22">
        <v>2023</v>
      </c>
      <c r="D64" s="22">
        <v>40436</v>
      </c>
      <c r="E64" s="22" t="s">
        <v>255</v>
      </c>
      <c r="F64" s="22" t="s">
        <v>256</v>
      </c>
      <c r="G64" s="22" t="s">
        <v>257</v>
      </c>
      <c r="H64" s="22" t="s">
        <v>258</v>
      </c>
      <c r="I64" s="22" t="s">
        <v>259</v>
      </c>
      <c r="J64" s="23">
        <v>2013</v>
      </c>
      <c r="K64" s="22" t="s">
        <v>67</v>
      </c>
      <c r="L64" s="23" t="s">
        <v>30</v>
      </c>
      <c r="M64" s="23"/>
      <c r="N64" s="22" t="s">
        <v>260</v>
      </c>
      <c r="O64" s="22"/>
    </row>
    <row r="65" spans="1:15" ht="13.5" customHeight="1" x14ac:dyDescent="0.25">
      <c r="A65" s="1"/>
      <c r="B65" s="20">
        <v>53</v>
      </c>
      <c r="C65" s="20">
        <v>2023</v>
      </c>
      <c r="D65" s="20">
        <v>41252</v>
      </c>
      <c r="E65" s="20" t="s">
        <v>261</v>
      </c>
      <c r="F65" s="20" t="s">
        <v>262</v>
      </c>
      <c r="G65" s="20" t="s">
        <v>263</v>
      </c>
      <c r="H65" s="20" t="s">
        <v>264</v>
      </c>
      <c r="I65" s="20" t="s">
        <v>23</v>
      </c>
      <c r="J65" s="21">
        <v>2017</v>
      </c>
      <c r="K65" s="20" t="s">
        <v>203</v>
      </c>
      <c r="L65" s="21" t="s">
        <v>30</v>
      </c>
      <c r="M65" s="21"/>
      <c r="N65" s="20" t="s">
        <v>265</v>
      </c>
      <c r="O65" s="20"/>
    </row>
    <row r="66" spans="1:15" ht="13.5" customHeight="1" x14ac:dyDescent="0.25">
      <c r="A66" s="1"/>
      <c r="B66" s="22">
        <v>54</v>
      </c>
      <c r="C66" s="22">
        <v>2023</v>
      </c>
      <c r="D66" s="22">
        <v>43036</v>
      </c>
      <c r="E66" s="22" t="s">
        <v>266</v>
      </c>
      <c r="F66" s="22" t="s">
        <v>267</v>
      </c>
      <c r="G66" s="22" t="s">
        <v>268</v>
      </c>
      <c r="H66" s="22" t="s">
        <v>269</v>
      </c>
      <c r="I66" s="22" t="s">
        <v>223</v>
      </c>
      <c r="J66" s="23">
        <v>2020</v>
      </c>
      <c r="K66" s="22" t="s">
        <v>44</v>
      </c>
      <c r="L66" s="23" t="s">
        <v>30</v>
      </c>
      <c r="M66" s="23"/>
      <c r="N66" s="22" t="s">
        <v>270</v>
      </c>
      <c r="O66" s="22"/>
    </row>
    <row r="67" spans="1:15" ht="13.5" customHeight="1" x14ac:dyDescent="0.25">
      <c r="A67" s="1"/>
      <c r="B67" s="20">
        <v>55</v>
      </c>
      <c r="C67" s="20">
        <v>2023</v>
      </c>
      <c r="D67" s="20">
        <v>13596</v>
      </c>
      <c r="E67" s="20" t="s">
        <v>271</v>
      </c>
      <c r="F67" s="20" t="s">
        <v>272</v>
      </c>
      <c r="G67" s="20" t="s">
        <v>273</v>
      </c>
      <c r="H67" s="20" t="s">
        <v>274</v>
      </c>
      <c r="I67" s="20" t="s">
        <v>23</v>
      </c>
      <c r="J67" s="21">
        <v>2011</v>
      </c>
      <c r="K67" s="20" t="s">
        <v>34</v>
      </c>
      <c r="L67" s="21" t="s">
        <v>30</v>
      </c>
      <c r="M67" s="21"/>
      <c r="N67" s="20" t="s">
        <v>275</v>
      </c>
      <c r="O67" s="20"/>
    </row>
    <row r="68" spans="1:15" ht="13.5" customHeight="1" x14ac:dyDescent="0.25">
      <c r="A68" s="1"/>
      <c r="B68" s="22">
        <v>56</v>
      </c>
      <c r="C68" s="22">
        <v>2023</v>
      </c>
      <c r="D68" s="22">
        <v>42844</v>
      </c>
      <c r="E68" s="22" t="s">
        <v>276</v>
      </c>
      <c r="F68" s="22" t="s">
        <v>277</v>
      </c>
      <c r="G68" s="22" t="s">
        <v>278</v>
      </c>
      <c r="H68" s="22" t="s">
        <v>279</v>
      </c>
      <c r="I68" s="22" t="s">
        <v>23</v>
      </c>
      <c r="J68" s="23">
        <v>2020</v>
      </c>
      <c r="K68" s="22" t="s">
        <v>203</v>
      </c>
      <c r="L68" s="23" t="s">
        <v>30</v>
      </c>
      <c r="M68" s="23"/>
      <c r="N68" s="22" t="s">
        <v>48</v>
      </c>
      <c r="O68" s="22"/>
    </row>
    <row r="69" spans="1:15" ht="13.5" customHeight="1" x14ac:dyDescent="0.25">
      <c r="A69" s="1"/>
      <c r="B69" s="20">
        <v>57</v>
      </c>
      <c r="C69" s="20">
        <v>2023</v>
      </c>
      <c r="D69" s="20">
        <v>10</v>
      </c>
      <c r="E69" s="20" t="s">
        <v>280</v>
      </c>
      <c r="F69" s="20" t="s">
        <v>281</v>
      </c>
      <c r="G69" s="20" t="s">
        <v>282</v>
      </c>
      <c r="H69" s="20" t="s">
        <v>283</v>
      </c>
      <c r="I69" s="20" t="s">
        <v>223</v>
      </c>
      <c r="J69" s="21">
        <v>2000</v>
      </c>
      <c r="K69" s="20" t="s">
        <v>44</v>
      </c>
      <c r="L69" s="21" t="s">
        <v>30</v>
      </c>
      <c r="M69" s="21" t="s">
        <v>30</v>
      </c>
      <c r="N69" s="20"/>
      <c r="O69" s="20"/>
    </row>
    <row r="70" spans="1:15" ht="13.5" customHeight="1" x14ac:dyDescent="0.25">
      <c r="A70" s="1"/>
      <c r="B70" s="22">
        <v>58</v>
      </c>
      <c r="C70" s="22">
        <v>2023</v>
      </c>
      <c r="D70" s="22">
        <v>10453</v>
      </c>
      <c r="E70" s="22" t="s">
        <v>284</v>
      </c>
      <c r="F70" s="22" t="s">
        <v>285</v>
      </c>
      <c r="G70" s="22" t="s">
        <v>286</v>
      </c>
      <c r="H70" s="22" t="s">
        <v>287</v>
      </c>
      <c r="I70" s="22" t="s">
        <v>23</v>
      </c>
      <c r="J70" s="23">
        <v>2000</v>
      </c>
      <c r="K70" s="22" t="s">
        <v>95</v>
      </c>
      <c r="L70" s="23" t="s">
        <v>30</v>
      </c>
      <c r="M70" s="23" t="s">
        <v>30</v>
      </c>
      <c r="N70" s="22"/>
      <c r="O70" s="22"/>
    </row>
    <row r="71" spans="1:15" ht="13.5" customHeight="1" x14ac:dyDescent="0.25">
      <c r="A71" s="1"/>
      <c r="B71" s="20">
        <v>59</v>
      </c>
      <c r="C71" s="20">
        <v>2023</v>
      </c>
      <c r="D71" s="20">
        <v>41810</v>
      </c>
      <c r="E71" s="20" t="s">
        <v>288</v>
      </c>
      <c r="F71" s="20" t="s">
        <v>289</v>
      </c>
      <c r="G71" s="20" t="s">
        <v>290</v>
      </c>
      <c r="H71" s="20" t="s">
        <v>291</v>
      </c>
      <c r="I71" s="20" t="s">
        <v>23</v>
      </c>
      <c r="J71" s="21">
        <v>2017</v>
      </c>
      <c r="K71" s="20" t="s">
        <v>95</v>
      </c>
      <c r="L71" s="21" t="s">
        <v>30</v>
      </c>
      <c r="M71" s="21"/>
      <c r="N71" s="20" t="s">
        <v>265</v>
      </c>
      <c r="O71" s="20"/>
    </row>
    <row r="72" spans="1:15" ht="13.5" customHeight="1" x14ac:dyDescent="0.25">
      <c r="A72" s="1"/>
      <c r="B72" s="22">
        <v>60</v>
      </c>
      <c r="C72" s="22">
        <v>2023</v>
      </c>
      <c r="D72" s="22">
        <v>42401</v>
      </c>
      <c r="E72" s="22" t="s">
        <v>292</v>
      </c>
      <c r="F72" s="22" t="s">
        <v>293</v>
      </c>
      <c r="G72" s="22" t="s">
        <v>294</v>
      </c>
      <c r="H72" s="22" t="s">
        <v>295</v>
      </c>
      <c r="I72" s="22" t="s">
        <v>23</v>
      </c>
      <c r="J72" s="23">
        <v>2018</v>
      </c>
      <c r="K72" s="22" t="s">
        <v>67</v>
      </c>
      <c r="L72" s="23" t="s">
        <v>30</v>
      </c>
      <c r="M72" s="23"/>
      <c r="N72" s="22" t="s">
        <v>213</v>
      </c>
      <c r="O72" s="22"/>
    </row>
    <row r="73" spans="1:15" ht="13.5" customHeight="1" x14ac:dyDescent="0.25">
      <c r="A73" s="1"/>
      <c r="B73" s="20">
        <v>61</v>
      </c>
      <c r="C73" s="20">
        <v>2023</v>
      </c>
      <c r="D73" s="20">
        <v>42496</v>
      </c>
      <c r="E73" s="20" t="s">
        <v>296</v>
      </c>
      <c r="F73" s="20" t="s">
        <v>297</v>
      </c>
      <c r="G73" s="20" t="s">
        <v>298</v>
      </c>
      <c r="H73" s="20" t="s">
        <v>299</v>
      </c>
      <c r="I73" s="20" t="s">
        <v>23</v>
      </c>
      <c r="J73" s="21">
        <v>2013</v>
      </c>
      <c r="K73" s="20" t="s">
        <v>67</v>
      </c>
      <c r="L73" s="21" t="s">
        <v>30</v>
      </c>
      <c r="M73" s="21"/>
      <c r="N73" s="20" t="s">
        <v>123</v>
      </c>
      <c r="O73" s="20"/>
    </row>
    <row r="74" spans="1:15" ht="13.5" customHeight="1" x14ac:dyDescent="0.25">
      <c r="A74" s="1"/>
      <c r="B74" s="22">
        <v>62</v>
      </c>
      <c r="C74" s="22">
        <v>2023</v>
      </c>
      <c r="D74" s="22">
        <v>266</v>
      </c>
      <c r="E74" s="22" t="s">
        <v>300</v>
      </c>
      <c r="F74" s="22" t="s">
        <v>301</v>
      </c>
      <c r="G74" s="22" t="s">
        <v>302</v>
      </c>
      <c r="H74" s="22" t="s">
        <v>303</v>
      </c>
      <c r="I74" s="22" t="s">
        <v>23</v>
      </c>
      <c r="J74" s="23">
        <v>2000</v>
      </c>
      <c r="K74" s="22" t="s">
        <v>39</v>
      </c>
      <c r="L74" s="23" t="s">
        <v>30</v>
      </c>
      <c r="M74" s="23" t="s">
        <v>30</v>
      </c>
      <c r="N74" s="22"/>
      <c r="O74" s="22"/>
    </row>
    <row r="75" spans="1:15" ht="13.5" customHeight="1" x14ac:dyDescent="0.25">
      <c r="A75" s="1"/>
      <c r="B75" s="20">
        <v>63</v>
      </c>
      <c r="C75" s="20">
        <v>2023</v>
      </c>
      <c r="D75" s="20">
        <v>42761</v>
      </c>
      <c r="E75" s="20" t="s">
        <v>304</v>
      </c>
      <c r="F75" s="20" t="s">
        <v>305</v>
      </c>
      <c r="G75" s="20" t="s">
        <v>306</v>
      </c>
      <c r="H75" s="20" t="s">
        <v>307</v>
      </c>
      <c r="I75" s="20" t="s">
        <v>23</v>
      </c>
      <c r="J75" s="21">
        <v>2020</v>
      </c>
      <c r="K75" s="20" t="s">
        <v>203</v>
      </c>
      <c r="L75" s="21" t="s">
        <v>30</v>
      </c>
      <c r="M75" s="21"/>
      <c r="N75" s="20" t="s">
        <v>48</v>
      </c>
      <c r="O75" s="20"/>
    </row>
    <row r="76" spans="1:15" ht="13.5" customHeight="1" x14ac:dyDescent="0.25">
      <c r="A76" s="1"/>
      <c r="B76" s="22">
        <v>64</v>
      </c>
      <c r="C76" s="22">
        <v>2023</v>
      </c>
      <c r="D76" s="22">
        <v>10437</v>
      </c>
      <c r="E76" s="22" t="s">
        <v>308</v>
      </c>
      <c r="F76" s="22" t="s">
        <v>309</v>
      </c>
      <c r="G76" s="22" t="s">
        <v>310</v>
      </c>
      <c r="H76" s="22" t="s">
        <v>311</v>
      </c>
      <c r="I76" s="22" t="s">
        <v>23</v>
      </c>
      <c r="J76" s="23">
        <v>2000</v>
      </c>
      <c r="K76" s="22" t="s">
        <v>184</v>
      </c>
      <c r="L76" s="23" t="s">
        <v>30</v>
      </c>
      <c r="M76" s="23" t="s">
        <v>30</v>
      </c>
      <c r="N76" s="22"/>
      <c r="O76" s="22"/>
    </row>
    <row r="77" spans="1:15" ht="13.5" customHeight="1" x14ac:dyDescent="0.25">
      <c r="A77" s="1"/>
      <c r="B77" s="20">
        <v>65</v>
      </c>
      <c r="C77" s="20">
        <v>2023</v>
      </c>
      <c r="D77" s="20">
        <v>13370</v>
      </c>
      <c r="E77" s="20" t="s">
        <v>312</v>
      </c>
      <c r="F77" s="20" t="s">
        <v>313</v>
      </c>
      <c r="G77" s="20" t="s">
        <v>314</v>
      </c>
      <c r="H77" s="20" t="s">
        <v>315</v>
      </c>
      <c r="I77" s="20" t="s">
        <v>23</v>
      </c>
      <c r="J77" s="21">
        <v>2011</v>
      </c>
      <c r="K77" s="20" t="s">
        <v>44</v>
      </c>
      <c r="L77" s="21" t="s">
        <v>30</v>
      </c>
      <c r="M77" s="21"/>
      <c r="N77" s="20" t="s">
        <v>275</v>
      </c>
      <c r="O77" s="20"/>
    </row>
    <row r="78" spans="1:15" ht="13.5" customHeight="1" x14ac:dyDescent="0.25">
      <c r="A78" s="1"/>
      <c r="B78" s="22">
        <v>66</v>
      </c>
      <c r="C78" s="22">
        <v>2023</v>
      </c>
      <c r="D78" s="22">
        <v>12126</v>
      </c>
      <c r="E78" s="22" t="s">
        <v>316</v>
      </c>
      <c r="F78" s="22" t="s">
        <v>317</v>
      </c>
      <c r="G78" s="22" t="s">
        <v>318</v>
      </c>
      <c r="H78" s="22" t="s">
        <v>319</v>
      </c>
      <c r="I78" s="22" t="s">
        <v>23</v>
      </c>
      <c r="J78" s="23">
        <v>2000</v>
      </c>
      <c r="K78" s="22" t="s">
        <v>184</v>
      </c>
      <c r="L78" s="23" t="s">
        <v>30</v>
      </c>
      <c r="M78" s="23" t="s">
        <v>30</v>
      </c>
      <c r="N78" s="22" t="s">
        <v>74</v>
      </c>
      <c r="O78" s="22"/>
    </row>
    <row r="79" spans="1:15" ht="13.5" customHeight="1" x14ac:dyDescent="0.25">
      <c r="A79" s="1"/>
      <c r="B79" s="20">
        <v>67</v>
      </c>
      <c r="C79" s="20">
        <v>2023</v>
      </c>
      <c r="D79" s="20">
        <v>40003</v>
      </c>
      <c r="E79" s="20" t="s">
        <v>320</v>
      </c>
      <c r="F79" s="20" t="s">
        <v>321</v>
      </c>
      <c r="G79" s="20" t="s">
        <v>322</v>
      </c>
      <c r="H79" s="20" t="s">
        <v>323</v>
      </c>
      <c r="I79" s="20" t="s">
        <v>23</v>
      </c>
      <c r="J79" s="21">
        <v>2012</v>
      </c>
      <c r="K79" s="20" t="s">
        <v>34</v>
      </c>
      <c r="L79" s="21" t="s">
        <v>30</v>
      </c>
      <c r="M79" s="21"/>
      <c r="N79" s="20" t="s">
        <v>324</v>
      </c>
      <c r="O79" s="20"/>
    </row>
    <row r="80" spans="1:15" ht="13.5" customHeight="1" x14ac:dyDescent="0.25">
      <c r="A80" s="1"/>
      <c r="B80" s="22">
        <v>68</v>
      </c>
      <c r="C80" s="22">
        <v>2023</v>
      </c>
      <c r="D80" s="22">
        <v>10460</v>
      </c>
      <c r="E80" s="22" t="s">
        <v>325</v>
      </c>
      <c r="F80" s="22" t="s">
        <v>326</v>
      </c>
      <c r="G80" s="22" t="s">
        <v>327</v>
      </c>
      <c r="H80" s="22" t="s">
        <v>328</v>
      </c>
      <c r="I80" s="22" t="s">
        <v>23</v>
      </c>
      <c r="J80" s="23">
        <v>2000</v>
      </c>
      <c r="K80" s="22" t="s">
        <v>73</v>
      </c>
      <c r="L80" s="23" t="s">
        <v>30</v>
      </c>
      <c r="M80" s="23" t="s">
        <v>30</v>
      </c>
      <c r="N80" s="22"/>
      <c r="O80" s="22"/>
    </row>
    <row r="81" spans="1:15" ht="13.5" customHeight="1" x14ac:dyDescent="0.25">
      <c r="A81" s="1"/>
      <c r="B81" s="20">
        <v>69</v>
      </c>
      <c r="C81" s="20">
        <v>2023</v>
      </c>
      <c r="D81" s="20">
        <v>10457</v>
      </c>
      <c r="E81" s="20" t="s">
        <v>329</v>
      </c>
      <c r="F81" s="20" t="s">
        <v>330</v>
      </c>
      <c r="G81" s="20" t="s">
        <v>331</v>
      </c>
      <c r="H81" s="20" t="s">
        <v>332</v>
      </c>
      <c r="I81" s="20" t="s">
        <v>23</v>
      </c>
      <c r="J81" s="21">
        <v>2000</v>
      </c>
      <c r="K81" s="20" t="s">
        <v>34</v>
      </c>
      <c r="L81" s="21" t="s">
        <v>30</v>
      </c>
      <c r="M81" s="21" t="s">
        <v>30</v>
      </c>
      <c r="N81" s="20"/>
      <c r="O81" s="20"/>
    </row>
    <row r="82" spans="1:15" ht="13.5" customHeight="1" x14ac:dyDescent="0.25">
      <c r="A82" s="1"/>
      <c r="B82" s="22">
        <v>70</v>
      </c>
      <c r="C82" s="22">
        <v>2023</v>
      </c>
      <c r="D82" s="22">
        <v>13593</v>
      </c>
      <c r="E82" s="22" t="s">
        <v>333</v>
      </c>
      <c r="F82" s="22" t="s">
        <v>334</v>
      </c>
      <c r="G82" s="22" t="s">
        <v>335</v>
      </c>
      <c r="H82" s="22" t="s">
        <v>336</v>
      </c>
      <c r="I82" s="22" t="s">
        <v>23</v>
      </c>
      <c r="J82" s="23">
        <v>2007</v>
      </c>
      <c r="K82" s="22" t="s">
        <v>34</v>
      </c>
      <c r="L82" s="23" t="s">
        <v>30</v>
      </c>
      <c r="M82" s="23"/>
      <c r="N82" s="22" t="s">
        <v>275</v>
      </c>
      <c r="O82" s="22"/>
    </row>
    <row r="83" spans="1:15" ht="13.5" customHeight="1" x14ac:dyDescent="0.25">
      <c r="A83" s="1"/>
      <c r="B83" s="20">
        <v>71</v>
      </c>
      <c r="C83" s="20">
        <v>2023</v>
      </c>
      <c r="D83" s="20">
        <v>146</v>
      </c>
      <c r="E83" s="20" t="s">
        <v>337</v>
      </c>
      <c r="F83" s="20" t="s">
        <v>338</v>
      </c>
      <c r="G83" s="20" t="s">
        <v>339</v>
      </c>
      <c r="H83" s="20" t="s">
        <v>340</v>
      </c>
      <c r="I83" s="20" t="s">
        <v>23</v>
      </c>
      <c r="J83" s="21">
        <v>2000</v>
      </c>
      <c r="K83" s="20" t="s">
        <v>114</v>
      </c>
      <c r="L83" s="21" t="s">
        <v>30</v>
      </c>
      <c r="M83" s="21" t="s">
        <v>30</v>
      </c>
      <c r="N83" s="20"/>
      <c r="O83" s="20"/>
    </row>
    <row r="84" spans="1:15" ht="13.5" customHeight="1" x14ac:dyDescent="0.25">
      <c r="A84" s="1"/>
      <c r="B84" s="22">
        <v>72</v>
      </c>
      <c r="C84" s="22">
        <v>2023</v>
      </c>
      <c r="D84" s="22">
        <v>43681</v>
      </c>
      <c r="E84" s="22" t="s">
        <v>341</v>
      </c>
      <c r="F84" s="22" t="s">
        <v>342</v>
      </c>
      <c r="G84" s="22" t="s">
        <v>343</v>
      </c>
      <c r="H84" s="22" t="s">
        <v>344</v>
      </c>
      <c r="I84" s="22" t="s">
        <v>23</v>
      </c>
      <c r="J84" s="23">
        <v>2021</v>
      </c>
      <c r="K84" s="22" t="s">
        <v>114</v>
      </c>
      <c r="L84" s="23" t="s">
        <v>30</v>
      </c>
      <c r="M84" s="23"/>
      <c r="N84" s="22" t="s">
        <v>236</v>
      </c>
      <c r="O84" s="22"/>
    </row>
    <row r="85" spans="1:15" ht="13.5" customHeight="1" x14ac:dyDescent="0.25">
      <c r="A85" s="1"/>
      <c r="B85" s="20">
        <v>73</v>
      </c>
      <c r="C85" s="20">
        <v>2023</v>
      </c>
      <c r="D85" s="20">
        <v>10461</v>
      </c>
      <c r="E85" s="20" t="s">
        <v>345</v>
      </c>
      <c r="F85" s="20" t="s">
        <v>346</v>
      </c>
      <c r="G85" s="20" t="s">
        <v>347</v>
      </c>
      <c r="H85" s="20" t="s">
        <v>348</v>
      </c>
      <c r="I85" s="20" t="s">
        <v>23</v>
      </c>
      <c r="J85" s="21">
        <v>2000</v>
      </c>
      <c r="K85" s="20" t="s">
        <v>39</v>
      </c>
      <c r="L85" s="21" t="s">
        <v>30</v>
      </c>
      <c r="M85" s="21" t="s">
        <v>30</v>
      </c>
      <c r="N85" s="20"/>
      <c r="O85" s="20"/>
    </row>
    <row r="86" spans="1:15" ht="13.5" customHeight="1" x14ac:dyDescent="0.25">
      <c r="A86" s="1"/>
      <c r="B86" s="22">
        <v>74</v>
      </c>
      <c r="C86" s="22">
        <v>2023</v>
      </c>
      <c r="D86" s="22">
        <v>11869</v>
      </c>
      <c r="E86" s="22" t="s">
        <v>349</v>
      </c>
      <c r="F86" s="22" t="s">
        <v>350</v>
      </c>
      <c r="G86" s="22"/>
      <c r="H86" s="22" t="s">
        <v>351</v>
      </c>
      <c r="I86" s="22" t="s">
        <v>23</v>
      </c>
      <c r="J86" s="23">
        <v>2008</v>
      </c>
      <c r="K86" s="22" t="s">
        <v>95</v>
      </c>
      <c r="L86" s="23"/>
      <c r="M86" s="23" t="s">
        <v>30</v>
      </c>
      <c r="N86" s="22" t="s">
        <v>352</v>
      </c>
      <c r="O86" s="22"/>
    </row>
    <row r="87" spans="1:15" ht="13.5" customHeight="1" x14ac:dyDescent="0.25">
      <c r="A87" s="1"/>
      <c r="B87" s="20">
        <v>75</v>
      </c>
      <c r="C87" s="20">
        <v>2023</v>
      </c>
      <c r="D87" s="20">
        <v>15009</v>
      </c>
      <c r="E87" s="20" t="s">
        <v>353</v>
      </c>
      <c r="F87" s="20" t="s">
        <v>354</v>
      </c>
      <c r="G87" s="20" t="s">
        <v>355</v>
      </c>
      <c r="H87" s="20" t="s">
        <v>356</v>
      </c>
      <c r="I87" s="20" t="s">
        <v>357</v>
      </c>
      <c r="J87" s="21">
        <v>2013</v>
      </c>
      <c r="K87" s="20" t="s">
        <v>39</v>
      </c>
      <c r="L87" s="21" t="s">
        <v>30</v>
      </c>
      <c r="M87" s="21"/>
      <c r="N87" s="20"/>
      <c r="O87" s="20"/>
    </row>
    <row r="88" spans="1:15" ht="13.5" customHeight="1" x14ac:dyDescent="0.25">
      <c r="A88" s="1"/>
      <c r="B88" s="22">
        <v>76</v>
      </c>
      <c r="C88" s="22">
        <v>2023</v>
      </c>
      <c r="D88" s="22">
        <v>10469</v>
      </c>
      <c r="E88" s="22" t="s">
        <v>358</v>
      </c>
      <c r="F88" s="22" t="s">
        <v>359</v>
      </c>
      <c r="G88" s="22" t="s">
        <v>360</v>
      </c>
      <c r="H88" s="22" t="s">
        <v>361</v>
      </c>
      <c r="I88" s="22" t="s">
        <v>23</v>
      </c>
      <c r="J88" s="23">
        <v>2000</v>
      </c>
      <c r="K88" s="22" t="s">
        <v>44</v>
      </c>
      <c r="L88" s="23" t="s">
        <v>30</v>
      </c>
      <c r="M88" s="23" t="s">
        <v>30</v>
      </c>
      <c r="N88" s="22"/>
      <c r="O88" s="22"/>
    </row>
    <row r="89" spans="1:15" ht="13.5" customHeight="1" x14ac:dyDescent="0.25">
      <c r="A89" s="1"/>
      <c r="B89" s="20">
        <v>77</v>
      </c>
      <c r="C89" s="20">
        <v>2023</v>
      </c>
      <c r="D89" s="20">
        <v>12</v>
      </c>
      <c r="E89" s="20" t="s">
        <v>362</v>
      </c>
      <c r="F89" s="20" t="s">
        <v>363</v>
      </c>
      <c r="G89" s="20" t="s">
        <v>364</v>
      </c>
      <c r="H89" s="20" t="s">
        <v>365</v>
      </c>
      <c r="I89" s="20" t="s">
        <v>223</v>
      </c>
      <c r="J89" s="21">
        <v>2000</v>
      </c>
      <c r="K89" s="20" t="s">
        <v>44</v>
      </c>
      <c r="L89" s="21" t="s">
        <v>30</v>
      </c>
      <c r="M89" s="21" t="s">
        <v>30</v>
      </c>
      <c r="N89" s="20"/>
      <c r="O89" s="20"/>
    </row>
    <row r="90" spans="1:15" ht="13.5" customHeight="1" x14ac:dyDescent="0.25">
      <c r="A90" s="1"/>
      <c r="B90" s="22">
        <v>78</v>
      </c>
      <c r="C90" s="22">
        <v>2023</v>
      </c>
      <c r="D90" s="22">
        <v>10468</v>
      </c>
      <c r="E90" s="22" t="s">
        <v>366</v>
      </c>
      <c r="F90" s="22" t="s">
        <v>367</v>
      </c>
      <c r="G90" s="22" t="s">
        <v>368</v>
      </c>
      <c r="H90" s="22" t="s">
        <v>369</v>
      </c>
      <c r="I90" s="22" t="s">
        <v>23</v>
      </c>
      <c r="J90" s="23">
        <v>2000</v>
      </c>
      <c r="K90" s="22" t="s">
        <v>44</v>
      </c>
      <c r="L90" s="23" t="s">
        <v>30</v>
      </c>
      <c r="M90" s="23" t="s">
        <v>30</v>
      </c>
      <c r="N90" s="22"/>
      <c r="O90" s="22"/>
    </row>
    <row r="91" spans="1:15" ht="13.5" customHeight="1" x14ac:dyDescent="0.25">
      <c r="A91" s="1"/>
      <c r="B91" s="20">
        <v>79</v>
      </c>
      <c r="C91" s="20">
        <v>2023</v>
      </c>
      <c r="D91" s="20">
        <v>453</v>
      </c>
      <c r="E91" s="20" t="s">
        <v>370</v>
      </c>
      <c r="F91" s="20" t="s">
        <v>371</v>
      </c>
      <c r="G91" s="20" t="s">
        <v>372</v>
      </c>
      <c r="H91" s="20" t="s">
        <v>373</v>
      </c>
      <c r="I91" s="20" t="s">
        <v>23</v>
      </c>
      <c r="J91" s="21">
        <v>2000</v>
      </c>
      <c r="K91" s="20" t="s">
        <v>114</v>
      </c>
      <c r="L91" s="21" t="s">
        <v>30</v>
      </c>
      <c r="M91" s="21" t="s">
        <v>30</v>
      </c>
      <c r="N91" s="20"/>
      <c r="O91" s="20"/>
    </row>
    <row r="92" spans="1:15" ht="13.5" customHeight="1" x14ac:dyDescent="0.25">
      <c r="A92" s="1"/>
      <c r="B92" s="22">
        <v>80</v>
      </c>
      <c r="C92" s="22">
        <v>2023</v>
      </c>
      <c r="D92" s="22">
        <v>15007</v>
      </c>
      <c r="E92" s="22" t="s">
        <v>374</v>
      </c>
      <c r="F92" s="22" t="s">
        <v>375</v>
      </c>
      <c r="G92" s="22" t="s">
        <v>376</v>
      </c>
      <c r="H92" s="22" t="s">
        <v>377</v>
      </c>
      <c r="I92" s="22" t="s">
        <v>357</v>
      </c>
      <c r="J92" s="23">
        <v>2000</v>
      </c>
      <c r="K92" s="22" t="s">
        <v>39</v>
      </c>
      <c r="L92" s="23" t="s">
        <v>30</v>
      </c>
      <c r="M92" s="23"/>
      <c r="N92" s="22"/>
      <c r="O92" s="22"/>
    </row>
    <row r="93" spans="1:15" ht="13.5" customHeight="1" x14ac:dyDescent="0.25">
      <c r="A93" s="1"/>
      <c r="B93" s="20">
        <v>81</v>
      </c>
      <c r="C93" s="20">
        <v>2023</v>
      </c>
      <c r="D93" s="20">
        <v>40629</v>
      </c>
      <c r="E93" s="20" t="s">
        <v>378</v>
      </c>
      <c r="F93" s="20" t="s">
        <v>379</v>
      </c>
      <c r="G93" s="20"/>
      <c r="H93" s="20" t="s">
        <v>380</v>
      </c>
      <c r="I93" s="20" t="s">
        <v>357</v>
      </c>
      <c r="J93" s="21">
        <v>2014</v>
      </c>
      <c r="K93" s="20" t="s">
        <v>39</v>
      </c>
      <c r="L93" s="21"/>
      <c r="M93" s="21"/>
      <c r="N93" s="20" t="s">
        <v>381</v>
      </c>
      <c r="O93" s="20"/>
    </row>
    <row r="94" spans="1:15" ht="13.5" customHeight="1" x14ac:dyDescent="0.25">
      <c r="A94" s="1"/>
      <c r="B94" s="22">
        <v>82</v>
      </c>
      <c r="C94" s="22">
        <v>2023</v>
      </c>
      <c r="D94" s="22">
        <v>35</v>
      </c>
      <c r="E94" s="22" t="s">
        <v>382</v>
      </c>
      <c r="F94" s="22" t="s">
        <v>383</v>
      </c>
      <c r="G94" s="22" t="s">
        <v>384</v>
      </c>
      <c r="H94" s="22" t="s">
        <v>385</v>
      </c>
      <c r="I94" s="22" t="s">
        <v>23</v>
      </c>
      <c r="J94" s="23">
        <v>2005</v>
      </c>
      <c r="K94" s="22" t="s">
        <v>34</v>
      </c>
      <c r="L94" s="23" t="s">
        <v>30</v>
      </c>
      <c r="M94" s="23" t="s">
        <v>30</v>
      </c>
      <c r="N94" s="22"/>
      <c r="O94" s="22"/>
    </row>
    <row r="95" spans="1:15" ht="13.5" customHeight="1" x14ac:dyDescent="0.25">
      <c r="A95" s="1"/>
      <c r="B95" s="20">
        <v>83</v>
      </c>
      <c r="C95" s="20">
        <v>2023</v>
      </c>
      <c r="D95" s="20">
        <v>13280</v>
      </c>
      <c r="E95" s="20" t="s">
        <v>386</v>
      </c>
      <c r="F95" s="20" t="s">
        <v>387</v>
      </c>
      <c r="G95" s="20" t="s">
        <v>388</v>
      </c>
      <c r="H95" s="20" t="s">
        <v>389</v>
      </c>
      <c r="I95" s="20" t="s">
        <v>23</v>
      </c>
      <c r="J95" s="21">
        <v>2010</v>
      </c>
      <c r="K95" s="20" t="s">
        <v>95</v>
      </c>
      <c r="L95" s="21" t="s">
        <v>30</v>
      </c>
      <c r="M95" s="21"/>
      <c r="N95" s="20" t="s">
        <v>173</v>
      </c>
      <c r="O95" s="20"/>
    </row>
    <row r="96" spans="1:15" ht="13.5" customHeight="1" x14ac:dyDescent="0.25">
      <c r="A96" s="1"/>
      <c r="B96" s="22">
        <v>84</v>
      </c>
      <c r="C96" s="22">
        <v>2023</v>
      </c>
      <c r="D96" s="22">
        <v>12103</v>
      </c>
      <c r="E96" s="22" t="s">
        <v>390</v>
      </c>
      <c r="F96" s="22" t="s">
        <v>391</v>
      </c>
      <c r="G96" s="22" t="s">
        <v>392</v>
      </c>
      <c r="H96" s="22" t="s">
        <v>393</v>
      </c>
      <c r="I96" s="22" t="s">
        <v>23</v>
      </c>
      <c r="J96" s="23">
        <v>2000</v>
      </c>
      <c r="K96" s="22" t="s">
        <v>394</v>
      </c>
      <c r="L96" s="23" t="s">
        <v>30</v>
      </c>
      <c r="M96" s="23" t="s">
        <v>30</v>
      </c>
      <c r="N96" s="22" t="s">
        <v>35</v>
      </c>
      <c r="O96" s="22"/>
    </row>
    <row r="97" spans="1:15" ht="13.5" customHeight="1" x14ac:dyDescent="0.25">
      <c r="A97" s="1"/>
      <c r="B97" s="20">
        <v>85</v>
      </c>
      <c r="C97" s="20">
        <v>2023</v>
      </c>
      <c r="D97" s="20">
        <v>10465</v>
      </c>
      <c r="E97" s="20" t="s">
        <v>395</v>
      </c>
      <c r="F97" s="20" t="s">
        <v>396</v>
      </c>
      <c r="G97" s="20" t="s">
        <v>397</v>
      </c>
      <c r="H97" s="20" t="s">
        <v>398</v>
      </c>
      <c r="I97" s="20" t="s">
        <v>23</v>
      </c>
      <c r="J97" s="21">
        <v>2000</v>
      </c>
      <c r="K97" s="20" t="s">
        <v>203</v>
      </c>
      <c r="L97" s="21" t="s">
        <v>30</v>
      </c>
      <c r="M97" s="21" t="s">
        <v>30</v>
      </c>
      <c r="N97" s="20"/>
      <c r="O97" s="20"/>
    </row>
    <row r="98" spans="1:15" ht="13.5" customHeight="1" x14ac:dyDescent="0.25">
      <c r="A98" s="1"/>
      <c r="B98" s="22">
        <v>86</v>
      </c>
      <c r="C98" s="22">
        <v>2023</v>
      </c>
      <c r="D98" s="22">
        <v>12230</v>
      </c>
      <c r="E98" s="22" t="s">
        <v>399</v>
      </c>
      <c r="F98" s="22" t="s">
        <v>400</v>
      </c>
      <c r="G98" s="22" t="s">
        <v>401</v>
      </c>
      <c r="H98" s="22" t="s">
        <v>402</v>
      </c>
      <c r="I98" s="22" t="s">
        <v>23</v>
      </c>
      <c r="J98" s="23">
        <v>2000</v>
      </c>
      <c r="K98" s="22" t="s">
        <v>34</v>
      </c>
      <c r="L98" s="23" t="s">
        <v>30</v>
      </c>
      <c r="M98" s="23" t="s">
        <v>30</v>
      </c>
      <c r="N98" s="22" t="s">
        <v>35</v>
      </c>
      <c r="O98" s="22"/>
    </row>
    <row r="99" spans="1:15" ht="13.5" customHeight="1" x14ac:dyDescent="0.25">
      <c r="A99" s="1"/>
      <c r="B99" s="20">
        <v>87</v>
      </c>
      <c r="C99" s="20">
        <v>2023</v>
      </c>
      <c r="D99" s="20">
        <v>726</v>
      </c>
      <c r="E99" s="20" t="s">
        <v>403</v>
      </c>
      <c r="F99" s="20" t="s">
        <v>404</v>
      </c>
      <c r="G99" s="20" t="s">
        <v>405</v>
      </c>
      <c r="H99" s="20" t="s">
        <v>406</v>
      </c>
      <c r="I99" s="20" t="s">
        <v>23</v>
      </c>
      <c r="J99" s="21">
        <v>2000</v>
      </c>
      <c r="K99" s="20" t="s">
        <v>34</v>
      </c>
      <c r="L99" s="21" t="s">
        <v>30</v>
      </c>
      <c r="M99" s="21" t="s">
        <v>30</v>
      </c>
      <c r="N99" s="20"/>
      <c r="O99" s="20"/>
    </row>
    <row r="100" spans="1:15" ht="13.5" customHeight="1" x14ac:dyDescent="0.25">
      <c r="A100" s="1"/>
      <c r="B100" s="22">
        <v>88</v>
      </c>
      <c r="C100" s="22">
        <v>2023</v>
      </c>
      <c r="D100" s="22">
        <v>13162</v>
      </c>
      <c r="E100" s="22" t="s">
        <v>407</v>
      </c>
      <c r="F100" s="22" t="s">
        <v>408</v>
      </c>
      <c r="G100" s="22" t="s">
        <v>409</v>
      </c>
      <c r="H100" s="22" t="s">
        <v>410</v>
      </c>
      <c r="I100" s="22" t="s">
        <v>23</v>
      </c>
      <c r="J100" s="23">
        <v>2011</v>
      </c>
      <c r="K100" s="22" t="s">
        <v>29</v>
      </c>
      <c r="L100" s="23" t="s">
        <v>30</v>
      </c>
      <c r="M100" s="23"/>
      <c r="N100" s="22" t="s">
        <v>250</v>
      </c>
      <c r="O100" s="22"/>
    </row>
    <row r="101" spans="1:15" ht="13.5" customHeight="1" x14ac:dyDescent="0.25">
      <c r="A101" s="1"/>
      <c r="B101" s="20">
        <v>89</v>
      </c>
      <c r="C101" s="20">
        <v>2023</v>
      </c>
      <c r="D101" s="20">
        <v>10470</v>
      </c>
      <c r="E101" s="20" t="s">
        <v>411</v>
      </c>
      <c r="F101" s="20" t="s">
        <v>412</v>
      </c>
      <c r="G101" s="20" t="s">
        <v>413</v>
      </c>
      <c r="H101" s="20" t="s">
        <v>414</v>
      </c>
      <c r="I101" s="20" t="s">
        <v>23</v>
      </c>
      <c r="J101" s="21">
        <v>2000</v>
      </c>
      <c r="K101" s="20" t="s">
        <v>67</v>
      </c>
      <c r="L101" s="21" t="s">
        <v>30</v>
      </c>
      <c r="M101" s="21" t="s">
        <v>30</v>
      </c>
      <c r="N101" s="20"/>
      <c r="O101" s="20"/>
    </row>
    <row r="102" spans="1:15" ht="13.5" customHeight="1" x14ac:dyDescent="0.25">
      <c r="A102" s="1"/>
      <c r="B102" s="22">
        <v>90</v>
      </c>
      <c r="C102" s="22">
        <v>2023</v>
      </c>
      <c r="D102" s="22">
        <v>13324</v>
      </c>
      <c r="E102" s="22" t="s">
        <v>415</v>
      </c>
      <c r="F102" s="22" t="s">
        <v>416</v>
      </c>
      <c r="G102" s="22" t="s">
        <v>417</v>
      </c>
      <c r="H102" s="22" t="s">
        <v>418</v>
      </c>
      <c r="I102" s="22" t="s">
        <v>223</v>
      </c>
      <c r="J102" s="23">
        <v>2011</v>
      </c>
      <c r="K102" s="22" t="s">
        <v>44</v>
      </c>
      <c r="L102" s="23" t="s">
        <v>30</v>
      </c>
      <c r="M102" s="23"/>
      <c r="N102" s="22" t="s">
        <v>250</v>
      </c>
      <c r="O102" s="22"/>
    </row>
    <row r="103" spans="1:15" ht="13.5" customHeight="1" x14ac:dyDescent="0.25">
      <c r="A103" s="1"/>
      <c r="B103" s="20">
        <v>91</v>
      </c>
      <c r="C103" s="20">
        <v>2023</v>
      </c>
      <c r="D103" s="20">
        <v>10476</v>
      </c>
      <c r="E103" s="20" t="s">
        <v>419</v>
      </c>
      <c r="F103" s="20" t="s">
        <v>420</v>
      </c>
      <c r="G103" s="20" t="s">
        <v>421</v>
      </c>
      <c r="H103" s="20" t="s">
        <v>422</v>
      </c>
      <c r="I103" s="20" t="s">
        <v>100</v>
      </c>
      <c r="J103" s="21">
        <v>2000</v>
      </c>
      <c r="K103" s="20" t="s">
        <v>44</v>
      </c>
      <c r="L103" s="21" t="s">
        <v>30</v>
      </c>
      <c r="M103" s="21" t="s">
        <v>30</v>
      </c>
      <c r="N103" s="20"/>
      <c r="O103" s="20"/>
    </row>
    <row r="104" spans="1:15" ht="13.5" customHeight="1" x14ac:dyDescent="0.25">
      <c r="A104" s="1"/>
      <c r="B104" s="22">
        <v>92</v>
      </c>
      <c r="C104" s="22">
        <v>2023</v>
      </c>
      <c r="D104" s="22">
        <v>216</v>
      </c>
      <c r="E104" s="22" t="s">
        <v>423</v>
      </c>
      <c r="F104" s="22" t="s">
        <v>424</v>
      </c>
      <c r="G104" s="22" t="s">
        <v>425</v>
      </c>
      <c r="H104" s="22" t="s">
        <v>426</v>
      </c>
      <c r="I104" s="22" t="s">
        <v>23</v>
      </c>
      <c r="J104" s="23">
        <v>2000</v>
      </c>
      <c r="K104" s="22" t="s">
        <v>24</v>
      </c>
      <c r="L104" s="23" t="s">
        <v>30</v>
      </c>
      <c r="M104" s="23" t="s">
        <v>30</v>
      </c>
      <c r="N104" s="22"/>
      <c r="O104" s="22"/>
    </row>
    <row r="105" spans="1:15" ht="13.5" customHeight="1" x14ac:dyDescent="0.25">
      <c r="A105" s="1"/>
      <c r="B105" s="20">
        <v>93</v>
      </c>
      <c r="C105" s="20">
        <v>2023</v>
      </c>
      <c r="D105" s="20">
        <v>12565</v>
      </c>
      <c r="E105" s="20" t="s">
        <v>427</v>
      </c>
      <c r="F105" s="20" t="s">
        <v>428</v>
      </c>
      <c r="G105" s="20" t="s">
        <v>429</v>
      </c>
      <c r="H105" s="20" t="s">
        <v>430</v>
      </c>
      <c r="I105" s="20" t="s">
        <v>23</v>
      </c>
      <c r="J105" s="21">
        <v>2002</v>
      </c>
      <c r="K105" s="20" t="s">
        <v>39</v>
      </c>
      <c r="L105" s="21" t="s">
        <v>30</v>
      </c>
      <c r="M105" s="21" t="s">
        <v>30</v>
      </c>
      <c r="N105" s="20" t="s">
        <v>431</v>
      </c>
      <c r="O105" s="20"/>
    </row>
    <row r="106" spans="1:15" ht="13.5" customHeight="1" x14ac:dyDescent="0.25">
      <c r="A106" s="1"/>
      <c r="B106" s="22">
        <v>94</v>
      </c>
      <c r="C106" s="22">
        <v>2023</v>
      </c>
      <c r="D106" s="22">
        <v>10456</v>
      </c>
      <c r="E106" s="22" t="s">
        <v>432</v>
      </c>
      <c r="F106" s="22" t="s">
        <v>433</v>
      </c>
      <c r="G106" s="22" t="s">
        <v>434</v>
      </c>
      <c r="H106" s="22" t="s">
        <v>435</v>
      </c>
      <c r="I106" s="22" t="s">
        <v>23</v>
      </c>
      <c r="J106" s="23">
        <v>2000</v>
      </c>
      <c r="K106" s="22" t="s">
        <v>34</v>
      </c>
      <c r="L106" s="23" t="s">
        <v>30</v>
      </c>
      <c r="M106" s="23" t="s">
        <v>30</v>
      </c>
      <c r="N106" s="22"/>
      <c r="O106" s="22"/>
    </row>
    <row r="107" spans="1:15" ht="13.5" customHeight="1" x14ac:dyDescent="0.25">
      <c r="A107" s="1"/>
      <c r="B107" s="20">
        <v>95</v>
      </c>
      <c r="C107" s="20">
        <v>2023</v>
      </c>
      <c r="D107" s="20">
        <v>10071</v>
      </c>
      <c r="E107" s="20" t="s">
        <v>436</v>
      </c>
      <c r="F107" s="20" t="s">
        <v>437</v>
      </c>
      <c r="G107" s="20" t="s">
        <v>438</v>
      </c>
      <c r="H107" s="20" t="s">
        <v>439</v>
      </c>
      <c r="I107" s="20" t="s">
        <v>23</v>
      </c>
      <c r="J107" s="21">
        <v>2000</v>
      </c>
      <c r="K107" s="20" t="s">
        <v>34</v>
      </c>
      <c r="L107" s="21" t="s">
        <v>30</v>
      </c>
      <c r="M107" s="21" t="s">
        <v>30</v>
      </c>
      <c r="N107" s="20"/>
      <c r="O107" s="20"/>
    </row>
    <row r="108" spans="1:15" ht="13.5" customHeight="1" x14ac:dyDescent="0.25">
      <c r="A108" s="1"/>
      <c r="B108" s="22">
        <v>96</v>
      </c>
      <c r="C108" s="22">
        <v>2023</v>
      </c>
      <c r="D108" s="22">
        <v>23</v>
      </c>
      <c r="E108" s="22" t="s">
        <v>440</v>
      </c>
      <c r="F108" s="22" t="s">
        <v>441</v>
      </c>
      <c r="G108" s="22" t="s">
        <v>442</v>
      </c>
      <c r="H108" s="22" t="s">
        <v>443</v>
      </c>
      <c r="I108" s="22" t="s">
        <v>223</v>
      </c>
      <c r="J108" s="23">
        <v>2000</v>
      </c>
      <c r="K108" s="22" t="s">
        <v>63</v>
      </c>
      <c r="L108" s="23" t="s">
        <v>30</v>
      </c>
      <c r="M108" s="23" t="s">
        <v>30</v>
      </c>
      <c r="N108" s="22"/>
      <c r="O108" s="22"/>
    </row>
    <row r="109" spans="1:15" ht="13.5" customHeight="1" x14ac:dyDescent="0.25">
      <c r="A109" s="1"/>
      <c r="B109" s="20">
        <v>97</v>
      </c>
      <c r="C109" s="20">
        <v>2023</v>
      </c>
      <c r="D109" s="20">
        <v>40316</v>
      </c>
      <c r="E109" s="20" t="s">
        <v>444</v>
      </c>
      <c r="F109" s="20" t="s">
        <v>445</v>
      </c>
      <c r="G109" s="20" t="s">
        <v>446</v>
      </c>
      <c r="H109" s="20" t="s">
        <v>447</v>
      </c>
      <c r="I109" s="20" t="s">
        <v>23</v>
      </c>
      <c r="J109" s="21">
        <v>2013</v>
      </c>
      <c r="K109" s="20" t="s">
        <v>44</v>
      </c>
      <c r="L109" s="21" t="s">
        <v>30</v>
      </c>
      <c r="M109" s="21"/>
      <c r="N109" s="20" t="s">
        <v>101</v>
      </c>
      <c r="O109" s="20"/>
    </row>
    <row r="110" spans="1:15" ht="13.5" customHeight="1" x14ac:dyDescent="0.25">
      <c r="A110" s="1"/>
      <c r="B110" s="22">
        <v>98</v>
      </c>
      <c r="C110" s="22">
        <v>2023</v>
      </c>
      <c r="D110" s="22">
        <v>11565</v>
      </c>
      <c r="E110" s="22" t="s">
        <v>448</v>
      </c>
      <c r="F110" s="22" t="s">
        <v>449</v>
      </c>
      <c r="G110" s="22" t="s">
        <v>450</v>
      </c>
      <c r="H110" s="22" t="s">
        <v>451</v>
      </c>
      <c r="I110" s="22" t="s">
        <v>23</v>
      </c>
      <c r="J110" s="23">
        <v>2000</v>
      </c>
      <c r="K110" s="22" t="s">
        <v>44</v>
      </c>
      <c r="L110" s="23" t="s">
        <v>30</v>
      </c>
      <c r="M110" s="23" t="s">
        <v>30</v>
      </c>
      <c r="N110" s="22" t="s">
        <v>74</v>
      </c>
      <c r="O110" s="22"/>
    </row>
    <row r="111" spans="1:15" ht="13.5" customHeight="1" x14ac:dyDescent="0.25">
      <c r="A111" s="1"/>
      <c r="B111" s="20">
        <v>99</v>
      </c>
      <c r="C111" s="20">
        <v>2023</v>
      </c>
      <c r="D111" s="20">
        <v>10231</v>
      </c>
      <c r="E111" s="20" t="s">
        <v>452</v>
      </c>
      <c r="F111" s="20" t="s">
        <v>453</v>
      </c>
      <c r="G111" s="20" t="s">
        <v>454</v>
      </c>
      <c r="H111" s="20" t="s">
        <v>455</v>
      </c>
      <c r="I111" s="20" t="s">
        <v>23</v>
      </c>
      <c r="J111" s="21">
        <v>2000</v>
      </c>
      <c r="K111" s="20" t="s">
        <v>44</v>
      </c>
      <c r="L111" s="21" t="s">
        <v>30</v>
      </c>
      <c r="M111" s="21" t="s">
        <v>30</v>
      </c>
      <c r="N111" s="20"/>
      <c r="O111" s="20"/>
    </row>
    <row r="112" spans="1:15" ht="13.5" customHeight="1" x14ac:dyDescent="0.25">
      <c r="A112" s="1"/>
      <c r="B112" s="22">
        <v>100</v>
      </c>
      <c r="C112" s="22">
        <v>2023</v>
      </c>
      <c r="D112" s="22">
        <v>10439</v>
      </c>
      <c r="E112" s="22" t="s">
        <v>456</v>
      </c>
      <c r="F112" s="22" t="s">
        <v>457</v>
      </c>
      <c r="G112" s="22"/>
      <c r="H112" s="22" t="s">
        <v>458</v>
      </c>
      <c r="I112" s="22" t="s">
        <v>23</v>
      </c>
      <c r="J112" s="23">
        <v>2000</v>
      </c>
      <c r="K112" s="22" t="s">
        <v>34</v>
      </c>
      <c r="L112" s="23"/>
      <c r="M112" s="23" t="s">
        <v>30</v>
      </c>
      <c r="N112" s="22"/>
      <c r="O112" s="22"/>
    </row>
    <row r="113" spans="1:15" ht="13.5" customHeight="1" x14ac:dyDescent="0.25">
      <c r="A113" s="1"/>
      <c r="B113" s="20">
        <v>101</v>
      </c>
      <c r="C113" s="20">
        <v>2023</v>
      </c>
      <c r="D113" s="20">
        <v>26</v>
      </c>
      <c r="E113" s="20" t="s">
        <v>459</v>
      </c>
      <c r="F113" s="20" t="s">
        <v>460</v>
      </c>
      <c r="G113" s="20" t="s">
        <v>461</v>
      </c>
      <c r="H113" s="20" t="s">
        <v>462</v>
      </c>
      <c r="I113" s="20" t="s">
        <v>223</v>
      </c>
      <c r="J113" s="21">
        <v>2000</v>
      </c>
      <c r="K113" s="20" t="s">
        <v>44</v>
      </c>
      <c r="L113" s="21" t="s">
        <v>30</v>
      </c>
      <c r="M113" s="21" t="s">
        <v>30</v>
      </c>
      <c r="N113" s="20"/>
      <c r="O113" s="20"/>
    </row>
    <row r="114" spans="1:15" ht="13.5" customHeight="1" x14ac:dyDescent="0.25">
      <c r="A114" s="1"/>
      <c r="B114" s="22">
        <v>102</v>
      </c>
      <c r="C114" s="22">
        <v>2023</v>
      </c>
      <c r="D114" s="22">
        <v>40745</v>
      </c>
      <c r="E114" s="22" t="s">
        <v>463</v>
      </c>
      <c r="F114" s="22" t="s">
        <v>464</v>
      </c>
      <c r="G114" s="22" t="s">
        <v>465</v>
      </c>
      <c r="H114" s="22" t="s">
        <v>466</v>
      </c>
      <c r="I114" s="22" t="s">
        <v>23</v>
      </c>
      <c r="J114" s="23">
        <v>2014</v>
      </c>
      <c r="K114" s="22" t="s">
        <v>29</v>
      </c>
      <c r="L114" s="23" t="s">
        <v>30</v>
      </c>
      <c r="M114" s="23"/>
      <c r="N114" s="22" t="s">
        <v>381</v>
      </c>
      <c r="O114" s="22"/>
    </row>
    <row r="115" spans="1:15" ht="13.5" customHeight="1" x14ac:dyDescent="0.25">
      <c r="A115" s="1"/>
      <c r="B115" s="20">
        <v>103</v>
      </c>
      <c r="C115" s="20">
        <v>2023</v>
      </c>
      <c r="D115" s="20">
        <v>11881</v>
      </c>
      <c r="E115" s="20" t="s">
        <v>467</v>
      </c>
      <c r="F115" s="20" t="s">
        <v>468</v>
      </c>
      <c r="G115" s="20" t="s">
        <v>469</v>
      </c>
      <c r="H115" s="20" t="s">
        <v>470</v>
      </c>
      <c r="I115" s="20" t="s">
        <v>23</v>
      </c>
      <c r="J115" s="21">
        <v>2000</v>
      </c>
      <c r="K115" s="20" t="s">
        <v>184</v>
      </c>
      <c r="L115" s="21" t="s">
        <v>30</v>
      </c>
      <c r="M115" s="21" t="s">
        <v>30</v>
      </c>
      <c r="N115" s="20" t="s">
        <v>74</v>
      </c>
      <c r="O115" s="20"/>
    </row>
    <row r="116" spans="1:15" ht="13.5" customHeight="1" x14ac:dyDescent="0.25">
      <c r="A116" s="1"/>
      <c r="B116" s="22">
        <v>104</v>
      </c>
      <c r="C116" s="22">
        <v>2023</v>
      </c>
      <c r="D116" s="22">
        <v>10436</v>
      </c>
      <c r="E116" s="22" t="s">
        <v>471</v>
      </c>
      <c r="F116" s="22" t="s">
        <v>472</v>
      </c>
      <c r="G116" s="22" t="s">
        <v>473</v>
      </c>
      <c r="H116" s="22" t="s">
        <v>474</v>
      </c>
      <c r="I116" s="22" t="s">
        <v>23</v>
      </c>
      <c r="J116" s="23">
        <v>2005</v>
      </c>
      <c r="K116" s="22" t="s">
        <v>475</v>
      </c>
      <c r="L116" s="23" t="s">
        <v>30</v>
      </c>
      <c r="M116" s="23" t="s">
        <v>30</v>
      </c>
      <c r="N116" s="22"/>
      <c r="O116" s="22"/>
    </row>
    <row r="117" spans="1:15" ht="13.5" customHeight="1" x14ac:dyDescent="0.25">
      <c r="A117" s="1"/>
      <c r="B117" s="20">
        <v>105</v>
      </c>
      <c r="C117" s="20">
        <v>2023</v>
      </c>
      <c r="D117" s="20">
        <v>43034</v>
      </c>
      <c r="E117" s="20" t="s">
        <v>476</v>
      </c>
      <c r="F117" s="20" t="s">
        <v>477</v>
      </c>
      <c r="G117" s="20" t="s">
        <v>478</v>
      </c>
      <c r="H117" s="20" t="s">
        <v>479</v>
      </c>
      <c r="I117" s="20" t="s">
        <v>223</v>
      </c>
      <c r="J117" s="21">
        <v>2020</v>
      </c>
      <c r="K117" s="20" t="s">
        <v>44</v>
      </c>
      <c r="L117" s="21" t="s">
        <v>30</v>
      </c>
      <c r="M117" s="21"/>
      <c r="N117" s="20" t="s">
        <v>270</v>
      </c>
      <c r="O117" s="20"/>
    </row>
    <row r="118" spans="1:15" ht="13.5" customHeight="1" x14ac:dyDescent="0.25">
      <c r="A118" s="1"/>
      <c r="B118" s="22">
        <v>106</v>
      </c>
      <c r="C118" s="22">
        <v>2023</v>
      </c>
      <c r="D118" s="22">
        <v>10455</v>
      </c>
      <c r="E118" s="22" t="s">
        <v>480</v>
      </c>
      <c r="F118" s="22" t="s">
        <v>481</v>
      </c>
      <c r="G118" s="22" t="s">
        <v>482</v>
      </c>
      <c r="H118" s="22" t="s">
        <v>483</v>
      </c>
      <c r="I118" s="22" t="s">
        <v>23</v>
      </c>
      <c r="J118" s="23">
        <v>2000</v>
      </c>
      <c r="K118" s="22" t="s">
        <v>44</v>
      </c>
      <c r="L118" s="23" t="s">
        <v>30</v>
      </c>
      <c r="M118" s="23" t="s">
        <v>30</v>
      </c>
      <c r="N118" s="22"/>
      <c r="O118" s="22"/>
    </row>
    <row r="119" spans="1:15" ht="13.5" customHeight="1" x14ac:dyDescent="0.25">
      <c r="A119" s="1"/>
      <c r="B119" s="20">
        <v>107</v>
      </c>
      <c r="C119" s="20">
        <v>2023</v>
      </c>
      <c r="D119" s="20">
        <v>277</v>
      </c>
      <c r="E119" s="20" t="s">
        <v>484</v>
      </c>
      <c r="F119" s="20" t="s">
        <v>485</v>
      </c>
      <c r="G119" s="20" t="s">
        <v>486</v>
      </c>
      <c r="H119" s="20" t="s">
        <v>487</v>
      </c>
      <c r="I119" s="20" t="s">
        <v>23</v>
      </c>
      <c r="J119" s="21">
        <v>2000</v>
      </c>
      <c r="K119" s="20" t="s">
        <v>39</v>
      </c>
      <c r="L119" s="21" t="s">
        <v>30</v>
      </c>
      <c r="M119" s="21" t="s">
        <v>30</v>
      </c>
      <c r="N119" s="20"/>
      <c r="O119" s="20"/>
    </row>
    <row r="120" spans="1:15" ht="13.5" customHeight="1" x14ac:dyDescent="0.25">
      <c r="A120" s="1"/>
      <c r="B120" s="22">
        <v>108</v>
      </c>
      <c r="C120" s="22">
        <v>2023</v>
      </c>
      <c r="D120" s="22">
        <v>10472</v>
      </c>
      <c r="E120" s="22" t="s">
        <v>488</v>
      </c>
      <c r="F120" s="22" t="s">
        <v>489</v>
      </c>
      <c r="G120" s="22" t="s">
        <v>490</v>
      </c>
      <c r="H120" s="22" t="s">
        <v>491</v>
      </c>
      <c r="I120" s="22" t="s">
        <v>23</v>
      </c>
      <c r="J120" s="23">
        <v>2000</v>
      </c>
      <c r="K120" s="22" t="s">
        <v>114</v>
      </c>
      <c r="L120" s="23" t="s">
        <v>30</v>
      </c>
      <c r="M120" s="23" t="s">
        <v>30</v>
      </c>
      <c r="N120" s="22"/>
      <c r="O120" s="22"/>
    </row>
    <row r="121" spans="1:15" ht="13.5" customHeight="1" x14ac:dyDescent="0.25">
      <c r="A121" s="1"/>
      <c r="B121" s="20">
        <v>109</v>
      </c>
      <c r="C121" s="20">
        <v>2023</v>
      </c>
      <c r="D121" s="20">
        <v>12149</v>
      </c>
      <c r="E121" s="20" t="s">
        <v>492</v>
      </c>
      <c r="F121" s="20" t="s">
        <v>493</v>
      </c>
      <c r="G121" s="20" t="s">
        <v>494</v>
      </c>
      <c r="H121" s="20" t="s">
        <v>495</v>
      </c>
      <c r="I121" s="20" t="s">
        <v>23</v>
      </c>
      <c r="J121" s="21">
        <v>2000</v>
      </c>
      <c r="K121" s="20" t="s">
        <v>39</v>
      </c>
      <c r="L121" s="21" t="s">
        <v>30</v>
      </c>
      <c r="M121" s="21" t="s">
        <v>30</v>
      </c>
      <c r="N121" s="20" t="s">
        <v>74</v>
      </c>
      <c r="O121" s="20"/>
    </row>
    <row r="122" spans="1:15" ht="13.5" customHeight="1" x14ac:dyDescent="0.25">
      <c r="A122" s="1"/>
      <c r="B122" s="22">
        <v>110</v>
      </c>
      <c r="C122" s="22">
        <v>2023</v>
      </c>
      <c r="D122" s="22">
        <v>10479</v>
      </c>
      <c r="E122" s="22" t="s">
        <v>496</v>
      </c>
      <c r="F122" s="22" t="s">
        <v>497</v>
      </c>
      <c r="G122" s="22" t="s">
        <v>498</v>
      </c>
      <c r="H122" s="22" t="s">
        <v>499</v>
      </c>
      <c r="I122" s="22" t="s">
        <v>23</v>
      </c>
      <c r="J122" s="23">
        <v>2000</v>
      </c>
      <c r="K122" s="22" t="s">
        <v>29</v>
      </c>
      <c r="L122" s="23" t="s">
        <v>30</v>
      </c>
      <c r="M122" s="23" t="s">
        <v>30</v>
      </c>
      <c r="N122" s="22"/>
      <c r="O122" s="22"/>
    </row>
    <row r="123" spans="1:15" ht="13.5" customHeight="1" x14ac:dyDescent="0.25">
      <c r="A123" s="1"/>
      <c r="B123" s="20">
        <v>111</v>
      </c>
      <c r="C123" s="20">
        <v>2023</v>
      </c>
      <c r="D123" s="20">
        <v>40818</v>
      </c>
      <c r="E123" s="20" t="s">
        <v>500</v>
      </c>
      <c r="F123" s="20" t="s">
        <v>501</v>
      </c>
      <c r="G123" s="20"/>
      <c r="H123" s="20" t="s">
        <v>502</v>
      </c>
      <c r="I123" s="20" t="s">
        <v>23</v>
      </c>
      <c r="J123" s="21">
        <v>2015</v>
      </c>
      <c r="K123" s="20" t="s">
        <v>63</v>
      </c>
      <c r="L123" s="21"/>
      <c r="M123" s="21"/>
      <c r="N123" s="20" t="s">
        <v>185</v>
      </c>
      <c r="O123" s="20"/>
    </row>
    <row r="124" spans="1:15" ht="13.5" customHeight="1" x14ac:dyDescent="0.25">
      <c r="A124" s="1"/>
      <c r="B124" s="22">
        <v>112</v>
      </c>
      <c r="C124" s="22">
        <v>2023</v>
      </c>
      <c r="D124" s="22">
        <v>10434</v>
      </c>
      <c r="E124" s="22" t="s">
        <v>503</v>
      </c>
      <c r="F124" s="22" t="s">
        <v>504</v>
      </c>
      <c r="G124" s="22" t="s">
        <v>505</v>
      </c>
      <c r="H124" s="22" t="s">
        <v>506</v>
      </c>
      <c r="I124" s="22" t="s">
        <v>23</v>
      </c>
      <c r="J124" s="23">
        <v>2000</v>
      </c>
      <c r="K124" s="22" t="s">
        <v>39</v>
      </c>
      <c r="L124" s="23" t="s">
        <v>30</v>
      </c>
      <c r="M124" s="23" t="s">
        <v>30</v>
      </c>
      <c r="N124" s="22"/>
      <c r="O124" s="22"/>
    </row>
    <row r="125" spans="1:15" ht="13.5" customHeight="1" x14ac:dyDescent="0.25">
      <c r="A125" s="1"/>
      <c r="B125" s="20">
        <v>113</v>
      </c>
      <c r="C125" s="20">
        <v>2023</v>
      </c>
      <c r="D125" s="20">
        <v>12243</v>
      </c>
      <c r="E125" s="20" t="s">
        <v>507</v>
      </c>
      <c r="F125" s="20" t="s">
        <v>508</v>
      </c>
      <c r="G125" s="20" t="s">
        <v>509</v>
      </c>
      <c r="H125" s="20" t="s">
        <v>510</v>
      </c>
      <c r="I125" s="20" t="s">
        <v>23</v>
      </c>
      <c r="J125" s="21">
        <v>2000</v>
      </c>
      <c r="K125" s="20" t="s">
        <v>67</v>
      </c>
      <c r="L125" s="21" t="s">
        <v>30</v>
      </c>
      <c r="M125" s="21" t="s">
        <v>30</v>
      </c>
      <c r="N125" s="20" t="s">
        <v>35</v>
      </c>
      <c r="O125" s="20"/>
    </row>
    <row r="126" spans="1:15" ht="13.5" customHeight="1" x14ac:dyDescent="0.25">
      <c r="A126" s="1"/>
      <c r="B126" s="22">
        <v>114</v>
      </c>
      <c r="C126" s="22">
        <v>2023</v>
      </c>
      <c r="D126" s="22">
        <v>10463</v>
      </c>
      <c r="E126" s="22" t="s">
        <v>511</v>
      </c>
      <c r="F126" s="22" t="s">
        <v>512</v>
      </c>
      <c r="G126" s="22" t="s">
        <v>513</v>
      </c>
      <c r="H126" s="22" t="s">
        <v>514</v>
      </c>
      <c r="I126" s="22" t="s">
        <v>23</v>
      </c>
      <c r="J126" s="23">
        <v>2000</v>
      </c>
      <c r="K126" s="22" t="s">
        <v>44</v>
      </c>
      <c r="L126" s="23" t="s">
        <v>30</v>
      </c>
      <c r="M126" s="23" t="s">
        <v>30</v>
      </c>
      <c r="N126" s="22"/>
      <c r="O126" s="22"/>
    </row>
    <row r="127" spans="1:15" ht="13.5" customHeight="1" x14ac:dyDescent="0.25">
      <c r="A127" s="1"/>
      <c r="B127" s="20">
        <v>115</v>
      </c>
      <c r="C127" s="20">
        <v>2023</v>
      </c>
      <c r="D127" s="20">
        <v>44177</v>
      </c>
      <c r="E127" s="20" t="s">
        <v>515</v>
      </c>
      <c r="F127" s="20" t="s">
        <v>516</v>
      </c>
      <c r="G127" s="20"/>
      <c r="H127" s="20" t="s">
        <v>517</v>
      </c>
      <c r="I127" s="20" t="s">
        <v>23</v>
      </c>
      <c r="J127" s="21">
        <v>2022</v>
      </c>
      <c r="K127" s="20" t="s">
        <v>95</v>
      </c>
      <c r="L127" s="21"/>
      <c r="M127" s="21"/>
      <c r="N127" s="20" t="s">
        <v>518</v>
      </c>
      <c r="O127" s="20"/>
    </row>
    <row r="128" spans="1:15" ht="13.5" customHeight="1" x14ac:dyDescent="0.25">
      <c r="A128" s="1"/>
      <c r="B128" s="22">
        <v>116</v>
      </c>
      <c r="C128" s="22">
        <v>2023</v>
      </c>
      <c r="D128" s="22">
        <v>10482</v>
      </c>
      <c r="E128" s="22" t="s">
        <v>519</v>
      </c>
      <c r="F128" s="22" t="s">
        <v>520</v>
      </c>
      <c r="G128" s="22" t="s">
        <v>521</v>
      </c>
      <c r="H128" s="22" t="s">
        <v>522</v>
      </c>
      <c r="I128" s="22" t="s">
        <v>23</v>
      </c>
      <c r="J128" s="23">
        <v>2000</v>
      </c>
      <c r="K128" s="22" t="s">
        <v>34</v>
      </c>
      <c r="L128" s="23" t="s">
        <v>30</v>
      </c>
      <c r="M128" s="23" t="s">
        <v>30</v>
      </c>
      <c r="N128" s="22"/>
      <c r="O128" s="22"/>
    </row>
    <row r="129" spans="1:15" ht="13.5" customHeight="1" x14ac:dyDescent="0.25">
      <c r="A129" s="1"/>
      <c r="B129" s="20">
        <v>117</v>
      </c>
      <c r="C129" s="20">
        <v>2023</v>
      </c>
      <c r="D129" s="20">
        <v>13592</v>
      </c>
      <c r="E129" s="20" t="s">
        <v>523</v>
      </c>
      <c r="F129" s="20" t="s">
        <v>524</v>
      </c>
      <c r="G129" s="20" t="s">
        <v>525</v>
      </c>
      <c r="H129" s="20" t="s">
        <v>526</v>
      </c>
      <c r="I129" s="20" t="s">
        <v>23</v>
      </c>
      <c r="J129" s="21">
        <v>2007</v>
      </c>
      <c r="K129" s="20" t="s">
        <v>34</v>
      </c>
      <c r="L129" s="21" t="s">
        <v>30</v>
      </c>
      <c r="M129" s="21"/>
      <c r="N129" s="20" t="s">
        <v>275</v>
      </c>
      <c r="O129" s="20"/>
    </row>
    <row r="130" spans="1:15" ht="13.5" customHeight="1" x14ac:dyDescent="0.25">
      <c r="A130" s="1"/>
      <c r="B130" s="22">
        <v>118</v>
      </c>
      <c r="C130" s="22">
        <v>2023</v>
      </c>
      <c r="D130" s="22">
        <v>10495</v>
      </c>
      <c r="E130" s="22" t="s">
        <v>527</v>
      </c>
      <c r="F130" s="22" t="s">
        <v>528</v>
      </c>
      <c r="G130" s="22" t="s">
        <v>529</v>
      </c>
      <c r="H130" s="22" t="s">
        <v>530</v>
      </c>
      <c r="I130" s="22" t="s">
        <v>23</v>
      </c>
      <c r="J130" s="23">
        <v>2000</v>
      </c>
      <c r="K130" s="22" t="s">
        <v>34</v>
      </c>
      <c r="L130" s="23" t="s">
        <v>30</v>
      </c>
      <c r="M130" s="23" t="s">
        <v>30</v>
      </c>
      <c r="N130" s="22"/>
      <c r="O130" s="22"/>
    </row>
    <row r="131" spans="1:15" ht="13.5" customHeight="1" x14ac:dyDescent="0.25">
      <c r="A131" s="1"/>
      <c r="B131" s="20">
        <v>119</v>
      </c>
      <c r="C131" s="20">
        <v>2023</v>
      </c>
      <c r="D131" s="20">
        <v>200</v>
      </c>
      <c r="E131" s="20" t="s">
        <v>531</v>
      </c>
      <c r="F131" s="20" t="s">
        <v>532</v>
      </c>
      <c r="G131" s="20" t="s">
        <v>533</v>
      </c>
      <c r="H131" s="20" t="s">
        <v>534</v>
      </c>
      <c r="I131" s="20" t="s">
        <v>23</v>
      </c>
      <c r="J131" s="21">
        <v>2000</v>
      </c>
      <c r="K131" s="20" t="s">
        <v>114</v>
      </c>
      <c r="L131" s="21" t="s">
        <v>30</v>
      </c>
      <c r="M131" s="21" t="s">
        <v>30</v>
      </c>
      <c r="N131" s="20"/>
      <c r="O131" s="20"/>
    </row>
    <row r="132" spans="1:15" ht="13.5" customHeight="1" x14ac:dyDescent="0.25">
      <c r="A132" s="1"/>
      <c r="B132" s="22">
        <v>120</v>
      </c>
      <c r="C132" s="22">
        <v>2023</v>
      </c>
      <c r="D132" s="22">
        <v>10492</v>
      </c>
      <c r="E132" s="22" t="s">
        <v>535</v>
      </c>
      <c r="F132" s="22" t="s">
        <v>536</v>
      </c>
      <c r="G132" s="22" t="s">
        <v>537</v>
      </c>
      <c r="H132" s="22" t="s">
        <v>538</v>
      </c>
      <c r="I132" s="22" t="s">
        <v>23</v>
      </c>
      <c r="J132" s="23">
        <v>2000</v>
      </c>
      <c r="K132" s="22" t="s">
        <v>44</v>
      </c>
      <c r="L132" s="23" t="s">
        <v>30</v>
      </c>
      <c r="M132" s="23" t="s">
        <v>30</v>
      </c>
      <c r="N132" s="22"/>
      <c r="O132" s="22"/>
    </row>
    <row r="133" spans="1:15" ht="13.5" customHeight="1" x14ac:dyDescent="0.25">
      <c r="A133" s="1"/>
      <c r="B133" s="20">
        <v>121</v>
      </c>
      <c r="C133" s="20">
        <v>2023</v>
      </c>
      <c r="D133" s="20">
        <v>12010</v>
      </c>
      <c r="E133" s="20" t="s">
        <v>539</v>
      </c>
      <c r="F133" s="20" t="s">
        <v>540</v>
      </c>
      <c r="G133" s="20" t="s">
        <v>541</v>
      </c>
      <c r="H133" s="20" t="s">
        <v>542</v>
      </c>
      <c r="I133" s="20" t="s">
        <v>23</v>
      </c>
      <c r="J133" s="21">
        <v>2000</v>
      </c>
      <c r="K133" s="20" t="s">
        <v>24</v>
      </c>
      <c r="L133" s="21" t="s">
        <v>30</v>
      </c>
      <c r="M133" s="21" t="s">
        <v>30</v>
      </c>
      <c r="N133" s="20" t="s">
        <v>74</v>
      </c>
      <c r="O133" s="20"/>
    </row>
    <row r="134" spans="1:15" ht="13.5" customHeight="1" x14ac:dyDescent="0.25">
      <c r="A134" s="1"/>
      <c r="B134" s="22">
        <v>122</v>
      </c>
      <c r="C134" s="22">
        <v>2023</v>
      </c>
      <c r="D134" s="22">
        <v>10438</v>
      </c>
      <c r="E134" s="22" t="s">
        <v>543</v>
      </c>
      <c r="F134" s="22" t="s">
        <v>544</v>
      </c>
      <c r="G134" s="22" t="s">
        <v>545</v>
      </c>
      <c r="H134" s="22" t="s">
        <v>546</v>
      </c>
      <c r="I134" s="22" t="s">
        <v>62</v>
      </c>
      <c r="J134" s="23">
        <v>2000</v>
      </c>
      <c r="K134" s="22" t="s">
        <v>34</v>
      </c>
      <c r="L134" s="23" t="s">
        <v>30</v>
      </c>
      <c r="M134" s="23" t="s">
        <v>30</v>
      </c>
      <c r="N134" s="22"/>
      <c r="O134" s="22"/>
    </row>
    <row r="135" spans="1:15" ht="13.5" customHeight="1" x14ac:dyDescent="0.25">
      <c r="A135" s="1"/>
      <c r="B135" s="20">
        <v>123</v>
      </c>
      <c r="C135" s="20">
        <v>2023</v>
      </c>
      <c r="D135" s="20">
        <v>10485</v>
      </c>
      <c r="E135" s="20" t="s">
        <v>547</v>
      </c>
      <c r="F135" s="20" t="s">
        <v>548</v>
      </c>
      <c r="G135" s="20" t="s">
        <v>549</v>
      </c>
      <c r="H135" s="20" t="s">
        <v>550</v>
      </c>
      <c r="I135" s="20" t="s">
        <v>23</v>
      </c>
      <c r="J135" s="21">
        <v>2000</v>
      </c>
      <c r="K135" s="20" t="s">
        <v>44</v>
      </c>
      <c r="L135" s="21" t="s">
        <v>30</v>
      </c>
      <c r="M135" s="21" t="s">
        <v>30</v>
      </c>
      <c r="N135" s="20"/>
      <c r="O135" s="20"/>
    </row>
    <row r="136" spans="1:15" ht="13.5" customHeight="1" x14ac:dyDescent="0.25">
      <c r="A136" s="1"/>
      <c r="B136" s="22">
        <v>124</v>
      </c>
      <c r="C136" s="22">
        <v>2023</v>
      </c>
      <c r="D136" s="22">
        <v>10443</v>
      </c>
      <c r="E136" s="22" t="s">
        <v>551</v>
      </c>
      <c r="F136" s="22" t="s">
        <v>552</v>
      </c>
      <c r="G136" s="22" t="s">
        <v>553</v>
      </c>
      <c r="H136" s="22" t="s">
        <v>554</v>
      </c>
      <c r="I136" s="22" t="s">
        <v>23</v>
      </c>
      <c r="J136" s="23">
        <v>2000</v>
      </c>
      <c r="K136" s="22" t="s">
        <v>24</v>
      </c>
      <c r="L136" s="23" t="s">
        <v>30</v>
      </c>
      <c r="M136" s="23" t="s">
        <v>30</v>
      </c>
      <c r="N136" s="22"/>
      <c r="O136" s="22"/>
    </row>
    <row r="137" spans="1:15" ht="13.5" customHeight="1" x14ac:dyDescent="0.25">
      <c r="A137" s="1"/>
      <c r="B137" s="20">
        <v>125</v>
      </c>
      <c r="C137" s="20">
        <v>2023</v>
      </c>
      <c r="D137" s="20">
        <v>13355</v>
      </c>
      <c r="E137" s="20" t="s">
        <v>555</v>
      </c>
      <c r="F137" s="20" t="s">
        <v>556</v>
      </c>
      <c r="G137" s="20" t="s">
        <v>557</v>
      </c>
      <c r="H137" s="20" t="s">
        <v>558</v>
      </c>
      <c r="I137" s="20" t="s">
        <v>23</v>
      </c>
      <c r="J137" s="21">
        <v>2011</v>
      </c>
      <c r="K137" s="20" t="s">
        <v>34</v>
      </c>
      <c r="L137" s="21" t="s">
        <v>30</v>
      </c>
      <c r="M137" s="21"/>
      <c r="N137" s="20" t="s">
        <v>275</v>
      </c>
      <c r="O137" s="20"/>
    </row>
    <row r="138" spans="1:15" ht="13.5" customHeight="1" x14ac:dyDescent="0.25">
      <c r="A138" s="1"/>
      <c r="B138" s="22">
        <v>126</v>
      </c>
      <c r="C138" s="22">
        <v>2023</v>
      </c>
      <c r="D138" s="22">
        <v>12518</v>
      </c>
      <c r="E138" s="22" t="s">
        <v>559</v>
      </c>
      <c r="F138" s="22" t="s">
        <v>560</v>
      </c>
      <c r="G138" s="22" t="s">
        <v>561</v>
      </c>
      <c r="H138" s="22" t="s">
        <v>562</v>
      </c>
      <c r="I138" s="22" t="s">
        <v>23</v>
      </c>
      <c r="J138" s="23">
        <v>2009</v>
      </c>
      <c r="K138" s="22" t="s">
        <v>95</v>
      </c>
      <c r="L138" s="23" t="s">
        <v>30</v>
      </c>
      <c r="M138" s="23" t="s">
        <v>30</v>
      </c>
      <c r="N138" s="22"/>
      <c r="O138" s="22"/>
    </row>
    <row r="139" spans="1:15" ht="13.5" customHeight="1" x14ac:dyDescent="0.25">
      <c r="A139" s="1"/>
      <c r="B139" s="20">
        <v>127</v>
      </c>
      <c r="C139" s="20">
        <v>2023</v>
      </c>
      <c r="D139" s="20">
        <v>11770</v>
      </c>
      <c r="E139" s="20" t="s">
        <v>563</v>
      </c>
      <c r="F139" s="20" t="s">
        <v>564</v>
      </c>
      <c r="G139" s="20" t="s">
        <v>565</v>
      </c>
      <c r="H139" s="20" t="s">
        <v>566</v>
      </c>
      <c r="I139" s="20" t="s">
        <v>567</v>
      </c>
      <c r="J139" s="21">
        <v>2004</v>
      </c>
      <c r="K139" s="20" t="s">
        <v>95</v>
      </c>
      <c r="L139" s="21" t="s">
        <v>30</v>
      </c>
      <c r="M139" s="21" t="s">
        <v>30</v>
      </c>
      <c r="N139" s="20" t="s">
        <v>74</v>
      </c>
      <c r="O139" s="20"/>
    </row>
    <row r="140" spans="1:15" ht="13.5" customHeight="1" x14ac:dyDescent="0.25">
      <c r="A140" s="1"/>
      <c r="B140" s="22">
        <v>128</v>
      </c>
      <c r="C140" s="22">
        <v>2023</v>
      </c>
      <c r="D140" s="22">
        <v>10489</v>
      </c>
      <c r="E140" s="22" t="s">
        <v>568</v>
      </c>
      <c r="F140" s="22" t="s">
        <v>569</v>
      </c>
      <c r="G140" s="22" t="s">
        <v>570</v>
      </c>
      <c r="H140" s="22" t="s">
        <v>571</v>
      </c>
      <c r="I140" s="22" t="s">
        <v>23</v>
      </c>
      <c r="J140" s="23">
        <v>2000</v>
      </c>
      <c r="K140" s="22" t="s">
        <v>114</v>
      </c>
      <c r="L140" s="23" t="s">
        <v>30</v>
      </c>
      <c r="M140" s="23" t="s">
        <v>30</v>
      </c>
      <c r="N140" s="22"/>
      <c r="O140" s="22"/>
    </row>
    <row r="141" spans="1:15" ht="13.5" customHeight="1" x14ac:dyDescent="0.25">
      <c r="A141" s="1"/>
      <c r="B141" s="20">
        <v>129</v>
      </c>
      <c r="C141" s="20">
        <v>2023</v>
      </c>
      <c r="D141" s="20">
        <v>723</v>
      </c>
      <c r="E141" s="20" t="s">
        <v>572</v>
      </c>
      <c r="F141" s="20" t="s">
        <v>573</v>
      </c>
      <c r="G141" s="20" t="s">
        <v>574</v>
      </c>
      <c r="H141" s="20" t="s">
        <v>575</v>
      </c>
      <c r="I141" s="20" t="s">
        <v>23</v>
      </c>
      <c r="J141" s="21">
        <v>2000</v>
      </c>
      <c r="K141" s="20" t="s">
        <v>63</v>
      </c>
      <c r="L141" s="21" t="s">
        <v>30</v>
      </c>
      <c r="M141" s="21" t="s">
        <v>30</v>
      </c>
      <c r="N141" s="20"/>
      <c r="O141" s="20"/>
    </row>
    <row r="142" spans="1:15" ht="13.5" customHeight="1" x14ac:dyDescent="0.25">
      <c r="A142" s="1"/>
      <c r="B142" s="22">
        <v>130</v>
      </c>
      <c r="C142" s="22">
        <v>2023</v>
      </c>
      <c r="D142" s="22">
        <v>245</v>
      </c>
      <c r="E142" s="22" t="s">
        <v>576</v>
      </c>
      <c r="F142" s="22" t="s">
        <v>577</v>
      </c>
      <c r="G142" s="22" t="s">
        <v>578</v>
      </c>
      <c r="H142" s="22" t="s">
        <v>579</v>
      </c>
      <c r="I142" s="22" t="s">
        <v>23</v>
      </c>
      <c r="J142" s="23">
        <v>2000</v>
      </c>
      <c r="K142" s="22" t="s">
        <v>44</v>
      </c>
      <c r="L142" s="23" t="s">
        <v>30</v>
      </c>
      <c r="M142" s="23" t="s">
        <v>30</v>
      </c>
      <c r="N142" s="22"/>
      <c r="O142" s="22"/>
    </row>
    <row r="143" spans="1:15" ht="13.5" customHeight="1" x14ac:dyDescent="0.25">
      <c r="A143" s="1"/>
      <c r="B143" s="20">
        <v>131</v>
      </c>
      <c r="C143" s="20">
        <v>2023</v>
      </c>
      <c r="D143" s="20">
        <v>10483</v>
      </c>
      <c r="E143" s="20" t="s">
        <v>580</v>
      </c>
      <c r="F143" s="20" t="s">
        <v>581</v>
      </c>
      <c r="G143" s="20" t="s">
        <v>582</v>
      </c>
      <c r="H143" s="20" t="s">
        <v>583</v>
      </c>
      <c r="I143" s="20" t="s">
        <v>259</v>
      </c>
      <c r="J143" s="21">
        <v>2000</v>
      </c>
      <c r="K143" s="20" t="s">
        <v>44</v>
      </c>
      <c r="L143" s="21" t="s">
        <v>30</v>
      </c>
      <c r="M143" s="21" t="s">
        <v>30</v>
      </c>
      <c r="N143" s="20"/>
      <c r="O143" s="20"/>
    </row>
    <row r="144" spans="1:15" ht="13.5" customHeight="1" x14ac:dyDescent="0.25">
      <c r="A144" s="1"/>
      <c r="B144" s="22">
        <v>132</v>
      </c>
      <c r="C144" s="22">
        <v>2023</v>
      </c>
      <c r="D144" s="22">
        <v>11766</v>
      </c>
      <c r="E144" s="22" t="s">
        <v>584</v>
      </c>
      <c r="F144" s="22" t="s">
        <v>585</v>
      </c>
      <c r="G144" s="22" t="s">
        <v>586</v>
      </c>
      <c r="H144" s="22" t="s">
        <v>587</v>
      </c>
      <c r="I144" s="22" t="s">
        <v>588</v>
      </c>
      <c r="J144" s="23">
        <v>2000</v>
      </c>
      <c r="K144" s="22" t="s">
        <v>44</v>
      </c>
      <c r="L144" s="23" t="s">
        <v>30</v>
      </c>
      <c r="M144" s="23" t="s">
        <v>30</v>
      </c>
      <c r="N144" s="22" t="s">
        <v>74</v>
      </c>
      <c r="O144" s="22"/>
    </row>
    <row r="145" spans="1:15" ht="13.5" customHeight="1" x14ac:dyDescent="0.25">
      <c r="A145" s="1"/>
      <c r="B145" s="20">
        <v>133</v>
      </c>
      <c r="C145" s="20">
        <v>2023</v>
      </c>
      <c r="D145" s="20">
        <v>253</v>
      </c>
      <c r="E145" s="20" t="s">
        <v>589</v>
      </c>
      <c r="F145" s="20" t="s">
        <v>590</v>
      </c>
      <c r="G145" s="20" t="s">
        <v>591</v>
      </c>
      <c r="H145" s="20" t="s">
        <v>592</v>
      </c>
      <c r="I145" s="20" t="s">
        <v>23</v>
      </c>
      <c r="J145" s="21">
        <v>2000</v>
      </c>
      <c r="K145" s="20" t="s">
        <v>34</v>
      </c>
      <c r="L145" s="21" t="s">
        <v>30</v>
      </c>
      <c r="M145" s="21" t="s">
        <v>30</v>
      </c>
      <c r="N145" s="20"/>
      <c r="O145" s="20"/>
    </row>
    <row r="146" spans="1:15" ht="13.5" customHeight="1" x14ac:dyDescent="0.25">
      <c r="A146" s="1"/>
      <c r="B146" s="22">
        <v>134</v>
      </c>
      <c r="C146" s="22">
        <v>2023</v>
      </c>
      <c r="D146" s="22">
        <v>13204</v>
      </c>
      <c r="E146" s="22" t="s">
        <v>593</v>
      </c>
      <c r="F146" s="22" t="s">
        <v>594</v>
      </c>
      <c r="G146" s="22" t="s">
        <v>595</v>
      </c>
      <c r="H146" s="22" t="s">
        <v>596</v>
      </c>
      <c r="I146" s="22" t="s">
        <v>23</v>
      </c>
      <c r="J146" s="23">
        <v>2011</v>
      </c>
      <c r="K146" s="22" t="s">
        <v>24</v>
      </c>
      <c r="L146" s="23" t="s">
        <v>30</v>
      </c>
      <c r="M146" s="23"/>
      <c r="N146" s="22"/>
      <c r="O146" s="22"/>
    </row>
    <row r="147" spans="1:15" ht="13.5" customHeight="1" x14ac:dyDescent="0.25">
      <c r="A147" s="1"/>
      <c r="B147" s="20">
        <v>135</v>
      </c>
      <c r="C147" s="20">
        <v>2023</v>
      </c>
      <c r="D147" s="20">
        <v>339</v>
      </c>
      <c r="E147" s="20" t="s">
        <v>597</v>
      </c>
      <c r="F147" s="20" t="s">
        <v>598</v>
      </c>
      <c r="G147" s="20" t="s">
        <v>599</v>
      </c>
      <c r="H147" s="20" t="s">
        <v>600</v>
      </c>
      <c r="I147" s="20" t="s">
        <v>23</v>
      </c>
      <c r="J147" s="21">
        <v>2000</v>
      </c>
      <c r="K147" s="20" t="s">
        <v>63</v>
      </c>
      <c r="L147" s="21" t="s">
        <v>30</v>
      </c>
      <c r="M147" s="21" t="s">
        <v>30</v>
      </c>
      <c r="N147" s="20"/>
      <c r="O147" s="20"/>
    </row>
    <row r="148" spans="1:15" ht="13.5" customHeight="1" x14ac:dyDescent="0.25">
      <c r="A148" s="1"/>
      <c r="B148" s="22">
        <v>136</v>
      </c>
      <c r="C148" s="22">
        <v>2023</v>
      </c>
      <c r="D148" s="22">
        <v>340</v>
      </c>
      <c r="E148" s="22" t="s">
        <v>601</v>
      </c>
      <c r="F148" s="22" t="s">
        <v>602</v>
      </c>
      <c r="G148" s="22" t="s">
        <v>603</v>
      </c>
      <c r="H148" s="22" t="s">
        <v>604</v>
      </c>
      <c r="I148" s="22" t="s">
        <v>23</v>
      </c>
      <c r="J148" s="23">
        <v>2000</v>
      </c>
      <c r="K148" s="22" t="s">
        <v>63</v>
      </c>
      <c r="L148" s="23" t="s">
        <v>30</v>
      </c>
      <c r="M148" s="23" t="s">
        <v>30</v>
      </c>
      <c r="N148" s="22"/>
      <c r="O148" s="22"/>
    </row>
    <row r="149" spans="1:15" ht="13.5" customHeight="1" x14ac:dyDescent="0.25">
      <c r="A149" s="1"/>
      <c r="B149" s="20">
        <v>137</v>
      </c>
      <c r="C149" s="20">
        <v>2023</v>
      </c>
      <c r="D149" s="20">
        <v>10484</v>
      </c>
      <c r="E149" s="20" t="s">
        <v>605</v>
      </c>
      <c r="F149" s="20" t="s">
        <v>606</v>
      </c>
      <c r="G149" s="20" t="s">
        <v>607</v>
      </c>
      <c r="H149" s="20" t="s">
        <v>608</v>
      </c>
      <c r="I149" s="20" t="s">
        <v>23</v>
      </c>
      <c r="J149" s="21">
        <v>2000</v>
      </c>
      <c r="K149" s="20" t="s">
        <v>203</v>
      </c>
      <c r="L149" s="21" t="s">
        <v>30</v>
      </c>
      <c r="M149" s="21" t="s">
        <v>30</v>
      </c>
      <c r="N149" s="20"/>
      <c r="O149" s="20"/>
    </row>
    <row r="150" spans="1:15" ht="13.5" customHeight="1" x14ac:dyDescent="0.25">
      <c r="A150" s="1"/>
      <c r="B150" s="22">
        <v>138</v>
      </c>
      <c r="C150" s="22">
        <v>2023</v>
      </c>
      <c r="D150" s="22">
        <v>11482</v>
      </c>
      <c r="E150" s="22" t="s">
        <v>609</v>
      </c>
      <c r="F150" s="22" t="s">
        <v>610</v>
      </c>
      <c r="G150" s="22" t="s">
        <v>611</v>
      </c>
      <c r="H150" s="22" t="s">
        <v>612</v>
      </c>
      <c r="I150" s="22" t="s">
        <v>23</v>
      </c>
      <c r="J150" s="23">
        <v>2006</v>
      </c>
      <c r="K150" s="22" t="s">
        <v>184</v>
      </c>
      <c r="L150" s="23" t="s">
        <v>30</v>
      </c>
      <c r="M150" s="23" t="s">
        <v>30</v>
      </c>
      <c r="N150" s="22"/>
      <c r="O150" s="22"/>
    </row>
    <row r="151" spans="1:15" ht="13.5" customHeight="1" x14ac:dyDescent="0.25">
      <c r="A151" s="1"/>
      <c r="B151" s="20">
        <v>139</v>
      </c>
      <c r="C151" s="20">
        <v>2023</v>
      </c>
      <c r="D151" s="20">
        <v>11949</v>
      </c>
      <c r="E151" s="20" t="s">
        <v>613</v>
      </c>
      <c r="F151" s="20" t="s">
        <v>614</v>
      </c>
      <c r="G151" s="20" t="s">
        <v>615</v>
      </c>
      <c r="H151" s="20" t="s">
        <v>616</v>
      </c>
      <c r="I151" s="20" t="s">
        <v>62</v>
      </c>
      <c r="J151" s="21">
        <v>2007</v>
      </c>
      <c r="K151" s="20" t="s">
        <v>67</v>
      </c>
      <c r="L151" s="21" t="s">
        <v>30</v>
      </c>
      <c r="M151" s="21" t="s">
        <v>30</v>
      </c>
      <c r="N151" s="20" t="s">
        <v>74</v>
      </c>
      <c r="O151" s="20"/>
    </row>
    <row r="152" spans="1:15" ht="13.5" customHeight="1" x14ac:dyDescent="0.25">
      <c r="A152" s="1"/>
      <c r="B152" s="22">
        <v>140</v>
      </c>
      <c r="C152" s="22">
        <v>2023</v>
      </c>
      <c r="D152" s="22">
        <v>12061</v>
      </c>
      <c r="E152" s="22" t="s">
        <v>617</v>
      </c>
      <c r="F152" s="22" t="s">
        <v>618</v>
      </c>
      <c r="G152" s="22"/>
      <c r="H152" s="22" t="s">
        <v>619</v>
      </c>
      <c r="I152" s="22" t="s">
        <v>23</v>
      </c>
      <c r="J152" s="23">
        <v>2008</v>
      </c>
      <c r="K152" s="22" t="s">
        <v>184</v>
      </c>
      <c r="L152" s="23"/>
      <c r="M152" s="23" t="s">
        <v>30</v>
      </c>
      <c r="N152" s="22" t="s">
        <v>352</v>
      </c>
      <c r="O152" s="22"/>
    </row>
    <row r="153" spans="1:15" ht="13.5" customHeight="1" x14ac:dyDescent="0.25">
      <c r="A153" s="1"/>
      <c r="B153" s="20">
        <v>141</v>
      </c>
      <c r="C153" s="20">
        <v>2023</v>
      </c>
      <c r="D153" s="20">
        <v>10499</v>
      </c>
      <c r="E153" s="20" t="s">
        <v>620</v>
      </c>
      <c r="F153" s="20" t="s">
        <v>621</v>
      </c>
      <c r="G153" s="20" t="s">
        <v>622</v>
      </c>
      <c r="H153" s="20" t="s">
        <v>623</v>
      </c>
      <c r="I153" s="20" t="s">
        <v>23</v>
      </c>
      <c r="J153" s="21">
        <v>2000</v>
      </c>
      <c r="K153" s="20" t="s">
        <v>34</v>
      </c>
      <c r="L153" s="21" t="s">
        <v>30</v>
      </c>
      <c r="M153" s="21" t="s">
        <v>30</v>
      </c>
      <c r="N153" s="20"/>
      <c r="O153" s="20"/>
    </row>
    <row r="154" spans="1:15" ht="13.5" customHeight="1" x14ac:dyDescent="0.25">
      <c r="A154" s="1"/>
      <c r="B154" s="22">
        <v>142</v>
      </c>
      <c r="C154" s="22">
        <v>2023</v>
      </c>
      <c r="D154" s="22">
        <v>10452</v>
      </c>
      <c r="E154" s="22" t="s">
        <v>624</v>
      </c>
      <c r="F154" s="22" t="s">
        <v>625</v>
      </c>
      <c r="G154" s="22" t="s">
        <v>626</v>
      </c>
      <c r="H154" s="22" t="s">
        <v>627</v>
      </c>
      <c r="I154" s="22" t="s">
        <v>23</v>
      </c>
      <c r="J154" s="23">
        <v>2000</v>
      </c>
      <c r="K154" s="22" t="s">
        <v>34</v>
      </c>
      <c r="L154" s="23" t="s">
        <v>30</v>
      </c>
      <c r="M154" s="23" t="s">
        <v>30</v>
      </c>
      <c r="N154" s="22"/>
      <c r="O154" s="22"/>
    </row>
    <row r="155" spans="1:15" ht="13.5" customHeight="1" x14ac:dyDescent="0.25">
      <c r="A155" s="1"/>
      <c r="B155" s="20">
        <v>143</v>
      </c>
      <c r="C155" s="20">
        <v>2023</v>
      </c>
      <c r="D155" s="20">
        <v>10498</v>
      </c>
      <c r="E155" s="20" t="s">
        <v>628</v>
      </c>
      <c r="F155" s="20" t="s">
        <v>629</v>
      </c>
      <c r="G155" s="20" t="s">
        <v>630</v>
      </c>
      <c r="H155" s="20" t="s">
        <v>631</v>
      </c>
      <c r="I155" s="20" t="s">
        <v>23</v>
      </c>
      <c r="J155" s="21">
        <v>2000</v>
      </c>
      <c r="K155" s="20" t="s">
        <v>95</v>
      </c>
      <c r="L155" s="21" t="s">
        <v>30</v>
      </c>
      <c r="M155" s="21" t="s">
        <v>30</v>
      </c>
      <c r="N155" s="20"/>
      <c r="O155" s="20"/>
    </row>
    <row r="156" spans="1:15" ht="13.5" customHeight="1" x14ac:dyDescent="0.25">
      <c r="A156" s="1"/>
      <c r="B156" s="22">
        <v>144</v>
      </c>
      <c r="C156" s="22">
        <v>2023</v>
      </c>
      <c r="D156" s="22">
        <v>27</v>
      </c>
      <c r="E156" s="22" t="s">
        <v>632</v>
      </c>
      <c r="F156" s="22" t="s">
        <v>633</v>
      </c>
      <c r="G156" s="22" t="s">
        <v>634</v>
      </c>
      <c r="H156" s="22" t="s">
        <v>635</v>
      </c>
      <c r="I156" s="22" t="s">
        <v>23</v>
      </c>
      <c r="J156" s="23">
        <v>2000</v>
      </c>
      <c r="K156" s="22" t="s">
        <v>34</v>
      </c>
      <c r="L156" s="23" t="s">
        <v>30</v>
      </c>
      <c r="M156" s="23" t="s">
        <v>30</v>
      </c>
      <c r="N156" s="22"/>
      <c r="O156" s="22"/>
    </row>
    <row r="157" spans="1:15" ht="13.5" customHeight="1" x14ac:dyDescent="0.25">
      <c r="A157" s="1"/>
      <c r="B157" s="20">
        <v>145</v>
      </c>
      <c r="C157" s="20">
        <v>2023</v>
      </c>
      <c r="D157" s="20">
        <v>13369</v>
      </c>
      <c r="E157" s="20" t="s">
        <v>636</v>
      </c>
      <c r="F157" s="20" t="s">
        <v>637</v>
      </c>
      <c r="G157" s="20" t="s">
        <v>638</v>
      </c>
      <c r="H157" s="20" t="s">
        <v>639</v>
      </c>
      <c r="I157" s="20" t="s">
        <v>23</v>
      </c>
      <c r="J157" s="21">
        <v>2011</v>
      </c>
      <c r="K157" s="20" t="s">
        <v>67</v>
      </c>
      <c r="L157" s="21" t="s">
        <v>30</v>
      </c>
      <c r="M157" s="21"/>
      <c r="N157" s="20" t="s">
        <v>275</v>
      </c>
      <c r="O157" s="20"/>
    </row>
    <row r="158" spans="1:15" ht="13.5" customHeight="1" x14ac:dyDescent="0.25">
      <c r="A158" s="1"/>
      <c r="B158" s="22">
        <v>146</v>
      </c>
      <c r="C158" s="22">
        <v>2023</v>
      </c>
      <c r="D158" s="22">
        <v>12517</v>
      </c>
      <c r="E158" s="22" t="s">
        <v>640</v>
      </c>
      <c r="F158" s="22" t="s">
        <v>641</v>
      </c>
      <c r="G158" s="22" t="s">
        <v>642</v>
      </c>
      <c r="H158" s="22" t="s">
        <v>643</v>
      </c>
      <c r="I158" s="22" t="s">
        <v>23</v>
      </c>
      <c r="J158" s="23">
        <v>2008</v>
      </c>
      <c r="K158" s="22" t="s">
        <v>95</v>
      </c>
      <c r="L158" s="23" t="s">
        <v>30</v>
      </c>
      <c r="M158" s="23" t="s">
        <v>30</v>
      </c>
      <c r="N158" s="22" t="s">
        <v>352</v>
      </c>
      <c r="O158" s="22"/>
    </row>
    <row r="159" spans="1:15" ht="13.5" customHeight="1" x14ac:dyDescent="0.25">
      <c r="A159" s="1"/>
      <c r="B159" s="20">
        <v>147</v>
      </c>
      <c r="C159" s="20">
        <v>2023</v>
      </c>
      <c r="D159" s="20">
        <v>12520</v>
      </c>
      <c r="E159" s="20" t="s">
        <v>644</v>
      </c>
      <c r="F159" s="20" t="s">
        <v>645</v>
      </c>
      <c r="G159" s="20" t="s">
        <v>646</v>
      </c>
      <c r="H159" s="20" t="s">
        <v>647</v>
      </c>
      <c r="I159" s="20" t="s">
        <v>23</v>
      </c>
      <c r="J159" s="21">
        <v>2009</v>
      </c>
      <c r="K159" s="20" t="s">
        <v>95</v>
      </c>
      <c r="L159" s="21" t="s">
        <v>30</v>
      </c>
      <c r="M159" s="21" t="s">
        <v>30</v>
      </c>
      <c r="N159" s="20"/>
      <c r="O159" s="20"/>
    </row>
    <row r="160" spans="1:15" ht="13.5" customHeight="1" x14ac:dyDescent="0.25">
      <c r="A160" s="1"/>
      <c r="B160" s="22">
        <v>148</v>
      </c>
      <c r="C160" s="22">
        <v>2023</v>
      </c>
      <c r="D160" s="22">
        <v>11759</v>
      </c>
      <c r="E160" s="22" t="s">
        <v>648</v>
      </c>
      <c r="F160" s="22" t="s">
        <v>649</v>
      </c>
      <c r="G160" s="22" t="s">
        <v>650</v>
      </c>
      <c r="H160" s="22" t="s">
        <v>651</v>
      </c>
      <c r="I160" s="22" t="s">
        <v>23</v>
      </c>
      <c r="J160" s="23">
        <v>2005</v>
      </c>
      <c r="K160" s="22" t="s">
        <v>184</v>
      </c>
      <c r="L160" s="23" t="s">
        <v>30</v>
      </c>
      <c r="M160" s="23" t="s">
        <v>30</v>
      </c>
      <c r="N160" s="22" t="s">
        <v>74</v>
      </c>
      <c r="O160" s="22"/>
    </row>
    <row r="161" spans="1:15" ht="13.5" customHeight="1" x14ac:dyDescent="0.25">
      <c r="A161" s="1"/>
      <c r="B161" s="20">
        <v>149</v>
      </c>
      <c r="C161" s="20">
        <v>2023</v>
      </c>
      <c r="D161" s="20">
        <v>44150</v>
      </c>
      <c r="E161" s="20" t="s">
        <v>652</v>
      </c>
      <c r="F161" s="20" t="s">
        <v>653</v>
      </c>
      <c r="G161" s="20" t="s">
        <v>654</v>
      </c>
      <c r="H161" s="20" t="s">
        <v>655</v>
      </c>
      <c r="I161" s="20" t="s">
        <v>23</v>
      </c>
      <c r="J161" s="21">
        <v>2021</v>
      </c>
      <c r="K161" s="20" t="s">
        <v>67</v>
      </c>
      <c r="L161" s="21" t="s">
        <v>30</v>
      </c>
      <c r="M161" s="21"/>
      <c r="N161" s="20" t="s">
        <v>236</v>
      </c>
      <c r="O161" s="20"/>
    </row>
    <row r="162" spans="1:15" ht="13.5" customHeight="1" x14ac:dyDescent="0.25">
      <c r="A162" s="1"/>
      <c r="B162" s="22">
        <v>150</v>
      </c>
      <c r="C162" s="22">
        <v>2023</v>
      </c>
      <c r="D162" s="22">
        <v>13</v>
      </c>
      <c r="E162" s="22" t="s">
        <v>656</v>
      </c>
      <c r="F162" s="22" t="s">
        <v>657</v>
      </c>
      <c r="G162" s="22" t="s">
        <v>658</v>
      </c>
      <c r="H162" s="22" t="s">
        <v>659</v>
      </c>
      <c r="I162" s="22" t="s">
        <v>223</v>
      </c>
      <c r="J162" s="23">
        <v>2000</v>
      </c>
      <c r="K162" s="22" t="s">
        <v>44</v>
      </c>
      <c r="L162" s="23" t="s">
        <v>30</v>
      </c>
      <c r="M162" s="23" t="s">
        <v>30</v>
      </c>
      <c r="N162" s="22"/>
      <c r="O162" s="22"/>
    </row>
    <row r="163" spans="1:15" ht="13.5" customHeight="1" x14ac:dyDescent="0.25">
      <c r="A163" s="1"/>
      <c r="B163" s="20">
        <v>151</v>
      </c>
      <c r="C163" s="20">
        <v>2023</v>
      </c>
      <c r="D163" s="20">
        <v>10502</v>
      </c>
      <c r="E163" s="20" t="s">
        <v>660</v>
      </c>
      <c r="F163" s="20" t="s">
        <v>661</v>
      </c>
      <c r="G163" s="20" t="s">
        <v>662</v>
      </c>
      <c r="H163" s="20" t="s">
        <v>663</v>
      </c>
      <c r="I163" s="20" t="s">
        <v>23</v>
      </c>
      <c r="J163" s="21">
        <v>2001</v>
      </c>
      <c r="K163" s="20" t="s">
        <v>664</v>
      </c>
      <c r="L163" s="21" t="s">
        <v>30</v>
      </c>
      <c r="M163" s="21" t="s">
        <v>30</v>
      </c>
      <c r="N163" s="20"/>
      <c r="O163" s="20"/>
    </row>
    <row r="164" spans="1:15" ht="13.5" customHeight="1" x14ac:dyDescent="0.25">
      <c r="A164" s="1"/>
      <c r="B164" s="22">
        <v>152</v>
      </c>
      <c r="C164" s="22">
        <v>2023</v>
      </c>
      <c r="D164" s="22">
        <v>407</v>
      </c>
      <c r="E164" s="22" t="s">
        <v>665</v>
      </c>
      <c r="F164" s="22" t="s">
        <v>666</v>
      </c>
      <c r="G164" s="22" t="s">
        <v>667</v>
      </c>
      <c r="H164" s="22" t="s">
        <v>668</v>
      </c>
      <c r="I164" s="22" t="s">
        <v>23</v>
      </c>
      <c r="J164" s="23">
        <v>2000</v>
      </c>
      <c r="K164" s="22" t="s">
        <v>44</v>
      </c>
      <c r="L164" s="23" t="s">
        <v>30</v>
      </c>
      <c r="M164" s="23" t="s">
        <v>30</v>
      </c>
      <c r="N164" s="22"/>
      <c r="O164" s="22"/>
    </row>
    <row r="165" spans="1:15" ht="13.5" customHeight="1" x14ac:dyDescent="0.25">
      <c r="A165" s="1"/>
      <c r="B165" s="20">
        <v>153</v>
      </c>
      <c r="C165" s="20">
        <v>2023</v>
      </c>
      <c r="D165" s="20">
        <v>153</v>
      </c>
      <c r="E165" s="20" t="s">
        <v>669</v>
      </c>
      <c r="F165" s="20" t="s">
        <v>670</v>
      </c>
      <c r="G165" s="20" t="s">
        <v>671</v>
      </c>
      <c r="H165" s="20" t="s">
        <v>672</v>
      </c>
      <c r="I165" s="20" t="s">
        <v>23</v>
      </c>
      <c r="J165" s="21">
        <v>2000</v>
      </c>
      <c r="K165" s="20" t="s">
        <v>44</v>
      </c>
      <c r="L165" s="21" t="s">
        <v>30</v>
      </c>
      <c r="M165" s="21" t="s">
        <v>30</v>
      </c>
      <c r="N165" s="20"/>
      <c r="O165" s="20"/>
    </row>
    <row r="166" spans="1:15" ht="13.5" customHeight="1" x14ac:dyDescent="0.25">
      <c r="A166" s="1"/>
      <c r="B166" s="22">
        <v>154</v>
      </c>
      <c r="C166" s="22">
        <v>2023</v>
      </c>
      <c r="D166" s="22">
        <v>205</v>
      </c>
      <c r="E166" s="22" t="s">
        <v>673</v>
      </c>
      <c r="F166" s="22" t="s">
        <v>674</v>
      </c>
      <c r="G166" s="22" t="s">
        <v>675</v>
      </c>
      <c r="H166" s="22" t="s">
        <v>676</v>
      </c>
      <c r="I166" s="22" t="s">
        <v>23</v>
      </c>
      <c r="J166" s="23">
        <v>2000</v>
      </c>
      <c r="K166" s="22" t="s">
        <v>63</v>
      </c>
      <c r="L166" s="23" t="s">
        <v>30</v>
      </c>
      <c r="M166" s="23" t="s">
        <v>30</v>
      </c>
      <c r="N166" s="22"/>
      <c r="O166" s="22"/>
    </row>
    <row r="167" spans="1:15" ht="13.5" customHeight="1" x14ac:dyDescent="0.25">
      <c r="A167" s="1"/>
      <c r="B167" s="20">
        <v>155</v>
      </c>
      <c r="C167" s="20">
        <v>2023</v>
      </c>
      <c r="D167" s="20">
        <v>419</v>
      </c>
      <c r="E167" s="20" t="s">
        <v>677</v>
      </c>
      <c r="F167" s="20" t="s">
        <v>678</v>
      </c>
      <c r="G167" s="20" t="s">
        <v>679</v>
      </c>
      <c r="H167" s="20" t="s">
        <v>680</v>
      </c>
      <c r="I167" s="20" t="s">
        <v>23</v>
      </c>
      <c r="J167" s="21">
        <v>2000</v>
      </c>
      <c r="K167" s="20" t="s">
        <v>67</v>
      </c>
      <c r="L167" s="21" t="s">
        <v>30</v>
      </c>
      <c r="M167" s="21" t="s">
        <v>30</v>
      </c>
      <c r="N167" s="20"/>
      <c r="O167" s="20"/>
    </row>
    <row r="168" spans="1:15" ht="13.5" customHeight="1" x14ac:dyDescent="0.25">
      <c r="A168" s="1"/>
      <c r="B168" s="22">
        <v>156</v>
      </c>
      <c r="C168" s="22">
        <v>2023</v>
      </c>
      <c r="D168" s="22">
        <v>43452</v>
      </c>
      <c r="E168" s="22" t="s">
        <v>681</v>
      </c>
      <c r="F168" s="22" t="s">
        <v>682</v>
      </c>
      <c r="G168" s="22"/>
      <c r="H168" s="22" t="s">
        <v>683</v>
      </c>
      <c r="I168" s="22" t="s">
        <v>23</v>
      </c>
      <c r="J168" s="23">
        <v>2006</v>
      </c>
      <c r="K168" s="22" t="s">
        <v>67</v>
      </c>
      <c r="L168" s="23"/>
      <c r="M168" s="23"/>
      <c r="N168" s="22" t="s">
        <v>270</v>
      </c>
      <c r="O168" s="22"/>
    </row>
    <row r="169" spans="1:15" ht="13.5" customHeight="1" x14ac:dyDescent="0.25">
      <c r="A169" s="1"/>
      <c r="B169" s="20">
        <v>157</v>
      </c>
      <c r="C169" s="20">
        <v>2023</v>
      </c>
      <c r="D169" s="20">
        <v>11831</v>
      </c>
      <c r="E169" s="20" t="s">
        <v>684</v>
      </c>
      <c r="F169" s="20" t="s">
        <v>685</v>
      </c>
      <c r="G169" s="20" t="s">
        <v>686</v>
      </c>
      <c r="H169" s="20" t="s">
        <v>687</v>
      </c>
      <c r="I169" s="20" t="s">
        <v>23</v>
      </c>
      <c r="J169" s="21">
        <v>2000</v>
      </c>
      <c r="K169" s="20" t="s">
        <v>67</v>
      </c>
      <c r="L169" s="21" t="s">
        <v>30</v>
      </c>
      <c r="M169" s="21" t="s">
        <v>30</v>
      </c>
      <c r="N169" s="20" t="s">
        <v>74</v>
      </c>
      <c r="O169" s="20"/>
    </row>
    <row r="170" spans="1:15" ht="13.5" customHeight="1" x14ac:dyDescent="0.25">
      <c r="A170" s="1"/>
      <c r="B170" s="22">
        <v>158</v>
      </c>
      <c r="C170" s="22">
        <v>2023</v>
      </c>
      <c r="D170" s="22">
        <v>403</v>
      </c>
      <c r="E170" s="22" t="s">
        <v>688</v>
      </c>
      <c r="F170" s="22" t="s">
        <v>689</v>
      </c>
      <c r="G170" s="22"/>
      <c r="H170" s="22" t="s">
        <v>690</v>
      </c>
      <c r="I170" s="22" t="s">
        <v>23</v>
      </c>
      <c r="J170" s="23">
        <v>2000</v>
      </c>
      <c r="K170" s="22" t="s">
        <v>39</v>
      </c>
      <c r="L170" s="23"/>
      <c r="M170" s="23" t="s">
        <v>30</v>
      </c>
      <c r="N170" s="22"/>
      <c r="O170" s="22"/>
    </row>
    <row r="171" spans="1:15" ht="13.5" customHeight="1" x14ac:dyDescent="0.25">
      <c r="A171" s="1"/>
      <c r="B171" s="20">
        <v>159</v>
      </c>
      <c r="C171" s="20">
        <v>2023</v>
      </c>
      <c r="D171" s="20">
        <v>244</v>
      </c>
      <c r="E171" s="20" t="s">
        <v>691</v>
      </c>
      <c r="F171" s="20" t="s">
        <v>692</v>
      </c>
      <c r="G171" s="20" t="s">
        <v>693</v>
      </c>
      <c r="H171" s="20" t="s">
        <v>694</v>
      </c>
      <c r="I171" s="20" t="s">
        <v>23</v>
      </c>
      <c r="J171" s="21">
        <v>2000</v>
      </c>
      <c r="K171" s="20" t="s">
        <v>95</v>
      </c>
      <c r="L171" s="21" t="s">
        <v>30</v>
      </c>
      <c r="M171" s="21" t="s">
        <v>30</v>
      </c>
      <c r="N171" s="20"/>
      <c r="O171" s="20"/>
    </row>
    <row r="172" spans="1:15" ht="13.5" customHeight="1" x14ac:dyDescent="0.25">
      <c r="A172" s="1"/>
      <c r="B172" s="22">
        <v>160</v>
      </c>
      <c r="C172" s="22">
        <v>2023</v>
      </c>
      <c r="D172" s="22">
        <v>404</v>
      </c>
      <c r="E172" s="22" t="s">
        <v>695</v>
      </c>
      <c r="F172" s="22" t="s">
        <v>696</v>
      </c>
      <c r="G172" s="22"/>
      <c r="H172" s="22" t="s">
        <v>697</v>
      </c>
      <c r="I172" s="22" t="s">
        <v>23</v>
      </c>
      <c r="J172" s="23">
        <v>2000</v>
      </c>
      <c r="K172" s="22" t="s">
        <v>39</v>
      </c>
      <c r="L172" s="23"/>
      <c r="M172" s="23" t="s">
        <v>30</v>
      </c>
      <c r="N172" s="22"/>
      <c r="O172" s="22"/>
    </row>
    <row r="173" spans="1:15" ht="13.5" customHeight="1" x14ac:dyDescent="0.25">
      <c r="A173" s="1"/>
      <c r="B173" s="20">
        <v>161</v>
      </c>
      <c r="C173" s="20">
        <v>2023</v>
      </c>
      <c r="D173" s="20">
        <v>203</v>
      </c>
      <c r="E173" s="20" t="s">
        <v>698</v>
      </c>
      <c r="F173" s="20" t="s">
        <v>699</v>
      </c>
      <c r="G173" s="20" t="s">
        <v>700</v>
      </c>
      <c r="H173" s="20" t="s">
        <v>701</v>
      </c>
      <c r="I173" s="20" t="s">
        <v>23</v>
      </c>
      <c r="J173" s="21">
        <v>2000</v>
      </c>
      <c r="K173" s="20" t="s">
        <v>34</v>
      </c>
      <c r="L173" s="21" t="s">
        <v>30</v>
      </c>
      <c r="M173" s="21" t="s">
        <v>30</v>
      </c>
      <c r="N173" s="20"/>
      <c r="O173" s="20"/>
    </row>
    <row r="174" spans="1:15" ht="13.5" customHeight="1" x14ac:dyDescent="0.25">
      <c r="A174" s="1"/>
      <c r="B174" s="22">
        <v>162</v>
      </c>
      <c r="C174" s="22">
        <v>2023</v>
      </c>
      <c r="D174" s="22">
        <v>402</v>
      </c>
      <c r="E174" s="22" t="s">
        <v>702</v>
      </c>
      <c r="F174" s="22" t="s">
        <v>703</v>
      </c>
      <c r="G174" s="22"/>
      <c r="H174" s="22" t="s">
        <v>704</v>
      </c>
      <c r="I174" s="22" t="s">
        <v>23</v>
      </c>
      <c r="J174" s="23">
        <v>2000</v>
      </c>
      <c r="K174" s="22" t="s">
        <v>39</v>
      </c>
      <c r="L174" s="23"/>
      <c r="M174" s="23" t="s">
        <v>30</v>
      </c>
      <c r="N174" s="22"/>
      <c r="O174" s="22"/>
    </row>
    <row r="175" spans="1:15" ht="13.5" customHeight="1" x14ac:dyDescent="0.25">
      <c r="A175" s="1"/>
      <c r="B175" s="20">
        <v>163</v>
      </c>
      <c r="C175" s="20">
        <v>2023</v>
      </c>
      <c r="D175" s="20">
        <v>11657</v>
      </c>
      <c r="E175" s="20" t="s">
        <v>705</v>
      </c>
      <c r="F175" s="20" t="s">
        <v>706</v>
      </c>
      <c r="G175" s="20"/>
      <c r="H175" s="20" t="s">
        <v>707</v>
      </c>
      <c r="I175" s="20" t="s">
        <v>23</v>
      </c>
      <c r="J175" s="21">
        <v>2006</v>
      </c>
      <c r="K175" s="20" t="s">
        <v>39</v>
      </c>
      <c r="L175" s="21"/>
      <c r="M175" s="21" t="s">
        <v>30</v>
      </c>
      <c r="N175" s="20"/>
      <c r="O175" s="20"/>
    </row>
    <row r="176" spans="1:15" ht="13.5" customHeight="1" x14ac:dyDescent="0.25">
      <c r="A176" s="1"/>
      <c r="B176" s="22">
        <v>164</v>
      </c>
      <c r="C176" s="22">
        <v>2023</v>
      </c>
      <c r="D176" s="22">
        <v>12272</v>
      </c>
      <c r="E176" s="22" t="s">
        <v>708</v>
      </c>
      <c r="F176" s="22" t="s">
        <v>709</v>
      </c>
      <c r="G176" s="22" t="s">
        <v>710</v>
      </c>
      <c r="H176" s="22" t="s">
        <v>711</v>
      </c>
      <c r="I176" s="22" t="s">
        <v>712</v>
      </c>
      <c r="J176" s="23">
        <v>2000</v>
      </c>
      <c r="K176" s="22" t="s">
        <v>39</v>
      </c>
      <c r="L176" s="23" t="s">
        <v>30</v>
      </c>
      <c r="M176" s="23" t="s">
        <v>30</v>
      </c>
      <c r="N176" s="22" t="s">
        <v>35</v>
      </c>
      <c r="O176" s="22"/>
    </row>
    <row r="177" spans="1:15" ht="13.5" customHeight="1" x14ac:dyDescent="0.25">
      <c r="A177" s="1"/>
      <c r="B177" s="20">
        <v>165</v>
      </c>
      <c r="C177" s="20">
        <v>2023</v>
      </c>
      <c r="D177" s="20">
        <v>10508</v>
      </c>
      <c r="E177" s="20" t="s">
        <v>713</v>
      </c>
      <c r="F177" s="20" t="s">
        <v>714</v>
      </c>
      <c r="G177" s="20" t="s">
        <v>715</v>
      </c>
      <c r="H177" s="20" t="s">
        <v>716</v>
      </c>
      <c r="I177" s="20" t="s">
        <v>23</v>
      </c>
      <c r="J177" s="21">
        <v>2000</v>
      </c>
      <c r="K177" s="20" t="s">
        <v>203</v>
      </c>
      <c r="L177" s="21" t="s">
        <v>30</v>
      </c>
      <c r="M177" s="21" t="s">
        <v>30</v>
      </c>
      <c r="N177" s="20"/>
      <c r="O177" s="20"/>
    </row>
    <row r="178" spans="1:15" ht="13.5" customHeight="1" x14ac:dyDescent="0.25">
      <c r="A178" s="1"/>
      <c r="B178" s="22">
        <v>166</v>
      </c>
      <c r="C178" s="22">
        <v>2023</v>
      </c>
      <c r="D178" s="22">
        <v>204</v>
      </c>
      <c r="E178" s="22" t="s">
        <v>717</v>
      </c>
      <c r="F178" s="22" t="s">
        <v>718</v>
      </c>
      <c r="G178" s="22" t="s">
        <v>719</v>
      </c>
      <c r="H178" s="22" t="s">
        <v>720</v>
      </c>
      <c r="I178" s="22" t="s">
        <v>23</v>
      </c>
      <c r="J178" s="23">
        <v>2000</v>
      </c>
      <c r="K178" s="22" t="s">
        <v>34</v>
      </c>
      <c r="L178" s="23" t="s">
        <v>30</v>
      </c>
      <c r="M178" s="23" t="s">
        <v>30</v>
      </c>
      <c r="N178" s="22"/>
      <c r="O178" s="22"/>
    </row>
    <row r="179" spans="1:15" ht="13.5" customHeight="1" x14ac:dyDescent="0.25">
      <c r="A179" s="1"/>
      <c r="B179" s="20">
        <v>167</v>
      </c>
      <c r="C179" s="20">
        <v>2023</v>
      </c>
      <c r="D179" s="20">
        <v>705</v>
      </c>
      <c r="E179" s="20" t="s">
        <v>721</v>
      </c>
      <c r="F179" s="20" t="s">
        <v>722</v>
      </c>
      <c r="G179" s="20" t="s">
        <v>723</v>
      </c>
      <c r="H179" s="20" t="s">
        <v>724</v>
      </c>
      <c r="I179" s="20" t="s">
        <v>23</v>
      </c>
      <c r="J179" s="21">
        <v>2000</v>
      </c>
      <c r="K179" s="20" t="s">
        <v>34</v>
      </c>
      <c r="L179" s="21" t="s">
        <v>30</v>
      </c>
      <c r="M179" s="21" t="s">
        <v>30</v>
      </c>
      <c r="N179" s="20"/>
      <c r="O179" s="20"/>
    </row>
    <row r="180" spans="1:15" ht="13.5" customHeight="1" x14ac:dyDescent="0.25">
      <c r="A180" s="1"/>
      <c r="B180" s="22">
        <v>168</v>
      </c>
      <c r="C180" s="22">
        <v>2023</v>
      </c>
      <c r="D180" s="22">
        <v>737</v>
      </c>
      <c r="E180" s="22" t="s">
        <v>725</v>
      </c>
      <c r="F180" s="22" t="s">
        <v>726</v>
      </c>
      <c r="G180" s="22" t="s">
        <v>727</v>
      </c>
      <c r="H180" s="22" t="s">
        <v>728</v>
      </c>
      <c r="I180" s="22" t="s">
        <v>23</v>
      </c>
      <c r="J180" s="23">
        <v>2000</v>
      </c>
      <c r="K180" s="22" t="s">
        <v>39</v>
      </c>
      <c r="L180" s="23" t="s">
        <v>30</v>
      </c>
      <c r="M180" s="23" t="s">
        <v>30</v>
      </c>
      <c r="N180" s="22"/>
      <c r="O180" s="22"/>
    </row>
    <row r="181" spans="1:15" ht="13.5" customHeight="1" x14ac:dyDescent="0.25">
      <c r="A181" s="1"/>
      <c r="B181" s="20">
        <v>169</v>
      </c>
      <c r="C181" s="20">
        <v>2023</v>
      </c>
      <c r="D181" s="20">
        <v>10503</v>
      </c>
      <c r="E181" s="20" t="s">
        <v>729</v>
      </c>
      <c r="F181" s="20" t="s">
        <v>730</v>
      </c>
      <c r="G181" s="20" t="s">
        <v>731</v>
      </c>
      <c r="H181" s="20" t="s">
        <v>732</v>
      </c>
      <c r="I181" s="20" t="s">
        <v>23</v>
      </c>
      <c r="J181" s="21">
        <v>2000</v>
      </c>
      <c r="K181" s="20" t="s">
        <v>73</v>
      </c>
      <c r="L181" s="21" t="s">
        <v>30</v>
      </c>
      <c r="M181" s="21" t="s">
        <v>30</v>
      </c>
      <c r="N181" s="20"/>
      <c r="O181" s="20"/>
    </row>
    <row r="182" spans="1:15" ht="13.5" customHeight="1" x14ac:dyDescent="0.25">
      <c r="A182" s="1"/>
      <c r="B182" s="22">
        <v>170</v>
      </c>
      <c r="C182" s="22">
        <v>2023</v>
      </c>
      <c r="D182" s="22">
        <v>13330</v>
      </c>
      <c r="E182" s="22" t="s">
        <v>733</v>
      </c>
      <c r="F182" s="22" t="s">
        <v>734</v>
      </c>
      <c r="G182" s="22" t="s">
        <v>735</v>
      </c>
      <c r="H182" s="22" t="s">
        <v>736</v>
      </c>
      <c r="I182" s="22" t="s">
        <v>62</v>
      </c>
      <c r="J182" s="23">
        <v>2011</v>
      </c>
      <c r="K182" s="22" t="s">
        <v>34</v>
      </c>
      <c r="L182" s="23" t="s">
        <v>30</v>
      </c>
      <c r="M182" s="23"/>
      <c r="N182" s="22" t="s">
        <v>250</v>
      </c>
      <c r="O182" s="22"/>
    </row>
    <row r="183" spans="1:15" ht="13.5" customHeight="1" x14ac:dyDescent="0.25">
      <c r="A183" s="1"/>
      <c r="B183" s="20">
        <v>171</v>
      </c>
      <c r="C183" s="20">
        <v>2023</v>
      </c>
      <c r="D183" s="20">
        <v>40598</v>
      </c>
      <c r="E183" s="20" t="s">
        <v>737</v>
      </c>
      <c r="F183" s="20" t="s">
        <v>738</v>
      </c>
      <c r="G183" s="20" t="s">
        <v>739</v>
      </c>
      <c r="H183" s="20" t="s">
        <v>740</v>
      </c>
      <c r="I183" s="20" t="s">
        <v>23</v>
      </c>
      <c r="J183" s="21">
        <v>2015</v>
      </c>
      <c r="K183" s="20" t="s">
        <v>44</v>
      </c>
      <c r="L183" s="21" t="s">
        <v>30</v>
      </c>
      <c r="M183" s="21"/>
      <c r="N183" s="20" t="s">
        <v>185</v>
      </c>
      <c r="O183" s="20"/>
    </row>
    <row r="184" spans="1:15" ht="13.5" customHeight="1" x14ac:dyDescent="0.25">
      <c r="A184" s="1"/>
      <c r="B184" s="22">
        <v>172</v>
      </c>
      <c r="C184" s="22">
        <v>2023</v>
      </c>
      <c r="D184" s="22">
        <v>11829</v>
      </c>
      <c r="E184" s="22" t="s">
        <v>741</v>
      </c>
      <c r="F184" s="22" t="s">
        <v>742</v>
      </c>
      <c r="G184" s="22"/>
      <c r="H184" s="22" t="s">
        <v>743</v>
      </c>
      <c r="I184" s="22" t="s">
        <v>23</v>
      </c>
      <c r="J184" s="23">
        <v>2007</v>
      </c>
      <c r="K184" s="22" t="s">
        <v>34</v>
      </c>
      <c r="L184" s="23"/>
      <c r="M184" s="23" t="s">
        <v>30</v>
      </c>
      <c r="N184" s="22" t="s">
        <v>245</v>
      </c>
      <c r="O184" s="22"/>
    </row>
    <row r="185" spans="1:15" ht="13.5" customHeight="1" x14ac:dyDescent="0.25">
      <c r="A185" s="1"/>
      <c r="B185" s="20">
        <v>173</v>
      </c>
      <c r="C185" s="20">
        <v>2023</v>
      </c>
      <c r="D185" s="20">
        <v>142</v>
      </c>
      <c r="E185" s="20" t="s">
        <v>744</v>
      </c>
      <c r="F185" s="20" t="s">
        <v>745</v>
      </c>
      <c r="G185" s="20" t="s">
        <v>746</v>
      </c>
      <c r="H185" s="20" t="s">
        <v>747</v>
      </c>
      <c r="I185" s="20" t="s">
        <v>357</v>
      </c>
      <c r="J185" s="21">
        <v>2000</v>
      </c>
      <c r="K185" s="20" t="s">
        <v>39</v>
      </c>
      <c r="L185" s="21" t="s">
        <v>30</v>
      </c>
      <c r="M185" s="21" t="s">
        <v>30</v>
      </c>
      <c r="N185" s="20"/>
      <c r="O185" s="20"/>
    </row>
    <row r="186" spans="1:15" ht="13.5" customHeight="1" x14ac:dyDescent="0.25">
      <c r="A186" s="1"/>
      <c r="B186" s="22">
        <v>174</v>
      </c>
      <c r="C186" s="22">
        <v>2023</v>
      </c>
      <c r="D186" s="22">
        <v>10506</v>
      </c>
      <c r="E186" s="22" t="s">
        <v>748</v>
      </c>
      <c r="F186" s="22" t="s">
        <v>749</v>
      </c>
      <c r="G186" s="22" t="s">
        <v>750</v>
      </c>
      <c r="H186" s="22" t="s">
        <v>751</v>
      </c>
      <c r="I186" s="22" t="s">
        <v>23</v>
      </c>
      <c r="J186" s="23">
        <v>2000</v>
      </c>
      <c r="K186" s="22" t="s">
        <v>114</v>
      </c>
      <c r="L186" s="23" t="s">
        <v>30</v>
      </c>
      <c r="M186" s="23" t="s">
        <v>30</v>
      </c>
      <c r="N186" s="22"/>
      <c r="O186" s="22"/>
    </row>
    <row r="187" spans="1:15" ht="13.5" customHeight="1" x14ac:dyDescent="0.25">
      <c r="A187" s="1"/>
      <c r="B187" s="20">
        <v>175</v>
      </c>
      <c r="C187" s="20">
        <v>2023</v>
      </c>
      <c r="D187" s="20">
        <v>10462</v>
      </c>
      <c r="E187" s="20" t="s">
        <v>752</v>
      </c>
      <c r="F187" s="20" t="s">
        <v>753</v>
      </c>
      <c r="G187" s="20" t="s">
        <v>754</v>
      </c>
      <c r="H187" s="20" t="s">
        <v>755</v>
      </c>
      <c r="I187" s="20" t="s">
        <v>23</v>
      </c>
      <c r="J187" s="21">
        <v>2000</v>
      </c>
      <c r="K187" s="20" t="s">
        <v>114</v>
      </c>
      <c r="L187" s="21" t="s">
        <v>30</v>
      </c>
      <c r="M187" s="21" t="s">
        <v>30</v>
      </c>
      <c r="N187" s="20"/>
      <c r="O187" s="20"/>
    </row>
    <row r="188" spans="1:15" ht="13.5" customHeight="1" x14ac:dyDescent="0.25">
      <c r="A188" s="1"/>
      <c r="B188" s="22">
        <v>176</v>
      </c>
      <c r="C188" s="22">
        <v>2023</v>
      </c>
      <c r="D188" s="22">
        <v>10015</v>
      </c>
      <c r="E188" s="22" t="s">
        <v>756</v>
      </c>
      <c r="F188" s="22" t="s">
        <v>757</v>
      </c>
      <c r="G188" s="22" t="s">
        <v>758</v>
      </c>
      <c r="H188" s="22" t="s">
        <v>759</v>
      </c>
      <c r="I188" s="22" t="s">
        <v>23</v>
      </c>
      <c r="J188" s="23">
        <v>2000</v>
      </c>
      <c r="K188" s="22" t="s">
        <v>114</v>
      </c>
      <c r="L188" s="23" t="s">
        <v>30</v>
      </c>
      <c r="M188" s="23" t="s">
        <v>30</v>
      </c>
      <c r="N188" s="22"/>
      <c r="O188" s="22"/>
    </row>
    <row r="189" spans="1:15" ht="13.5" customHeight="1" x14ac:dyDescent="0.25">
      <c r="A189" s="1"/>
      <c r="B189" s="20">
        <v>177</v>
      </c>
      <c r="C189" s="20">
        <v>2023</v>
      </c>
      <c r="D189" s="20">
        <v>10308</v>
      </c>
      <c r="E189" s="20" t="s">
        <v>760</v>
      </c>
      <c r="F189" s="20" t="s">
        <v>761</v>
      </c>
      <c r="G189" s="20" t="s">
        <v>762</v>
      </c>
      <c r="H189" s="20" t="s">
        <v>763</v>
      </c>
      <c r="I189" s="20" t="s">
        <v>23</v>
      </c>
      <c r="J189" s="21">
        <v>2003</v>
      </c>
      <c r="K189" s="20" t="s">
        <v>184</v>
      </c>
      <c r="L189" s="21" t="s">
        <v>30</v>
      </c>
      <c r="M189" s="21" t="s">
        <v>30</v>
      </c>
      <c r="N189" s="20"/>
      <c r="O189" s="20"/>
    </row>
    <row r="190" spans="1:15" ht="13.5" customHeight="1" x14ac:dyDescent="0.25">
      <c r="A190" s="1"/>
      <c r="B190" s="22">
        <v>178</v>
      </c>
      <c r="C190" s="22">
        <v>2023</v>
      </c>
      <c r="D190" s="22">
        <v>12564</v>
      </c>
      <c r="E190" s="22" t="s">
        <v>764</v>
      </c>
      <c r="F190" s="22" t="s">
        <v>765</v>
      </c>
      <c r="G190" s="22" t="s">
        <v>766</v>
      </c>
      <c r="H190" s="22" t="s">
        <v>767</v>
      </c>
      <c r="I190" s="22" t="s">
        <v>23</v>
      </c>
      <c r="J190" s="23">
        <v>2000</v>
      </c>
      <c r="K190" s="22" t="s">
        <v>73</v>
      </c>
      <c r="L190" s="23" t="s">
        <v>30</v>
      </c>
      <c r="M190" s="23"/>
      <c r="N190" s="22" t="s">
        <v>431</v>
      </c>
      <c r="O190" s="22"/>
    </row>
    <row r="191" spans="1:15" ht="13.5" customHeight="1" x14ac:dyDescent="0.25">
      <c r="A191" s="1"/>
      <c r="B191" s="20">
        <v>179</v>
      </c>
      <c r="C191" s="20">
        <v>2023</v>
      </c>
      <c r="D191" s="20">
        <v>10490</v>
      </c>
      <c r="E191" s="20" t="s">
        <v>768</v>
      </c>
      <c r="F191" s="20" t="s">
        <v>769</v>
      </c>
      <c r="G191" s="20" t="s">
        <v>770</v>
      </c>
      <c r="H191" s="20" t="s">
        <v>771</v>
      </c>
      <c r="I191" s="20" t="s">
        <v>23</v>
      </c>
      <c r="J191" s="21">
        <v>2000</v>
      </c>
      <c r="K191" s="20" t="s">
        <v>29</v>
      </c>
      <c r="L191" s="21" t="s">
        <v>30</v>
      </c>
      <c r="M191" s="21" t="s">
        <v>30</v>
      </c>
      <c r="N191" s="20"/>
      <c r="O191" s="20"/>
    </row>
    <row r="192" spans="1:15" ht="13.5" customHeight="1" x14ac:dyDescent="0.25">
      <c r="A192" s="1"/>
      <c r="B192" s="22">
        <v>180</v>
      </c>
      <c r="C192" s="22">
        <v>2023</v>
      </c>
      <c r="D192" s="22">
        <v>41826</v>
      </c>
      <c r="E192" s="22" t="s">
        <v>772</v>
      </c>
      <c r="F192" s="22" t="s">
        <v>773</v>
      </c>
      <c r="G192" s="22" t="s">
        <v>774</v>
      </c>
      <c r="H192" s="22" t="s">
        <v>775</v>
      </c>
      <c r="I192" s="22" t="s">
        <v>23</v>
      </c>
      <c r="J192" s="23">
        <v>2018</v>
      </c>
      <c r="K192" s="22" t="s">
        <v>184</v>
      </c>
      <c r="L192" s="23" t="s">
        <v>30</v>
      </c>
      <c r="M192" s="23"/>
      <c r="N192" s="22" t="s">
        <v>265</v>
      </c>
      <c r="O192" s="22"/>
    </row>
    <row r="193" spans="1:15" ht="13.5" customHeight="1" x14ac:dyDescent="0.25">
      <c r="A193" s="1"/>
      <c r="B193" s="20">
        <v>181</v>
      </c>
      <c r="C193" s="20">
        <v>2023</v>
      </c>
      <c r="D193" s="20">
        <v>41649</v>
      </c>
      <c r="E193" s="20" t="s">
        <v>776</v>
      </c>
      <c r="F193" s="20" t="s">
        <v>777</v>
      </c>
      <c r="G193" s="20" t="s">
        <v>778</v>
      </c>
      <c r="H193" s="20" t="s">
        <v>779</v>
      </c>
      <c r="I193" s="20" t="s">
        <v>23</v>
      </c>
      <c r="J193" s="21">
        <v>2017</v>
      </c>
      <c r="K193" s="20" t="s">
        <v>73</v>
      </c>
      <c r="L193" s="21" t="s">
        <v>30</v>
      </c>
      <c r="M193" s="21"/>
      <c r="N193" s="20" t="s">
        <v>105</v>
      </c>
      <c r="O193" s="20"/>
    </row>
    <row r="194" spans="1:15" ht="13.5" customHeight="1" x14ac:dyDescent="0.25">
      <c r="A194" s="1"/>
      <c r="B194" s="22">
        <v>182</v>
      </c>
      <c r="C194" s="22">
        <v>2023</v>
      </c>
      <c r="D194" s="22">
        <v>13520</v>
      </c>
      <c r="E194" s="22" t="s">
        <v>780</v>
      </c>
      <c r="F194" s="22" t="s">
        <v>781</v>
      </c>
      <c r="G194" s="22" t="s">
        <v>782</v>
      </c>
      <c r="H194" s="22" t="s">
        <v>783</v>
      </c>
      <c r="I194" s="22" t="s">
        <v>23</v>
      </c>
      <c r="J194" s="23">
        <v>2012</v>
      </c>
      <c r="K194" s="22" t="s">
        <v>73</v>
      </c>
      <c r="L194" s="23" t="s">
        <v>30</v>
      </c>
      <c r="M194" s="23"/>
      <c r="N194" s="22" t="s">
        <v>324</v>
      </c>
      <c r="O194" s="22"/>
    </row>
    <row r="195" spans="1:15" ht="13.5" customHeight="1" x14ac:dyDescent="0.25">
      <c r="A195" s="1"/>
      <c r="B195" s="20">
        <v>183</v>
      </c>
      <c r="C195" s="20">
        <v>2023</v>
      </c>
      <c r="D195" s="20">
        <v>42107</v>
      </c>
      <c r="E195" s="20" t="s">
        <v>784</v>
      </c>
      <c r="F195" s="20" t="s">
        <v>785</v>
      </c>
      <c r="G195" s="20" t="s">
        <v>786</v>
      </c>
      <c r="H195" s="20" t="s">
        <v>787</v>
      </c>
      <c r="I195" s="20" t="s">
        <v>23</v>
      </c>
      <c r="J195" s="21">
        <v>2018</v>
      </c>
      <c r="K195" s="20" t="s">
        <v>67</v>
      </c>
      <c r="L195" s="21" t="s">
        <v>30</v>
      </c>
      <c r="M195" s="21"/>
      <c r="N195" s="20" t="s">
        <v>151</v>
      </c>
      <c r="O195" s="20"/>
    </row>
    <row r="196" spans="1:15" ht="13.5" customHeight="1" x14ac:dyDescent="0.25">
      <c r="A196" s="1"/>
      <c r="B196" s="22">
        <v>184</v>
      </c>
      <c r="C196" s="22">
        <v>2023</v>
      </c>
      <c r="D196" s="22">
        <v>11417</v>
      </c>
      <c r="E196" s="22" t="s">
        <v>788</v>
      </c>
      <c r="F196" s="22" t="s">
        <v>789</v>
      </c>
      <c r="G196" s="22" t="s">
        <v>790</v>
      </c>
      <c r="H196" s="22" t="s">
        <v>791</v>
      </c>
      <c r="I196" s="22" t="s">
        <v>23</v>
      </c>
      <c r="J196" s="23">
        <v>2006</v>
      </c>
      <c r="K196" s="22" t="s">
        <v>394</v>
      </c>
      <c r="L196" s="23" t="s">
        <v>30</v>
      </c>
      <c r="M196" s="23" t="s">
        <v>30</v>
      </c>
      <c r="N196" s="22"/>
      <c r="O196" s="22"/>
    </row>
    <row r="197" spans="1:15" ht="13.5" customHeight="1" x14ac:dyDescent="0.25">
      <c r="A197" s="1"/>
      <c r="B197" s="20">
        <v>185</v>
      </c>
      <c r="C197" s="20">
        <v>2023</v>
      </c>
      <c r="D197" s="20">
        <v>44204</v>
      </c>
      <c r="E197" s="20" t="s">
        <v>792</v>
      </c>
      <c r="F197" s="20" t="s">
        <v>793</v>
      </c>
      <c r="G197" s="20"/>
      <c r="H197" s="20" t="s">
        <v>794</v>
      </c>
      <c r="I197" s="20" t="s">
        <v>23</v>
      </c>
      <c r="J197" s="21"/>
      <c r="K197" s="20" t="s">
        <v>73</v>
      </c>
      <c r="L197" s="21"/>
      <c r="M197" s="21"/>
      <c r="N197" s="20" t="s">
        <v>518</v>
      </c>
      <c r="O197" s="20"/>
    </row>
    <row r="198" spans="1:15" ht="13.5" customHeight="1" x14ac:dyDescent="0.25">
      <c r="A198" s="1"/>
      <c r="B198" s="22">
        <v>186</v>
      </c>
      <c r="C198" s="22">
        <v>2023</v>
      </c>
      <c r="D198" s="22">
        <v>10690</v>
      </c>
      <c r="E198" s="22" t="s">
        <v>795</v>
      </c>
      <c r="F198" s="22" t="s">
        <v>796</v>
      </c>
      <c r="G198" s="22" t="s">
        <v>797</v>
      </c>
      <c r="H198" s="22" t="s">
        <v>798</v>
      </c>
      <c r="I198" s="22" t="s">
        <v>23</v>
      </c>
      <c r="J198" s="23">
        <v>2000</v>
      </c>
      <c r="K198" s="22" t="s">
        <v>475</v>
      </c>
      <c r="L198" s="23" t="s">
        <v>30</v>
      </c>
      <c r="M198" s="23" t="s">
        <v>30</v>
      </c>
      <c r="N198" s="22"/>
      <c r="O198" s="22"/>
    </row>
    <row r="199" spans="1:15" ht="13.5" customHeight="1" x14ac:dyDescent="0.25">
      <c r="A199" s="1"/>
      <c r="B199" s="20">
        <v>187</v>
      </c>
      <c r="C199" s="20">
        <v>2023</v>
      </c>
      <c r="D199" s="20">
        <v>13143</v>
      </c>
      <c r="E199" s="20" t="s">
        <v>799</v>
      </c>
      <c r="F199" s="20" t="s">
        <v>800</v>
      </c>
      <c r="G199" s="20" t="s">
        <v>801</v>
      </c>
      <c r="H199" s="20" t="s">
        <v>802</v>
      </c>
      <c r="I199" s="20" t="s">
        <v>803</v>
      </c>
      <c r="J199" s="21">
        <v>2010</v>
      </c>
      <c r="K199" s="20" t="s">
        <v>95</v>
      </c>
      <c r="L199" s="21" t="s">
        <v>30</v>
      </c>
      <c r="M199" s="21"/>
      <c r="N199" s="20" t="s">
        <v>173</v>
      </c>
      <c r="O199" s="20"/>
    </row>
    <row r="200" spans="1:15" ht="13.5" customHeight="1" x14ac:dyDescent="0.25">
      <c r="A200" s="1"/>
      <c r="B200" s="22">
        <v>188</v>
      </c>
      <c r="C200" s="22">
        <v>2023</v>
      </c>
      <c r="D200" s="22">
        <v>41685</v>
      </c>
      <c r="E200" s="22" t="s">
        <v>804</v>
      </c>
      <c r="F200" s="22" t="s">
        <v>805</v>
      </c>
      <c r="G200" s="22" t="s">
        <v>806</v>
      </c>
      <c r="H200" s="22" t="s">
        <v>807</v>
      </c>
      <c r="I200" s="22" t="s">
        <v>23</v>
      </c>
      <c r="J200" s="23">
        <v>2017</v>
      </c>
      <c r="K200" s="22" t="s">
        <v>475</v>
      </c>
      <c r="L200" s="23" t="s">
        <v>30</v>
      </c>
      <c r="M200" s="23"/>
      <c r="N200" s="22" t="s">
        <v>265</v>
      </c>
      <c r="O200" s="22"/>
    </row>
    <row r="201" spans="1:15" ht="13.5" customHeight="1" x14ac:dyDescent="0.25">
      <c r="A201" s="1"/>
      <c r="B201" s="20">
        <v>189</v>
      </c>
      <c r="C201" s="20">
        <v>2023</v>
      </c>
      <c r="D201" s="20">
        <v>10182</v>
      </c>
      <c r="E201" s="20" t="s">
        <v>808</v>
      </c>
      <c r="F201" s="20" t="s">
        <v>809</v>
      </c>
      <c r="G201" s="20" t="s">
        <v>810</v>
      </c>
      <c r="H201" s="20" t="s">
        <v>811</v>
      </c>
      <c r="I201" s="20" t="s">
        <v>23</v>
      </c>
      <c r="J201" s="21">
        <v>2004</v>
      </c>
      <c r="K201" s="20" t="s">
        <v>44</v>
      </c>
      <c r="L201" s="21" t="s">
        <v>30</v>
      </c>
      <c r="M201" s="21" t="s">
        <v>30</v>
      </c>
      <c r="N201" s="20"/>
      <c r="O201" s="20"/>
    </row>
    <row r="202" spans="1:15" ht="13.5" customHeight="1" x14ac:dyDescent="0.25">
      <c r="A202" s="1"/>
      <c r="B202" s="22">
        <v>190</v>
      </c>
      <c r="C202" s="22">
        <v>2023</v>
      </c>
      <c r="D202" s="22">
        <v>11943</v>
      </c>
      <c r="E202" s="22" t="s">
        <v>812</v>
      </c>
      <c r="F202" s="22" t="s">
        <v>813</v>
      </c>
      <c r="G202" s="22" t="s">
        <v>814</v>
      </c>
      <c r="H202" s="22" t="s">
        <v>815</v>
      </c>
      <c r="I202" s="22" t="s">
        <v>23</v>
      </c>
      <c r="J202" s="23">
        <v>2007</v>
      </c>
      <c r="K202" s="22" t="s">
        <v>44</v>
      </c>
      <c r="L202" s="23" t="s">
        <v>30</v>
      </c>
      <c r="M202" s="23" t="s">
        <v>30</v>
      </c>
      <c r="N202" s="22" t="s">
        <v>245</v>
      </c>
      <c r="O202" s="22"/>
    </row>
    <row r="203" spans="1:15" ht="13.5" customHeight="1" x14ac:dyDescent="0.25">
      <c r="A203" s="1"/>
      <c r="B203" s="20">
        <v>191</v>
      </c>
      <c r="C203" s="20">
        <v>2023</v>
      </c>
      <c r="D203" s="20">
        <v>12634</v>
      </c>
      <c r="E203" s="20" t="s">
        <v>816</v>
      </c>
      <c r="F203" s="20" t="s">
        <v>817</v>
      </c>
      <c r="G203" s="20" t="s">
        <v>818</v>
      </c>
      <c r="H203" s="20" t="s">
        <v>819</v>
      </c>
      <c r="I203" s="20" t="s">
        <v>357</v>
      </c>
      <c r="J203" s="21">
        <v>2012</v>
      </c>
      <c r="K203" s="20" t="s">
        <v>39</v>
      </c>
      <c r="L203" s="21" t="s">
        <v>30</v>
      </c>
      <c r="M203" s="21"/>
      <c r="N203" s="20"/>
      <c r="O203" s="20"/>
    </row>
    <row r="204" spans="1:15" ht="13.5" customHeight="1" x14ac:dyDescent="0.25">
      <c r="A204" s="1"/>
      <c r="B204" s="22">
        <v>192</v>
      </c>
      <c r="C204" s="22">
        <v>2023</v>
      </c>
      <c r="D204" s="22">
        <v>42064</v>
      </c>
      <c r="E204" s="22" t="s">
        <v>820</v>
      </c>
      <c r="F204" s="22" t="s">
        <v>821</v>
      </c>
      <c r="G204" s="22" t="s">
        <v>822</v>
      </c>
      <c r="H204" s="22" t="s">
        <v>823</v>
      </c>
      <c r="I204" s="22" t="s">
        <v>824</v>
      </c>
      <c r="J204" s="23">
        <v>2017</v>
      </c>
      <c r="K204" s="22" t="s">
        <v>67</v>
      </c>
      <c r="L204" s="23" t="s">
        <v>30</v>
      </c>
      <c r="M204" s="23"/>
      <c r="N204" s="22" t="s">
        <v>213</v>
      </c>
      <c r="O204" s="22"/>
    </row>
    <row r="205" spans="1:15" ht="13.5" customHeight="1" x14ac:dyDescent="0.25">
      <c r="A205" s="1"/>
      <c r="B205" s="20">
        <v>193</v>
      </c>
      <c r="C205" s="20">
        <v>2023</v>
      </c>
      <c r="D205" s="20">
        <v>11443</v>
      </c>
      <c r="E205" s="20" t="s">
        <v>825</v>
      </c>
      <c r="F205" s="20" t="s">
        <v>826</v>
      </c>
      <c r="G205" s="20" t="s">
        <v>827</v>
      </c>
      <c r="H205" s="20" t="s">
        <v>828</v>
      </c>
      <c r="I205" s="20" t="s">
        <v>62</v>
      </c>
      <c r="J205" s="21">
        <v>2000</v>
      </c>
      <c r="K205" s="20" t="s">
        <v>63</v>
      </c>
      <c r="L205" s="21" t="s">
        <v>30</v>
      </c>
      <c r="M205" s="21" t="s">
        <v>30</v>
      </c>
      <c r="N205" s="20"/>
      <c r="O205" s="20"/>
    </row>
    <row r="206" spans="1:15" ht="13.5" customHeight="1" x14ac:dyDescent="0.25">
      <c r="A206" s="1"/>
      <c r="B206" s="22">
        <v>194</v>
      </c>
      <c r="C206" s="22">
        <v>2023</v>
      </c>
      <c r="D206" s="22">
        <v>11444</v>
      </c>
      <c r="E206" s="22" t="s">
        <v>829</v>
      </c>
      <c r="F206" s="22" t="s">
        <v>830</v>
      </c>
      <c r="G206" s="22" t="s">
        <v>831</v>
      </c>
      <c r="H206" s="22" t="s">
        <v>832</v>
      </c>
      <c r="I206" s="22" t="s">
        <v>62</v>
      </c>
      <c r="J206" s="23">
        <v>2000</v>
      </c>
      <c r="K206" s="22" t="s">
        <v>63</v>
      </c>
      <c r="L206" s="23" t="s">
        <v>30</v>
      </c>
      <c r="M206" s="23" t="s">
        <v>30</v>
      </c>
      <c r="N206" s="22"/>
      <c r="O206" s="22"/>
    </row>
    <row r="207" spans="1:15" ht="13.5" customHeight="1" x14ac:dyDescent="0.25">
      <c r="A207" s="1"/>
      <c r="B207" s="20">
        <v>195</v>
      </c>
      <c r="C207" s="20">
        <v>2023</v>
      </c>
      <c r="D207" s="20">
        <v>11755</v>
      </c>
      <c r="E207" s="20" t="s">
        <v>833</v>
      </c>
      <c r="F207" s="20" t="s">
        <v>834</v>
      </c>
      <c r="G207" s="20" t="s">
        <v>835</v>
      </c>
      <c r="H207" s="20" t="s">
        <v>836</v>
      </c>
      <c r="I207" s="20" t="s">
        <v>62</v>
      </c>
      <c r="J207" s="21">
        <v>2007</v>
      </c>
      <c r="K207" s="20" t="s">
        <v>63</v>
      </c>
      <c r="L207" s="21" t="s">
        <v>30</v>
      </c>
      <c r="M207" s="21" t="s">
        <v>30</v>
      </c>
      <c r="N207" s="20" t="s">
        <v>74</v>
      </c>
      <c r="O207" s="20"/>
    </row>
    <row r="208" spans="1:15" ht="13.5" customHeight="1" x14ac:dyDescent="0.25">
      <c r="A208" s="1"/>
      <c r="B208" s="22">
        <v>196</v>
      </c>
      <c r="C208" s="22">
        <v>2023</v>
      </c>
      <c r="D208" s="22">
        <v>10511</v>
      </c>
      <c r="E208" s="22" t="s">
        <v>837</v>
      </c>
      <c r="F208" s="22" t="s">
        <v>838</v>
      </c>
      <c r="G208" s="22" t="s">
        <v>839</v>
      </c>
      <c r="H208" s="22" t="s">
        <v>840</v>
      </c>
      <c r="I208" s="22" t="s">
        <v>23</v>
      </c>
      <c r="J208" s="23">
        <v>2000</v>
      </c>
      <c r="K208" s="22" t="s">
        <v>63</v>
      </c>
      <c r="L208" s="23" t="s">
        <v>30</v>
      </c>
      <c r="M208" s="23" t="s">
        <v>30</v>
      </c>
      <c r="N208" s="22"/>
      <c r="O208" s="22"/>
    </row>
    <row r="209" spans="1:15" ht="13.5" customHeight="1" x14ac:dyDescent="0.25">
      <c r="A209" s="1"/>
      <c r="B209" s="20">
        <v>197</v>
      </c>
      <c r="C209" s="20">
        <v>2023</v>
      </c>
      <c r="D209" s="20">
        <v>10509</v>
      </c>
      <c r="E209" s="20" t="s">
        <v>841</v>
      </c>
      <c r="F209" s="20" t="s">
        <v>842</v>
      </c>
      <c r="G209" s="20" t="s">
        <v>843</v>
      </c>
      <c r="H209" s="20" t="s">
        <v>844</v>
      </c>
      <c r="I209" s="20" t="s">
        <v>23</v>
      </c>
      <c r="J209" s="21">
        <v>2000</v>
      </c>
      <c r="K209" s="20" t="s">
        <v>63</v>
      </c>
      <c r="L209" s="21" t="s">
        <v>30</v>
      </c>
      <c r="M209" s="21" t="s">
        <v>30</v>
      </c>
      <c r="N209" s="20"/>
      <c r="O209" s="20"/>
    </row>
    <row r="210" spans="1:15" ht="13.5" customHeight="1" x14ac:dyDescent="0.25">
      <c r="A210" s="1"/>
      <c r="B210" s="22">
        <v>198</v>
      </c>
      <c r="C210" s="22">
        <v>2023</v>
      </c>
      <c r="D210" s="22">
        <v>11293</v>
      </c>
      <c r="E210" s="22" t="s">
        <v>845</v>
      </c>
      <c r="F210" s="22" t="s">
        <v>846</v>
      </c>
      <c r="G210" s="22" t="s">
        <v>847</v>
      </c>
      <c r="H210" s="22" t="s">
        <v>848</v>
      </c>
      <c r="I210" s="22" t="s">
        <v>23</v>
      </c>
      <c r="J210" s="23">
        <v>2000</v>
      </c>
      <c r="K210" s="22" t="s">
        <v>475</v>
      </c>
      <c r="L210" s="23" t="s">
        <v>30</v>
      </c>
      <c r="M210" s="23" t="s">
        <v>30</v>
      </c>
      <c r="N210" s="22"/>
      <c r="O210" s="22"/>
    </row>
    <row r="211" spans="1:15" ht="13.5" customHeight="1" x14ac:dyDescent="0.25">
      <c r="A211" s="1"/>
      <c r="B211" s="20">
        <v>199</v>
      </c>
      <c r="C211" s="20">
        <v>2023</v>
      </c>
      <c r="D211" s="20">
        <v>12605</v>
      </c>
      <c r="E211" s="20" t="s">
        <v>849</v>
      </c>
      <c r="F211" s="20" t="s">
        <v>850</v>
      </c>
      <c r="G211" s="20" t="s">
        <v>851</v>
      </c>
      <c r="H211" s="20" t="s">
        <v>852</v>
      </c>
      <c r="I211" s="20" t="s">
        <v>62</v>
      </c>
      <c r="J211" s="21">
        <v>2009</v>
      </c>
      <c r="K211" s="20" t="s">
        <v>63</v>
      </c>
      <c r="L211" s="21" t="s">
        <v>30</v>
      </c>
      <c r="M211" s="21"/>
      <c r="N211" s="20" t="s">
        <v>431</v>
      </c>
      <c r="O211" s="20"/>
    </row>
    <row r="212" spans="1:15" ht="13.5" customHeight="1" x14ac:dyDescent="0.25">
      <c r="A212" s="1"/>
      <c r="B212" s="22">
        <v>200</v>
      </c>
      <c r="C212" s="22">
        <v>2023</v>
      </c>
      <c r="D212" s="22">
        <v>10512</v>
      </c>
      <c r="E212" s="22" t="s">
        <v>853</v>
      </c>
      <c r="F212" s="22" t="s">
        <v>854</v>
      </c>
      <c r="G212" s="22" t="s">
        <v>855</v>
      </c>
      <c r="H212" s="22" t="s">
        <v>856</v>
      </c>
      <c r="I212" s="22" t="s">
        <v>23</v>
      </c>
      <c r="J212" s="23">
        <v>2000</v>
      </c>
      <c r="K212" s="22" t="s">
        <v>63</v>
      </c>
      <c r="L212" s="23" t="s">
        <v>30</v>
      </c>
      <c r="M212" s="23" t="s">
        <v>30</v>
      </c>
      <c r="N212" s="22"/>
      <c r="O212" s="22"/>
    </row>
    <row r="213" spans="1:15" ht="13.5" customHeight="1" x14ac:dyDescent="0.25">
      <c r="A213" s="1"/>
      <c r="B213" s="20">
        <v>201</v>
      </c>
      <c r="C213" s="20">
        <v>2023</v>
      </c>
      <c r="D213" s="20">
        <v>13414</v>
      </c>
      <c r="E213" s="20" t="s">
        <v>857</v>
      </c>
      <c r="F213" s="20" t="s">
        <v>858</v>
      </c>
      <c r="G213" s="20" t="s">
        <v>859</v>
      </c>
      <c r="H213" s="20" t="s">
        <v>860</v>
      </c>
      <c r="I213" s="20" t="s">
        <v>23</v>
      </c>
      <c r="J213" s="21">
        <v>2000</v>
      </c>
      <c r="K213" s="20" t="s">
        <v>203</v>
      </c>
      <c r="L213" s="21" t="s">
        <v>30</v>
      </c>
      <c r="M213" s="21"/>
      <c r="N213" s="20" t="s">
        <v>275</v>
      </c>
      <c r="O213" s="20"/>
    </row>
    <row r="214" spans="1:15" ht="13.5" customHeight="1" x14ac:dyDescent="0.25">
      <c r="A214" s="1"/>
      <c r="B214" s="22">
        <v>202</v>
      </c>
      <c r="C214" s="22">
        <v>2023</v>
      </c>
      <c r="D214" s="22">
        <v>35148</v>
      </c>
      <c r="E214" s="22" t="s">
        <v>861</v>
      </c>
      <c r="F214" s="22" t="s">
        <v>862</v>
      </c>
      <c r="G214" s="22" t="s">
        <v>863</v>
      </c>
      <c r="H214" s="22" t="s">
        <v>864</v>
      </c>
      <c r="I214" s="22" t="s">
        <v>190</v>
      </c>
      <c r="J214" s="23">
        <v>2000</v>
      </c>
      <c r="K214" s="22" t="s">
        <v>67</v>
      </c>
      <c r="L214" s="23" t="s">
        <v>30</v>
      </c>
      <c r="M214" s="23"/>
      <c r="N214" s="22"/>
      <c r="O214" s="22"/>
    </row>
    <row r="215" spans="1:15" ht="13.5" customHeight="1" x14ac:dyDescent="0.25">
      <c r="A215" s="1"/>
      <c r="B215" s="20">
        <v>203</v>
      </c>
      <c r="C215" s="20">
        <v>2023</v>
      </c>
      <c r="D215" s="20">
        <v>38311</v>
      </c>
      <c r="E215" s="20" t="s">
        <v>865</v>
      </c>
      <c r="F215" s="20" t="s">
        <v>866</v>
      </c>
      <c r="G215" s="20"/>
      <c r="H215" s="20" t="s">
        <v>867</v>
      </c>
      <c r="I215" s="20" t="s">
        <v>190</v>
      </c>
      <c r="J215" s="21">
        <v>2001</v>
      </c>
      <c r="K215" s="20" t="s">
        <v>67</v>
      </c>
      <c r="L215" s="21"/>
      <c r="M215" s="21"/>
      <c r="N215" s="20"/>
      <c r="O215" s="20"/>
    </row>
    <row r="216" spans="1:15" ht="13.5" customHeight="1" x14ac:dyDescent="0.25">
      <c r="A216" s="1"/>
      <c r="B216" s="22">
        <v>204</v>
      </c>
      <c r="C216" s="22">
        <v>2023</v>
      </c>
      <c r="D216" s="22">
        <v>38314</v>
      </c>
      <c r="E216" s="22" t="s">
        <v>868</v>
      </c>
      <c r="F216" s="22" t="s">
        <v>869</v>
      </c>
      <c r="G216" s="22"/>
      <c r="H216" s="22" t="s">
        <v>870</v>
      </c>
      <c r="I216" s="22" t="s">
        <v>190</v>
      </c>
      <c r="J216" s="23">
        <v>2006</v>
      </c>
      <c r="K216" s="22" t="s">
        <v>67</v>
      </c>
      <c r="L216" s="23"/>
      <c r="M216" s="23"/>
      <c r="N216" s="22"/>
      <c r="O216" s="22"/>
    </row>
    <row r="217" spans="1:15" ht="13.5" customHeight="1" x14ac:dyDescent="0.25">
      <c r="A217" s="1"/>
      <c r="B217" s="20">
        <v>205</v>
      </c>
      <c r="C217" s="20">
        <v>2023</v>
      </c>
      <c r="D217" s="20">
        <v>35658</v>
      </c>
      <c r="E217" s="20" t="s">
        <v>871</v>
      </c>
      <c r="F217" s="20" t="s">
        <v>872</v>
      </c>
      <c r="G217" s="20" t="s">
        <v>873</v>
      </c>
      <c r="H217" s="20" t="s">
        <v>874</v>
      </c>
      <c r="I217" s="20" t="s">
        <v>190</v>
      </c>
      <c r="J217" s="21">
        <v>2006</v>
      </c>
      <c r="K217" s="20" t="s">
        <v>67</v>
      </c>
      <c r="L217" s="21" t="s">
        <v>30</v>
      </c>
      <c r="M217" s="21"/>
      <c r="N217" s="20"/>
      <c r="O217" s="20"/>
    </row>
    <row r="218" spans="1:15" ht="13.5" customHeight="1" x14ac:dyDescent="0.25">
      <c r="A218" s="1"/>
      <c r="B218" s="22">
        <v>206</v>
      </c>
      <c r="C218" s="22">
        <v>2023</v>
      </c>
      <c r="D218" s="22">
        <v>35746</v>
      </c>
      <c r="E218" s="22" t="s">
        <v>875</v>
      </c>
      <c r="F218" s="22" t="s">
        <v>876</v>
      </c>
      <c r="G218" s="22" t="s">
        <v>877</v>
      </c>
      <c r="H218" s="22" t="s">
        <v>878</v>
      </c>
      <c r="I218" s="22" t="s">
        <v>190</v>
      </c>
      <c r="J218" s="23">
        <v>2008</v>
      </c>
      <c r="K218" s="22" t="s">
        <v>67</v>
      </c>
      <c r="L218" s="23" t="s">
        <v>30</v>
      </c>
      <c r="M218" s="23"/>
      <c r="N218" s="22"/>
      <c r="O218" s="22"/>
    </row>
    <row r="219" spans="1:15" ht="13.5" customHeight="1" x14ac:dyDescent="0.25">
      <c r="A219" s="1"/>
      <c r="B219" s="20">
        <v>207</v>
      </c>
      <c r="C219" s="20">
        <v>2023</v>
      </c>
      <c r="D219" s="20">
        <v>41133</v>
      </c>
      <c r="E219" s="20" t="s">
        <v>879</v>
      </c>
      <c r="F219" s="20" t="s">
        <v>880</v>
      </c>
      <c r="G219" s="20" t="s">
        <v>881</v>
      </c>
      <c r="H219" s="20" t="s">
        <v>882</v>
      </c>
      <c r="I219" s="20" t="s">
        <v>23</v>
      </c>
      <c r="J219" s="21">
        <v>2016</v>
      </c>
      <c r="K219" s="20" t="s">
        <v>67</v>
      </c>
      <c r="L219" s="21" t="s">
        <v>30</v>
      </c>
      <c r="M219" s="21"/>
      <c r="N219" s="20" t="s">
        <v>204</v>
      </c>
      <c r="O219" s="20"/>
    </row>
    <row r="220" spans="1:15" ht="13.5" customHeight="1" x14ac:dyDescent="0.25">
      <c r="A220" s="1"/>
      <c r="B220" s="22">
        <v>208</v>
      </c>
      <c r="C220" s="22">
        <v>2023</v>
      </c>
      <c r="D220" s="22">
        <v>13313</v>
      </c>
      <c r="E220" s="22" t="s">
        <v>883</v>
      </c>
      <c r="F220" s="22" t="s">
        <v>884</v>
      </c>
      <c r="G220" s="22" t="s">
        <v>885</v>
      </c>
      <c r="H220" s="22" t="s">
        <v>886</v>
      </c>
      <c r="I220" s="22" t="s">
        <v>23</v>
      </c>
      <c r="J220" s="23">
        <v>2000</v>
      </c>
      <c r="K220" s="22" t="s">
        <v>34</v>
      </c>
      <c r="L220" s="23" t="s">
        <v>30</v>
      </c>
      <c r="M220" s="23"/>
      <c r="N220" s="22" t="s">
        <v>275</v>
      </c>
      <c r="O220" s="22"/>
    </row>
    <row r="221" spans="1:15" ht="13.5" customHeight="1" x14ac:dyDescent="0.25">
      <c r="A221" s="1"/>
      <c r="B221" s="20">
        <v>209</v>
      </c>
      <c r="C221" s="20">
        <v>2023</v>
      </c>
      <c r="D221" s="20">
        <v>10515</v>
      </c>
      <c r="E221" s="20" t="s">
        <v>887</v>
      </c>
      <c r="F221" s="20" t="s">
        <v>888</v>
      </c>
      <c r="G221" s="20" t="s">
        <v>889</v>
      </c>
      <c r="H221" s="20" t="s">
        <v>890</v>
      </c>
      <c r="I221" s="20" t="s">
        <v>23</v>
      </c>
      <c r="J221" s="21">
        <v>2000</v>
      </c>
      <c r="K221" s="20" t="s">
        <v>114</v>
      </c>
      <c r="L221" s="21" t="s">
        <v>30</v>
      </c>
      <c r="M221" s="21" t="s">
        <v>30</v>
      </c>
      <c r="N221" s="20"/>
      <c r="O221" s="20"/>
    </row>
    <row r="222" spans="1:15" ht="13.5" customHeight="1" x14ac:dyDescent="0.25">
      <c r="A222" s="1"/>
      <c r="B222" s="22">
        <v>210</v>
      </c>
      <c r="C222" s="22">
        <v>2023</v>
      </c>
      <c r="D222" s="22">
        <v>11950</v>
      </c>
      <c r="E222" s="22" t="s">
        <v>891</v>
      </c>
      <c r="F222" s="22" t="s">
        <v>892</v>
      </c>
      <c r="G222" s="22" t="s">
        <v>893</v>
      </c>
      <c r="H222" s="22" t="s">
        <v>894</v>
      </c>
      <c r="I222" s="22" t="s">
        <v>62</v>
      </c>
      <c r="J222" s="23">
        <v>2007</v>
      </c>
      <c r="K222" s="22" t="s">
        <v>114</v>
      </c>
      <c r="L222" s="23" t="s">
        <v>30</v>
      </c>
      <c r="M222" s="23" t="s">
        <v>30</v>
      </c>
      <c r="N222" s="22" t="s">
        <v>74</v>
      </c>
      <c r="O222" s="22"/>
    </row>
    <row r="223" spans="1:15" ht="13.5" customHeight="1" x14ac:dyDescent="0.25">
      <c r="A223" s="1"/>
      <c r="B223" s="20">
        <v>211</v>
      </c>
      <c r="C223" s="20">
        <v>2023</v>
      </c>
      <c r="D223" s="20">
        <v>11952</v>
      </c>
      <c r="E223" s="20" t="s">
        <v>895</v>
      </c>
      <c r="F223" s="20" t="s">
        <v>896</v>
      </c>
      <c r="G223" s="20" t="s">
        <v>897</v>
      </c>
      <c r="H223" s="20" t="s">
        <v>898</v>
      </c>
      <c r="I223" s="20" t="s">
        <v>62</v>
      </c>
      <c r="J223" s="21">
        <v>2007</v>
      </c>
      <c r="K223" s="20" t="s">
        <v>114</v>
      </c>
      <c r="L223" s="21" t="s">
        <v>30</v>
      </c>
      <c r="M223" s="21" t="s">
        <v>30</v>
      </c>
      <c r="N223" s="20" t="s">
        <v>74</v>
      </c>
      <c r="O223" s="20"/>
    </row>
    <row r="224" spans="1:15" ht="13.5" customHeight="1" x14ac:dyDescent="0.25">
      <c r="A224" s="1"/>
      <c r="B224" s="22">
        <v>212</v>
      </c>
      <c r="C224" s="22">
        <v>2023</v>
      </c>
      <c r="D224" s="22">
        <v>10513</v>
      </c>
      <c r="E224" s="22" t="s">
        <v>899</v>
      </c>
      <c r="F224" s="22" t="s">
        <v>900</v>
      </c>
      <c r="G224" s="22" t="s">
        <v>901</v>
      </c>
      <c r="H224" s="22" t="s">
        <v>902</v>
      </c>
      <c r="I224" s="22" t="s">
        <v>62</v>
      </c>
      <c r="J224" s="23">
        <v>2001</v>
      </c>
      <c r="K224" s="22" t="s">
        <v>44</v>
      </c>
      <c r="L224" s="23" t="s">
        <v>30</v>
      </c>
      <c r="M224" s="23" t="s">
        <v>30</v>
      </c>
      <c r="N224" s="22"/>
      <c r="O224" s="22"/>
    </row>
    <row r="225" spans="1:15" ht="13.5" customHeight="1" x14ac:dyDescent="0.25">
      <c r="A225" s="1"/>
      <c r="B225" s="20">
        <v>213</v>
      </c>
      <c r="C225" s="20">
        <v>2023</v>
      </c>
      <c r="D225" s="20">
        <v>41104</v>
      </c>
      <c r="E225" s="20" t="s">
        <v>903</v>
      </c>
      <c r="F225" s="20" t="s">
        <v>904</v>
      </c>
      <c r="G225" s="20"/>
      <c r="H225" s="20" t="s">
        <v>905</v>
      </c>
      <c r="I225" s="20" t="s">
        <v>23</v>
      </c>
      <c r="J225" s="21">
        <v>2016</v>
      </c>
      <c r="K225" s="20" t="s">
        <v>67</v>
      </c>
      <c r="L225" s="21"/>
      <c r="M225" s="21"/>
      <c r="N225" s="20" t="s">
        <v>204</v>
      </c>
      <c r="O225" s="20"/>
    </row>
    <row r="226" spans="1:15" ht="13.5" customHeight="1" x14ac:dyDescent="0.25">
      <c r="A226" s="1"/>
      <c r="B226" s="22">
        <v>214</v>
      </c>
      <c r="C226" s="22">
        <v>2023</v>
      </c>
      <c r="D226" s="22">
        <v>42154</v>
      </c>
      <c r="E226" s="22" t="s">
        <v>906</v>
      </c>
      <c r="F226" s="22" t="s">
        <v>907</v>
      </c>
      <c r="G226" s="22" t="s">
        <v>908</v>
      </c>
      <c r="H226" s="22" t="s">
        <v>909</v>
      </c>
      <c r="I226" s="22" t="s">
        <v>23</v>
      </c>
      <c r="J226" s="23">
        <v>2018</v>
      </c>
      <c r="K226" s="22" t="s">
        <v>67</v>
      </c>
      <c r="L226" s="23" t="s">
        <v>30</v>
      </c>
      <c r="M226" s="23"/>
      <c r="N226" s="22" t="s">
        <v>213</v>
      </c>
      <c r="O226" s="22"/>
    </row>
    <row r="227" spans="1:15" ht="13.5" customHeight="1" x14ac:dyDescent="0.25">
      <c r="A227" s="1"/>
      <c r="B227" s="20">
        <v>215</v>
      </c>
      <c r="C227" s="20">
        <v>2023</v>
      </c>
      <c r="D227" s="20">
        <v>10458</v>
      </c>
      <c r="E227" s="20" t="s">
        <v>910</v>
      </c>
      <c r="F227" s="20" t="s">
        <v>911</v>
      </c>
      <c r="G227" s="20" t="s">
        <v>912</v>
      </c>
      <c r="H227" s="20" t="s">
        <v>913</v>
      </c>
      <c r="I227" s="20" t="s">
        <v>23</v>
      </c>
      <c r="J227" s="21">
        <v>2000</v>
      </c>
      <c r="K227" s="20" t="s">
        <v>114</v>
      </c>
      <c r="L227" s="21" t="s">
        <v>30</v>
      </c>
      <c r="M227" s="21" t="s">
        <v>30</v>
      </c>
      <c r="N227" s="20"/>
      <c r="O227" s="20"/>
    </row>
    <row r="228" spans="1:15" ht="13.5" customHeight="1" x14ac:dyDescent="0.25">
      <c r="A228" s="1"/>
      <c r="B228" s="22">
        <v>216</v>
      </c>
      <c r="C228" s="22">
        <v>2023</v>
      </c>
      <c r="D228" s="22">
        <v>10514</v>
      </c>
      <c r="E228" s="22" t="s">
        <v>914</v>
      </c>
      <c r="F228" s="22" t="s">
        <v>915</v>
      </c>
      <c r="G228" s="22" t="s">
        <v>916</v>
      </c>
      <c r="H228" s="22" t="s">
        <v>917</v>
      </c>
      <c r="I228" s="22" t="s">
        <v>23</v>
      </c>
      <c r="J228" s="23">
        <v>2000</v>
      </c>
      <c r="K228" s="22" t="s">
        <v>67</v>
      </c>
      <c r="L228" s="23" t="s">
        <v>30</v>
      </c>
      <c r="M228" s="23" t="s">
        <v>30</v>
      </c>
      <c r="N228" s="22"/>
      <c r="O228" s="22"/>
    </row>
    <row r="229" spans="1:15" ht="13.5" customHeight="1" x14ac:dyDescent="0.25">
      <c r="A229" s="1"/>
      <c r="B229" s="20">
        <v>217</v>
      </c>
      <c r="C229" s="20">
        <v>2023</v>
      </c>
      <c r="D229" s="20">
        <v>10516</v>
      </c>
      <c r="E229" s="20" t="s">
        <v>918</v>
      </c>
      <c r="F229" s="20" t="s">
        <v>919</v>
      </c>
      <c r="G229" s="20" t="s">
        <v>920</v>
      </c>
      <c r="H229" s="20" t="s">
        <v>921</v>
      </c>
      <c r="I229" s="20" t="s">
        <v>23</v>
      </c>
      <c r="J229" s="21">
        <v>2000</v>
      </c>
      <c r="K229" s="20" t="s">
        <v>73</v>
      </c>
      <c r="L229" s="21" t="s">
        <v>30</v>
      </c>
      <c r="M229" s="21" t="s">
        <v>30</v>
      </c>
      <c r="N229" s="20"/>
      <c r="O229" s="20"/>
    </row>
    <row r="230" spans="1:15" ht="13.5" customHeight="1" x14ac:dyDescent="0.25">
      <c r="A230" s="1"/>
      <c r="B230" s="22">
        <v>218</v>
      </c>
      <c r="C230" s="22">
        <v>2023</v>
      </c>
      <c r="D230" s="22">
        <v>43037</v>
      </c>
      <c r="E230" s="22" t="s">
        <v>922</v>
      </c>
      <c r="F230" s="22" t="s">
        <v>923</v>
      </c>
      <c r="G230" s="22" t="s">
        <v>924</v>
      </c>
      <c r="H230" s="22" t="s">
        <v>925</v>
      </c>
      <c r="I230" s="22" t="s">
        <v>223</v>
      </c>
      <c r="J230" s="23">
        <v>2020</v>
      </c>
      <c r="K230" s="22" t="s">
        <v>44</v>
      </c>
      <c r="L230" s="23" t="s">
        <v>30</v>
      </c>
      <c r="M230" s="23"/>
      <c r="N230" s="22" t="s">
        <v>270</v>
      </c>
      <c r="O230" s="22"/>
    </row>
    <row r="231" spans="1:15" ht="13.5" customHeight="1" x14ac:dyDescent="0.25">
      <c r="A231" s="1"/>
      <c r="B231" s="20">
        <v>219</v>
      </c>
      <c r="C231" s="20">
        <v>2023</v>
      </c>
      <c r="D231" s="20">
        <v>395</v>
      </c>
      <c r="E231" s="20" t="s">
        <v>926</v>
      </c>
      <c r="F231" s="20" t="s">
        <v>927</v>
      </c>
      <c r="G231" s="20"/>
      <c r="H231" s="20" t="s">
        <v>928</v>
      </c>
      <c r="I231" s="20" t="s">
        <v>23</v>
      </c>
      <c r="J231" s="21">
        <v>2000</v>
      </c>
      <c r="K231" s="20" t="s">
        <v>39</v>
      </c>
      <c r="L231" s="21"/>
      <c r="M231" s="21" t="s">
        <v>30</v>
      </c>
      <c r="N231" s="20"/>
      <c r="O231" s="20"/>
    </row>
    <row r="232" spans="1:15" ht="13.5" customHeight="1" x14ac:dyDescent="0.25">
      <c r="A232" s="1"/>
      <c r="B232" s="22">
        <v>220</v>
      </c>
      <c r="C232" s="22">
        <v>2023</v>
      </c>
      <c r="D232" s="22">
        <v>40617</v>
      </c>
      <c r="E232" s="22" t="s">
        <v>929</v>
      </c>
      <c r="F232" s="22" t="s">
        <v>930</v>
      </c>
      <c r="G232" s="22" t="s">
        <v>931</v>
      </c>
      <c r="H232" s="22" t="s">
        <v>932</v>
      </c>
      <c r="I232" s="22" t="s">
        <v>23</v>
      </c>
      <c r="J232" s="23">
        <v>2008</v>
      </c>
      <c r="K232" s="22" t="s">
        <v>203</v>
      </c>
      <c r="L232" s="23" t="s">
        <v>30</v>
      </c>
      <c r="M232" s="23"/>
      <c r="N232" s="22" t="s">
        <v>53</v>
      </c>
      <c r="O232" s="22"/>
    </row>
    <row r="233" spans="1:15" ht="13.5" customHeight="1" x14ac:dyDescent="0.25">
      <c r="A233" s="1"/>
      <c r="B233" s="20">
        <v>221</v>
      </c>
      <c r="C233" s="20">
        <v>2023</v>
      </c>
      <c r="D233" s="20">
        <v>42822</v>
      </c>
      <c r="E233" s="20" t="s">
        <v>933</v>
      </c>
      <c r="F233" s="20" t="s">
        <v>934</v>
      </c>
      <c r="G233" s="20" t="s">
        <v>935</v>
      </c>
      <c r="H233" s="20" t="s">
        <v>936</v>
      </c>
      <c r="I233" s="20" t="s">
        <v>23</v>
      </c>
      <c r="J233" s="21">
        <v>2000</v>
      </c>
      <c r="K233" s="20" t="s">
        <v>203</v>
      </c>
      <c r="L233" s="21" t="s">
        <v>30</v>
      </c>
      <c r="M233" s="21"/>
      <c r="N233" s="20" t="s">
        <v>123</v>
      </c>
      <c r="O233" s="20"/>
    </row>
    <row r="234" spans="1:15" ht="13.5" customHeight="1" x14ac:dyDescent="0.25">
      <c r="A234" s="1"/>
      <c r="B234" s="22">
        <v>222</v>
      </c>
      <c r="C234" s="22">
        <v>2023</v>
      </c>
      <c r="D234" s="22">
        <v>10519</v>
      </c>
      <c r="E234" s="22" t="s">
        <v>937</v>
      </c>
      <c r="F234" s="22" t="s">
        <v>938</v>
      </c>
      <c r="G234" s="22" t="s">
        <v>939</v>
      </c>
      <c r="H234" s="22" t="s">
        <v>940</v>
      </c>
      <c r="I234" s="22" t="s">
        <v>23</v>
      </c>
      <c r="J234" s="23">
        <v>2000</v>
      </c>
      <c r="K234" s="22" t="s">
        <v>203</v>
      </c>
      <c r="L234" s="23" t="s">
        <v>30</v>
      </c>
      <c r="M234" s="23" t="s">
        <v>30</v>
      </c>
      <c r="N234" s="22"/>
      <c r="O234" s="22"/>
    </row>
    <row r="235" spans="1:15" ht="13.5" customHeight="1" x14ac:dyDescent="0.25">
      <c r="A235" s="1"/>
      <c r="B235" s="20">
        <v>223</v>
      </c>
      <c r="C235" s="20">
        <v>2023</v>
      </c>
      <c r="D235" s="20">
        <v>13428</v>
      </c>
      <c r="E235" s="20" t="s">
        <v>941</v>
      </c>
      <c r="F235" s="20" t="s">
        <v>942</v>
      </c>
      <c r="G235" s="20"/>
      <c r="H235" s="20" t="s">
        <v>943</v>
      </c>
      <c r="I235" s="20" t="s">
        <v>23</v>
      </c>
      <c r="J235" s="21">
        <v>2000</v>
      </c>
      <c r="K235" s="20" t="s">
        <v>203</v>
      </c>
      <c r="L235" s="21"/>
      <c r="M235" s="21"/>
      <c r="N235" s="20" t="s">
        <v>275</v>
      </c>
      <c r="O235" s="20"/>
    </row>
    <row r="236" spans="1:15" ht="13.5" customHeight="1" x14ac:dyDescent="0.25">
      <c r="A236" s="1"/>
      <c r="B236" s="22">
        <v>224</v>
      </c>
      <c r="C236" s="22">
        <v>2023</v>
      </c>
      <c r="D236" s="22">
        <v>265</v>
      </c>
      <c r="E236" s="22" t="s">
        <v>944</v>
      </c>
      <c r="F236" s="22" t="s">
        <v>945</v>
      </c>
      <c r="G236" s="22" t="s">
        <v>946</v>
      </c>
      <c r="H236" s="22" t="s">
        <v>947</v>
      </c>
      <c r="I236" s="22" t="s">
        <v>23</v>
      </c>
      <c r="J236" s="23">
        <v>2000</v>
      </c>
      <c r="K236" s="22" t="s">
        <v>34</v>
      </c>
      <c r="L236" s="23" t="s">
        <v>30</v>
      </c>
      <c r="M236" s="23" t="s">
        <v>30</v>
      </c>
      <c r="N236" s="22"/>
      <c r="O236" s="22"/>
    </row>
    <row r="237" spans="1:15" ht="13.5" customHeight="1" x14ac:dyDescent="0.25">
      <c r="A237" s="1"/>
      <c r="B237" s="20">
        <v>225</v>
      </c>
      <c r="C237" s="20">
        <v>2023</v>
      </c>
      <c r="D237" s="20">
        <v>41237</v>
      </c>
      <c r="E237" s="20" t="s">
        <v>948</v>
      </c>
      <c r="F237" s="20" t="s">
        <v>949</v>
      </c>
      <c r="G237" s="20" t="s">
        <v>950</v>
      </c>
      <c r="H237" s="20" t="s">
        <v>951</v>
      </c>
      <c r="I237" s="20" t="s">
        <v>23</v>
      </c>
      <c r="J237" s="21">
        <v>2000</v>
      </c>
      <c r="K237" s="20" t="s">
        <v>44</v>
      </c>
      <c r="L237" s="21" t="s">
        <v>30</v>
      </c>
      <c r="M237" s="21"/>
      <c r="N237" s="20" t="s">
        <v>105</v>
      </c>
      <c r="O237" s="20"/>
    </row>
    <row r="238" spans="1:15" ht="13.5" customHeight="1" x14ac:dyDescent="0.25">
      <c r="A238" s="1"/>
      <c r="B238" s="22">
        <v>226</v>
      </c>
      <c r="C238" s="22">
        <v>2023</v>
      </c>
      <c r="D238" s="22">
        <v>13366</v>
      </c>
      <c r="E238" s="22" t="s">
        <v>952</v>
      </c>
      <c r="F238" s="22" t="s">
        <v>953</v>
      </c>
      <c r="G238" s="22" t="s">
        <v>954</v>
      </c>
      <c r="H238" s="22" t="s">
        <v>955</v>
      </c>
      <c r="I238" s="22" t="s">
        <v>23</v>
      </c>
      <c r="J238" s="23">
        <v>2011</v>
      </c>
      <c r="K238" s="22" t="s">
        <v>44</v>
      </c>
      <c r="L238" s="23" t="s">
        <v>30</v>
      </c>
      <c r="M238" s="23"/>
      <c r="N238" s="22" t="s">
        <v>275</v>
      </c>
      <c r="O238" s="22"/>
    </row>
    <row r="239" spans="1:15" ht="13.5" customHeight="1" x14ac:dyDescent="0.25">
      <c r="A239" s="1"/>
      <c r="B239" s="20">
        <v>227</v>
      </c>
      <c r="C239" s="20">
        <v>2023</v>
      </c>
      <c r="D239" s="20">
        <v>11609</v>
      </c>
      <c r="E239" s="20" t="s">
        <v>956</v>
      </c>
      <c r="F239" s="20" t="s">
        <v>957</v>
      </c>
      <c r="G239" s="20" t="s">
        <v>958</v>
      </c>
      <c r="H239" s="20" t="s">
        <v>959</v>
      </c>
      <c r="I239" s="20" t="s">
        <v>960</v>
      </c>
      <c r="J239" s="21">
        <v>2000</v>
      </c>
      <c r="K239" s="20" t="s">
        <v>184</v>
      </c>
      <c r="L239" s="21" t="s">
        <v>30</v>
      </c>
      <c r="M239" s="21" t="s">
        <v>30</v>
      </c>
      <c r="N239" s="20" t="s">
        <v>245</v>
      </c>
      <c r="O239" s="20"/>
    </row>
    <row r="240" spans="1:15" ht="13.5" customHeight="1" x14ac:dyDescent="0.25">
      <c r="A240" s="1"/>
      <c r="B240" s="22">
        <v>228</v>
      </c>
      <c r="C240" s="22">
        <v>2023</v>
      </c>
      <c r="D240" s="22">
        <v>11654</v>
      </c>
      <c r="E240" s="22" t="s">
        <v>961</v>
      </c>
      <c r="F240" s="22" t="s">
        <v>962</v>
      </c>
      <c r="G240" s="22" t="s">
        <v>963</v>
      </c>
      <c r="H240" s="22" t="s">
        <v>964</v>
      </c>
      <c r="I240" s="22" t="s">
        <v>357</v>
      </c>
      <c r="J240" s="23">
        <v>2006</v>
      </c>
      <c r="K240" s="22" t="s">
        <v>39</v>
      </c>
      <c r="L240" s="23" t="s">
        <v>30</v>
      </c>
      <c r="M240" s="23" t="s">
        <v>30</v>
      </c>
      <c r="N240" s="22" t="s">
        <v>245</v>
      </c>
      <c r="O240" s="22"/>
    </row>
    <row r="241" spans="1:15" ht="13.5" customHeight="1" x14ac:dyDescent="0.25">
      <c r="A241" s="1"/>
      <c r="B241" s="20">
        <v>229</v>
      </c>
      <c r="C241" s="20">
        <v>2023</v>
      </c>
      <c r="D241" s="20">
        <v>501</v>
      </c>
      <c r="E241" s="20" t="s">
        <v>965</v>
      </c>
      <c r="F241" s="20" t="s">
        <v>966</v>
      </c>
      <c r="G241" s="20" t="s">
        <v>967</v>
      </c>
      <c r="H241" s="20" t="s">
        <v>968</v>
      </c>
      <c r="I241" s="20" t="s">
        <v>23</v>
      </c>
      <c r="J241" s="21">
        <v>2005</v>
      </c>
      <c r="K241" s="20" t="s">
        <v>95</v>
      </c>
      <c r="L241" s="21" t="s">
        <v>30</v>
      </c>
      <c r="M241" s="21" t="s">
        <v>30</v>
      </c>
      <c r="N241" s="20"/>
      <c r="O241" s="20"/>
    </row>
    <row r="242" spans="1:15" ht="13.5" customHeight="1" x14ac:dyDescent="0.25">
      <c r="A242" s="1"/>
      <c r="B242" s="22">
        <v>230</v>
      </c>
      <c r="C242" s="22">
        <v>2023</v>
      </c>
      <c r="D242" s="22">
        <v>10528</v>
      </c>
      <c r="E242" s="22" t="s">
        <v>969</v>
      </c>
      <c r="F242" s="22" t="s">
        <v>970</v>
      </c>
      <c r="G242" s="22" t="s">
        <v>971</v>
      </c>
      <c r="H242" s="22" t="s">
        <v>972</v>
      </c>
      <c r="I242" s="22" t="s">
        <v>23</v>
      </c>
      <c r="J242" s="23">
        <v>2000</v>
      </c>
      <c r="K242" s="22" t="s">
        <v>34</v>
      </c>
      <c r="L242" s="23" t="s">
        <v>30</v>
      </c>
      <c r="M242" s="23" t="s">
        <v>30</v>
      </c>
      <c r="N242" s="22"/>
      <c r="O242" s="22"/>
    </row>
    <row r="243" spans="1:15" ht="13.5" customHeight="1" x14ac:dyDescent="0.25">
      <c r="A243" s="1"/>
      <c r="B243" s="20">
        <v>231</v>
      </c>
      <c r="C243" s="20">
        <v>2023</v>
      </c>
      <c r="D243" s="20">
        <v>10541</v>
      </c>
      <c r="E243" s="20" t="s">
        <v>973</v>
      </c>
      <c r="F243" s="20" t="s">
        <v>974</v>
      </c>
      <c r="G243" s="20" t="s">
        <v>975</v>
      </c>
      <c r="H243" s="20" t="s">
        <v>976</v>
      </c>
      <c r="I243" s="20" t="s">
        <v>62</v>
      </c>
      <c r="J243" s="21">
        <v>2000</v>
      </c>
      <c r="K243" s="20" t="s">
        <v>34</v>
      </c>
      <c r="L243" s="21" t="s">
        <v>30</v>
      </c>
      <c r="M243" s="21" t="s">
        <v>30</v>
      </c>
      <c r="N243" s="20"/>
      <c r="O243" s="20"/>
    </row>
    <row r="244" spans="1:15" ht="13.5" customHeight="1" x14ac:dyDescent="0.25">
      <c r="A244" s="1"/>
      <c r="B244" s="22">
        <v>232</v>
      </c>
      <c r="C244" s="22">
        <v>2023</v>
      </c>
      <c r="D244" s="22">
        <v>11827</v>
      </c>
      <c r="E244" s="22" t="s">
        <v>977</v>
      </c>
      <c r="F244" s="22" t="s">
        <v>978</v>
      </c>
      <c r="G244" s="22" t="s">
        <v>979</v>
      </c>
      <c r="H244" s="22" t="s">
        <v>980</v>
      </c>
      <c r="I244" s="22" t="s">
        <v>62</v>
      </c>
      <c r="J244" s="23">
        <v>2007</v>
      </c>
      <c r="K244" s="22" t="s">
        <v>34</v>
      </c>
      <c r="L244" s="23" t="s">
        <v>30</v>
      </c>
      <c r="M244" s="23" t="s">
        <v>30</v>
      </c>
      <c r="N244" s="22" t="s">
        <v>245</v>
      </c>
      <c r="O244" s="22"/>
    </row>
    <row r="245" spans="1:15" ht="13.5" customHeight="1" x14ac:dyDescent="0.25">
      <c r="A245" s="1"/>
      <c r="B245" s="20">
        <v>233</v>
      </c>
      <c r="C245" s="20">
        <v>2023</v>
      </c>
      <c r="D245" s="20">
        <v>11828</v>
      </c>
      <c r="E245" s="20" t="s">
        <v>981</v>
      </c>
      <c r="F245" s="20" t="s">
        <v>982</v>
      </c>
      <c r="G245" s="20" t="s">
        <v>983</v>
      </c>
      <c r="H245" s="20" t="s">
        <v>984</v>
      </c>
      <c r="I245" s="20" t="s">
        <v>62</v>
      </c>
      <c r="J245" s="21">
        <v>2007</v>
      </c>
      <c r="K245" s="20" t="s">
        <v>24</v>
      </c>
      <c r="L245" s="21" t="s">
        <v>30</v>
      </c>
      <c r="M245" s="21" t="s">
        <v>30</v>
      </c>
      <c r="N245" s="20" t="s">
        <v>245</v>
      </c>
      <c r="O245" s="20"/>
    </row>
    <row r="246" spans="1:15" ht="13.5" customHeight="1" x14ac:dyDescent="0.25">
      <c r="A246" s="1"/>
      <c r="B246" s="22">
        <v>234</v>
      </c>
      <c r="C246" s="22">
        <v>2023</v>
      </c>
      <c r="D246" s="22">
        <v>13206</v>
      </c>
      <c r="E246" s="22" t="s">
        <v>985</v>
      </c>
      <c r="F246" s="22" t="s">
        <v>986</v>
      </c>
      <c r="G246" s="22" t="s">
        <v>987</v>
      </c>
      <c r="H246" s="22" t="s">
        <v>988</v>
      </c>
      <c r="I246" s="22" t="s">
        <v>989</v>
      </c>
      <c r="J246" s="23">
        <v>2010</v>
      </c>
      <c r="K246" s="22" t="s">
        <v>24</v>
      </c>
      <c r="L246" s="23" t="s">
        <v>30</v>
      </c>
      <c r="M246" s="23"/>
      <c r="N246" s="22" t="s">
        <v>173</v>
      </c>
      <c r="O246" s="22"/>
    </row>
    <row r="247" spans="1:15" ht="13.5" customHeight="1" x14ac:dyDescent="0.25">
      <c r="A247" s="1"/>
      <c r="B247" s="20">
        <v>235</v>
      </c>
      <c r="C247" s="20">
        <v>2023</v>
      </c>
      <c r="D247" s="20">
        <v>10526</v>
      </c>
      <c r="E247" s="20" t="s">
        <v>990</v>
      </c>
      <c r="F247" s="20" t="s">
        <v>991</v>
      </c>
      <c r="G247" s="20" t="s">
        <v>992</v>
      </c>
      <c r="H247" s="20" t="s">
        <v>993</v>
      </c>
      <c r="I247" s="20" t="s">
        <v>23</v>
      </c>
      <c r="J247" s="21">
        <v>2000</v>
      </c>
      <c r="K247" s="20" t="s">
        <v>34</v>
      </c>
      <c r="L247" s="21" t="s">
        <v>30</v>
      </c>
      <c r="M247" s="21" t="s">
        <v>30</v>
      </c>
      <c r="N247" s="20"/>
      <c r="O247" s="20"/>
    </row>
    <row r="248" spans="1:15" ht="13.5" customHeight="1" x14ac:dyDescent="0.25">
      <c r="A248" s="1"/>
      <c r="B248" s="22">
        <v>236</v>
      </c>
      <c r="C248" s="22">
        <v>2023</v>
      </c>
      <c r="D248" s="22">
        <v>10532</v>
      </c>
      <c r="E248" s="22" t="s">
        <v>994</v>
      </c>
      <c r="F248" s="22" t="s">
        <v>995</v>
      </c>
      <c r="G248" s="22" t="s">
        <v>996</v>
      </c>
      <c r="H248" s="22" t="s">
        <v>997</v>
      </c>
      <c r="I248" s="22" t="s">
        <v>23</v>
      </c>
      <c r="J248" s="23">
        <v>2000</v>
      </c>
      <c r="K248" s="22" t="s">
        <v>34</v>
      </c>
      <c r="L248" s="23" t="s">
        <v>30</v>
      </c>
      <c r="M248" s="23" t="s">
        <v>30</v>
      </c>
      <c r="N248" s="22"/>
      <c r="O248" s="22"/>
    </row>
    <row r="249" spans="1:15" ht="13.5" customHeight="1" x14ac:dyDescent="0.25">
      <c r="A249" s="1"/>
      <c r="B249" s="20">
        <v>237</v>
      </c>
      <c r="C249" s="20">
        <v>2023</v>
      </c>
      <c r="D249" s="20">
        <v>42242</v>
      </c>
      <c r="E249" s="20" t="s">
        <v>998</v>
      </c>
      <c r="F249" s="20" t="s">
        <v>999</v>
      </c>
      <c r="G249" s="20" t="s">
        <v>1000</v>
      </c>
      <c r="H249" s="20" t="s">
        <v>1001</v>
      </c>
      <c r="I249" s="20" t="s">
        <v>1002</v>
      </c>
      <c r="J249" s="21">
        <v>2018</v>
      </c>
      <c r="K249" s="20" t="s">
        <v>67</v>
      </c>
      <c r="L249" s="21" t="s">
        <v>30</v>
      </c>
      <c r="M249" s="21"/>
      <c r="N249" s="20" t="s">
        <v>213</v>
      </c>
      <c r="O249" s="20"/>
    </row>
    <row r="250" spans="1:15" ht="13.5" customHeight="1" x14ac:dyDescent="0.25">
      <c r="A250" s="1"/>
      <c r="B250" s="22">
        <v>238</v>
      </c>
      <c r="C250" s="22">
        <v>2023</v>
      </c>
      <c r="D250" s="22">
        <v>10531</v>
      </c>
      <c r="E250" s="22" t="s">
        <v>1003</v>
      </c>
      <c r="F250" s="22" t="s">
        <v>1004</v>
      </c>
      <c r="G250" s="22" t="s">
        <v>1005</v>
      </c>
      <c r="H250" s="22" t="s">
        <v>1006</v>
      </c>
      <c r="I250" s="22" t="s">
        <v>23</v>
      </c>
      <c r="J250" s="23">
        <v>2000</v>
      </c>
      <c r="K250" s="22" t="s">
        <v>34</v>
      </c>
      <c r="L250" s="23" t="s">
        <v>30</v>
      </c>
      <c r="M250" s="23" t="s">
        <v>30</v>
      </c>
      <c r="N250" s="22"/>
      <c r="O250" s="22"/>
    </row>
    <row r="251" spans="1:15" ht="13.5" customHeight="1" x14ac:dyDescent="0.25">
      <c r="A251" s="1"/>
      <c r="B251" s="20">
        <v>239</v>
      </c>
      <c r="C251" s="20">
        <v>2023</v>
      </c>
      <c r="D251" s="20">
        <v>12155</v>
      </c>
      <c r="E251" s="20" t="s">
        <v>1007</v>
      </c>
      <c r="F251" s="20" t="s">
        <v>1008</v>
      </c>
      <c r="G251" s="20"/>
      <c r="H251" s="20" t="s">
        <v>1009</v>
      </c>
      <c r="I251" s="20" t="s">
        <v>23</v>
      </c>
      <c r="J251" s="21">
        <v>2008</v>
      </c>
      <c r="K251" s="20" t="s">
        <v>34</v>
      </c>
      <c r="L251" s="21"/>
      <c r="M251" s="21" t="s">
        <v>30</v>
      </c>
      <c r="N251" s="20" t="s">
        <v>352</v>
      </c>
      <c r="O251" s="20"/>
    </row>
    <row r="252" spans="1:15" ht="13.5" customHeight="1" x14ac:dyDescent="0.25">
      <c r="A252" s="1"/>
      <c r="B252" s="22">
        <v>240</v>
      </c>
      <c r="C252" s="22">
        <v>2023</v>
      </c>
      <c r="D252" s="22">
        <v>10533</v>
      </c>
      <c r="E252" s="22" t="s">
        <v>1010</v>
      </c>
      <c r="F252" s="22" t="s">
        <v>1011</v>
      </c>
      <c r="G252" s="22" t="s">
        <v>1012</v>
      </c>
      <c r="H252" s="22" t="s">
        <v>1013</v>
      </c>
      <c r="I252" s="22" t="s">
        <v>23</v>
      </c>
      <c r="J252" s="23">
        <v>2000</v>
      </c>
      <c r="K252" s="22" t="s">
        <v>95</v>
      </c>
      <c r="L252" s="23" t="s">
        <v>30</v>
      </c>
      <c r="M252" s="23" t="s">
        <v>30</v>
      </c>
      <c r="N252" s="22"/>
      <c r="O252" s="22"/>
    </row>
    <row r="253" spans="1:15" ht="13.5" customHeight="1" x14ac:dyDescent="0.25">
      <c r="A253" s="1"/>
      <c r="B253" s="20">
        <v>241</v>
      </c>
      <c r="C253" s="20">
        <v>2023</v>
      </c>
      <c r="D253" s="20">
        <v>10522</v>
      </c>
      <c r="E253" s="20" t="s">
        <v>1014</v>
      </c>
      <c r="F253" s="20" t="s">
        <v>1015</v>
      </c>
      <c r="G253" s="20" t="s">
        <v>1016</v>
      </c>
      <c r="H253" s="20" t="s">
        <v>1017</v>
      </c>
      <c r="I253" s="20" t="s">
        <v>23</v>
      </c>
      <c r="J253" s="21">
        <v>2000</v>
      </c>
      <c r="K253" s="20" t="s">
        <v>34</v>
      </c>
      <c r="L253" s="21" t="s">
        <v>30</v>
      </c>
      <c r="M253" s="21" t="s">
        <v>30</v>
      </c>
      <c r="N253" s="20"/>
      <c r="O253" s="20"/>
    </row>
    <row r="254" spans="1:15" ht="13.5" customHeight="1" x14ac:dyDescent="0.25">
      <c r="A254" s="1"/>
      <c r="B254" s="22">
        <v>242</v>
      </c>
      <c r="C254" s="22">
        <v>2023</v>
      </c>
      <c r="D254" s="22">
        <v>11756</v>
      </c>
      <c r="E254" s="22" t="s">
        <v>1018</v>
      </c>
      <c r="F254" s="22" t="s">
        <v>1019</v>
      </c>
      <c r="G254" s="22"/>
      <c r="H254" s="22" t="s">
        <v>1020</v>
      </c>
      <c r="I254" s="22" t="s">
        <v>23</v>
      </c>
      <c r="J254" s="23">
        <v>2006</v>
      </c>
      <c r="K254" s="22" t="s">
        <v>34</v>
      </c>
      <c r="L254" s="23"/>
      <c r="M254" s="23"/>
      <c r="N254" s="22" t="s">
        <v>151</v>
      </c>
      <c r="O254" s="22"/>
    </row>
    <row r="255" spans="1:15" ht="13.5" customHeight="1" x14ac:dyDescent="0.25">
      <c r="A255" s="1"/>
      <c r="B255" s="20">
        <v>243</v>
      </c>
      <c r="C255" s="20">
        <v>2023</v>
      </c>
      <c r="D255" s="20">
        <v>42977</v>
      </c>
      <c r="E255" s="20" t="s">
        <v>1021</v>
      </c>
      <c r="F255" s="20" t="s">
        <v>1022</v>
      </c>
      <c r="G255" s="20" t="s">
        <v>1023</v>
      </c>
      <c r="H255" s="20" t="s">
        <v>1024</v>
      </c>
      <c r="I255" s="20" t="s">
        <v>100</v>
      </c>
      <c r="J255" s="21">
        <v>2000</v>
      </c>
      <c r="K255" s="20" t="s">
        <v>34</v>
      </c>
      <c r="L255" s="21" t="s">
        <v>30</v>
      </c>
      <c r="M255" s="21"/>
      <c r="N255" s="20" t="s">
        <v>270</v>
      </c>
      <c r="O255" s="20"/>
    </row>
    <row r="256" spans="1:15" ht="13.5" customHeight="1" x14ac:dyDescent="0.25">
      <c r="A256" s="1"/>
      <c r="B256" s="22">
        <v>244</v>
      </c>
      <c r="C256" s="22">
        <v>2023</v>
      </c>
      <c r="D256" s="22">
        <v>422</v>
      </c>
      <c r="E256" s="22" t="s">
        <v>1025</v>
      </c>
      <c r="F256" s="22" t="s">
        <v>1026</v>
      </c>
      <c r="G256" s="22"/>
      <c r="H256" s="22" t="s">
        <v>1027</v>
      </c>
      <c r="I256" s="22" t="s">
        <v>23</v>
      </c>
      <c r="J256" s="23">
        <v>2000</v>
      </c>
      <c r="K256" s="22" t="s">
        <v>34</v>
      </c>
      <c r="L256" s="23"/>
      <c r="M256" s="23" t="s">
        <v>30</v>
      </c>
      <c r="N256" s="22"/>
      <c r="O256" s="22"/>
    </row>
    <row r="257" spans="1:15" ht="13.5" customHeight="1" x14ac:dyDescent="0.25">
      <c r="A257" s="1"/>
      <c r="B257" s="20">
        <v>245</v>
      </c>
      <c r="C257" s="20">
        <v>2023</v>
      </c>
      <c r="D257" s="20">
        <v>10530</v>
      </c>
      <c r="E257" s="20" t="s">
        <v>1028</v>
      </c>
      <c r="F257" s="20" t="s">
        <v>1029</v>
      </c>
      <c r="G257" s="20" t="s">
        <v>1030</v>
      </c>
      <c r="H257" s="20" t="s">
        <v>1031</v>
      </c>
      <c r="I257" s="20" t="s">
        <v>23</v>
      </c>
      <c r="J257" s="21">
        <v>2000</v>
      </c>
      <c r="K257" s="20" t="s">
        <v>34</v>
      </c>
      <c r="L257" s="21" t="s">
        <v>30</v>
      </c>
      <c r="M257" s="21" t="s">
        <v>30</v>
      </c>
      <c r="N257" s="20"/>
      <c r="O257" s="20"/>
    </row>
    <row r="258" spans="1:15" ht="13.5" customHeight="1" x14ac:dyDescent="0.25">
      <c r="A258" s="1"/>
      <c r="B258" s="22">
        <v>246</v>
      </c>
      <c r="C258" s="22">
        <v>2023</v>
      </c>
      <c r="D258" s="22">
        <v>13752</v>
      </c>
      <c r="E258" s="22" t="s">
        <v>1032</v>
      </c>
      <c r="F258" s="22" t="s">
        <v>1033</v>
      </c>
      <c r="G258" s="22" t="s">
        <v>1034</v>
      </c>
      <c r="H258" s="22" t="s">
        <v>1035</v>
      </c>
      <c r="I258" s="22" t="s">
        <v>23</v>
      </c>
      <c r="J258" s="23">
        <v>2006</v>
      </c>
      <c r="K258" s="22" t="s">
        <v>73</v>
      </c>
      <c r="L258" s="23" t="s">
        <v>30</v>
      </c>
      <c r="M258" s="23"/>
      <c r="N258" s="22" t="s">
        <v>275</v>
      </c>
      <c r="O258" s="22"/>
    </row>
    <row r="259" spans="1:15" ht="13.5" customHeight="1" x14ac:dyDescent="0.25">
      <c r="A259" s="1"/>
      <c r="B259" s="20">
        <v>247</v>
      </c>
      <c r="C259" s="20">
        <v>2023</v>
      </c>
      <c r="D259" s="20">
        <v>12011</v>
      </c>
      <c r="E259" s="20" t="s">
        <v>1036</v>
      </c>
      <c r="F259" s="20" t="s">
        <v>1037</v>
      </c>
      <c r="G259" s="20"/>
      <c r="H259" s="20" t="s">
        <v>1038</v>
      </c>
      <c r="I259" s="20" t="s">
        <v>23</v>
      </c>
      <c r="J259" s="21">
        <v>2000</v>
      </c>
      <c r="K259" s="20" t="s">
        <v>34</v>
      </c>
      <c r="L259" s="21"/>
      <c r="M259" s="21" t="s">
        <v>30</v>
      </c>
      <c r="N259" s="20" t="s">
        <v>74</v>
      </c>
      <c r="O259" s="20"/>
    </row>
    <row r="260" spans="1:15" ht="13.5" customHeight="1" x14ac:dyDescent="0.25">
      <c r="A260" s="1"/>
      <c r="B260" s="22">
        <v>248</v>
      </c>
      <c r="C260" s="22">
        <v>2023</v>
      </c>
      <c r="D260" s="22">
        <v>10539</v>
      </c>
      <c r="E260" s="22" t="s">
        <v>1039</v>
      </c>
      <c r="F260" s="22" t="s">
        <v>1040</v>
      </c>
      <c r="G260" s="22" t="s">
        <v>1041</v>
      </c>
      <c r="H260" s="22" t="s">
        <v>1042</v>
      </c>
      <c r="I260" s="22" t="s">
        <v>23</v>
      </c>
      <c r="J260" s="23">
        <v>2000</v>
      </c>
      <c r="K260" s="22" t="s">
        <v>73</v>
      </c>
      <c r="L260" s="23" t="s">
        <v>30</v>
      </c>
      <c r="M260" s="23" t="s">
        <v>30</v>
      </c>
      <c r="N260" s="22"/>
      <c r="O260" s="22"/>
    </row>
    <row r="261" spans="1:15" ht="13.5" customHeight="1" x14ac:dyDescent="0.25">
      <c r="A261" s="1"/>
      <c r="B261" s="20">
        <v>249</v>
      </c>
      <c r="C261" s="20">
        <v>2023</v>
      </c>
      <c r="D261" s="20">
        <v>374</v>
      </c>
      <c r="E261" s="20" t="s">
        <v>1043</v>
      </c>
      <c r="F261" s="20" t="s">
        <v>1044</v>
      </c>
      <c r="G261" s="20" t="s">
        <v>1045</v>
      </c>
      <c r="H261" s="20" t="s">
        <v>1046</v>
      </c>
      <c r="I261" s="20" t="s">
        <v>23</v>
      </c>
      <c r="J261" s="21">
        <v>2000</v>
      </c>
      <c r="K261" s="20" t="s">
        <v>34</v>
      </c>
      <c r="L261" s="21" t="s">
        <v>30</v>
      </c>
      <c r="M261" s="21" t="s">
        <v>30</v>
      </c>
      <c r="N261" s="20"/>
      <c r="O261" s="20"/>
    </row>
    <row r="262" spans="1:15" ht="13.5" customHeight="1" x14ac:dyDescent="0.25">
      <c r="A262" s="1"/>
      <c r="B262" s="22">
        <v>250</v>
      </c>
      <c r="C262" s="22">
        <v>2023</v>
      </c>
      <c r="D262" s="22">
        <v>10525</v>
      </c>
      <c r="E262" s="22" t="s">
        <v>1047</v>
      </c>
      <c r="F262" s="22" t="s">
        <v>1048</v>
      </c>
      <c r="G262" s="22" t="s">
        <v>1049</v>
      </c>
      <c r="H262" s="22" t="s">
        <v>1050</v>
      </c>
      <c r="I262" s="22" t="s">
        <v>62</v>
      </c>
      <c r="J262" s="23">
        <v>2000</v>
      </c>
      <c r="K262" s="22" t="s">
        <v>34</v>
      </c>
      <c r="L262" s="23" t="s">
        <v>30</v>
      </c>
      <c r="M262" s="23" t="s">
        <v>30</v>
      </c>
      <c r="N262" s="22"/>
      <c r="O262" s="22"/>
    </row>
    <row r="263" spans="1:15" ht="13.5" customHeight="1" x14ac:dyDescent="0.25">
      <c r="A263" s="1"/>
      <c r="B263" s="20">
        <v>251</v>
      </c>
      <c r="C263" s="20">
        <v>2023</v>
      </c>
      <c r="D263" s="20">
        <v>13335</v>
      </c>
      <c r="E263" s="20" t="s">
        <v>1051</v>
      </c>
      <c r="F263" s="20" t="s">
        <v>1052</v>
      </c>
      <c r="G263" s="20" t="s">
        <v>1053</v>
      </c>
      <c r="H263" s="20" t="s">
        <v>1054</v>
      </c>
      <c r="I263" s="20" t="s">
        <v>62</v>
      </c>
      <c r="J263" s="21">
        <v>2011</v>
      </c>
      <c r="K263" s="20" t="s">
        <v>34</v>
      </c>
      <c r="L263" s="21" t="s">
        <v>30</v>
      </c>
      <c r="M263" s="21"/>
      <c r="N263" s="20" t="s">
        <v>250</v>
      </c>
      <c r="O263" s="20"/>
    </row>
    <row r="264" spans="1:15" ht="13.5" customHeight="1" x14ac:dyDescent="0.25">
      <c r="A264" s="1"/>
      <c r="B264" s="22">
        <v>252</v>
      </c>
      <c r="C264" s="22">
        <v>2023</v>
      </c>
      <c r="D264" s="22">
        <v>13399</v>
      </c>
      <c r="E264" s="22" t="s">
        <v>1055</v>
      </c>
      <c r="F264" s="22" t="s">
        <v>1056</v>
      </c>
      <c r="G264" s="22" t="s">
        <v>1057</v>
      </c>
      <c r="H264" s="22" t="s">
        <v>1058</v>
      </c>
      <c r="I264" s="22" t="s">
        <v>23</v>
      </c>
      <c r="J264" s="23">
        <v>2011</v>
      </c>
      <c r="K264" s="22" t="s">
        <v>1059</v>
      </c>
      <c r="L264" s="23" t="s">
        <v>30</v>
      </c>
      <c r="M264" s="23"/>
      <c r="N264" s="22" t="s">
        <v>250</v>
      </c>
      <c r="O264" s="22"/>
    </row>
    <row r="265" spans="1:15" ht="13.5" customHeight="1" x14ac:dyDescent="0.25">
      <c r="A265" s="1"/>
      <c r="B265" s="20">
        <v>253</v>
      </c>
      <c r="C265" s="20">
        <v>2023</v>
      </c>
      <c r="D265" s="20">
        <v>10237</v>
      </c>
      <c r="E265" s="20" t="s">
        <v>1060</v>
      </c>
      <c r="F265" s="20" t="s">
        <v>1061</v>
      </c>
      <c r="G265" s="20" t="s">
        <v>1062</v>
      </c>
      <c r="H265" s="20" t="s">
        <v>1063</v>
      </c>
      <c r="I265" s="20" t="s">
        <v>23</v>
      </c>
      <c r="J265" s="21">
        <v>2002</v>
      </c>
      <c r="K265" s="20" t="s">
        <v>67</v>
      </c>
      <c r="L265" s="21" t="s">
        <v>30</v>
      </c>
      <c r="M265" s="21" t="s">
        <v>30</v>
      </c>
      <c r="N265" s="20"/>
      <c r="O265" s="20"/>
    </row>
    <row r="266" spans="1:15" ht="13.5" customHeight="1" x14ac:dyDescent="0.25">
      <c r="A266" s="1"/>
      <c r="B266" s="22">
        <v>254</v>
      </c>
      <c r="C266" s="22">
        <v>2023</v>
      </c>
      <c r="D266" s="22">
        <v>10527</v>
      </c>
      <c r="E266" s="22" t="s">
        <v>1064</v>
      </c>
      <c r="F266" s="22" t="s">
        <v>1065</v>
      </c>
      <c r="G266" s="22" t="s">
        <v>1066</v>
      </c>
      <c r="H266" s="22" t="s">
        <v>1067</v>
      </c>
      <c r="I266" s="22" t="s">
        <v>23</v>
      </c>
      <c r="J266" s="23">
        <v>2000</v>
      </c>
      <c r="K266" s="22" t="s">
        <v>34</v>
      </c>
      <c r="L266" s="23" t="s">
        <v>30</v>
      </c>
      <c r="M266" s="23" t="s">
        <v>30</v>
      </c>
      <c r="N266" s="22"/>
      <c r="O266" s="22"/>
    </row>
    <row r="267" spans="1:15" ht="13.5" customHeight="1" x14ac:dyDescent="0.25">
      <c r="A267" s="1"/>
      <c r="B267" s="20">
        <v>255</v>
      </c>
      <c r="C267" s="20">
        <v>2023</v>
      </c>
      <c r="D267" s="20">
        <v>43683</v>
      </c>
      <c r="E267" s="20" t="s">
        <v>1068</v>
      </c>
      <c r="F267" s="20" t="s">
        <v>1069</v>
      </c>
      <c r="G267" s="20" t="s">
        <v>1070</v>
      </c>
      <c r="H267" s="20" t="s">
        <v>1071</v>
      </c>
      <c r="I267" s="20" t="s">
        <v>23</v>
      </c>
      <c r="J267" s="21">
        <v>2021</v>
      </c>
      <c r="K267" s="20" t="s">
        <v>34</v>
      </c>
      <c r="L267" s="21" t="s">
        <v>30</v>
      </c>
      <c r="M267" s="21"/>
      <c r="N267" s="20" t="s">
        <v>236</v>
      </c>
      <c r="O267" s="20"/>
    </row>
    <row r="268" spans="1:15" ht="13.5" customHeight="1" x14ac:dyDescent="0.25">
      <c r="A268" s="1"/>
      <c r="B268" s="22">
        <v>256</v>
      </c>
      <c r="C268" s="22">
        <v>2023</v>
      </c>
      <c r="D268" s="22">
        <v>13534</v>
      </c>
      <c r="E268" s="22" t="s">
        <v>1072</v>
      </c>
      <c r="F268" s="22" t="s">
        <v>1073</v>
      </c>
      <c r="G268" s="22" t="s">
        <v>1074</v>
      </c>
      <c r="H268" s="22" t="s">
        <v>1075</v>
      </c>
      <c r="I268" s="22" t="s">
        <v>1076</v>
      </c>
      <c r="J268" s="23">
        <v>2011</v>
      </c>
      <c r="K268" s="22" t="s">
        <v>67</v>
      </c>
      <c r="L268" s="23" t="s">
        <v>30</v>
      </c>
      <c r="M268" s="23"/>
      <c r="N268" s="22" t="s">
        <v>250</v>
      </c>
      <c r="O268" s="22"/>
    </row>
    <row r="269" spans="1:15" ht="13.5" customHeight="1" x14ac:dyDescent="0.25">
      <c r="A269" s="1"/>
      <c r="B269" s="20">
        <v>257</v>
      </c>
      <c r="C269" s="20">
        <v>2023</v>
      </c>
      <c r="D269" s="20">
        <v>44174</v>
      </c>
      <c r="E269" s="20" t="s">
        <v>1077</v>
      </c>
      <c r="F269" s="20" t="s">
        <v>1078</v>
      </c>
      <c r="G269" s="20" t="s">
        <v>1079</v>
      </c>
      <c r="H269" s="20" t="s">
        <v>1080</v>
      </c>
      <c r="I269" s="20" t="s">
        <v>23</v>
      </c>
      <c r="J269" s="21"/>
      <c r="K269" s="20" t="s">
        <v>24</v>
      </c>
      <c r="L269" s="21" t="s">
        <v>30</v>
      </c>
      <c r="M269" s="21"/>
      <c r="N269" s="20" t="s">
        <v>518</v>
      </c>
      <c r="O269" s="20"/>
    </row>
    <row r="270" spans="1:15" ht="13.5" customHeight="1" x14ac:dyDescent="0.25">
      <c r="A270" s="1"/>
      <c r="B270" s="22">
        <v>258</v>
      </c>
      <c r="C270" s="22">
        <v>2023</v>
      </c>
      <c r="D270" s="22">
        <v>10544</v>
      </c>
      <c r="E270" s="22" t="s">
        <v>1081</v>
      </c>
      <c r="F270" s="22" t="s">
        <v>1082</v>
      </c>
      <c r="G270" s="22" t="s">
        <v>1083</v>
      </c>
      <c r="H270" s="22" t="s">
        <v>1084</v>
      </c>
      <c r="I270" s="22" t="s">
        <v>23</v>
      </c>
      <c r="J270" s="23">
        <v>2000</v>
      </c>
      <c r="K270" s="22" t="s">
        <v>67</v>
      </c>
      <c r="L270" s="23" t="s">
        <v>30</v>
      </c>
      <c r="M270" s="23" t="s">
        <v>30</v>
      </c>
      <c r="N270" s="22"/>
      <c r="O270" s="22"/>
    </row>
    <row r="271" spans="1:15" ht="13.5" customHeight="1" x14ac:dyDescent="0.25">
      <c r="A271" s="1"/>
      <c r="B271" s="20">
        <v>259</v>
      </c>
      <c r="C271" s="20">
        <v>2023</v>
      </c>
      <c r="D271" s="20">
        <v>10534</v>
      </c>
      <c r="E271" s="20" t="s">
        <v>1085</v>
      </c>
      <c r="F271" s="20" t="s">
        <v>1086</v>
      </c>
      <c r="G271" s="20" t="s">
        <v>1087</v>
      </c>
      <c r="H271" s="20" t="s">
        <v>1088</v>
      </c>
      <c r="I271" s="20" t="s">
        <v>23</v>
      </c>
      <c r="J271" s="21">
        <v>2000</v>
      </c>
      <c r="K271" s="20" t="s">
        <v>34</v>
      </c>
      <c r="L271" s="21" t="s">
        <v>30</v>
      </c>
      <c r="M271" s="21" t="s">
        <v>30</v>
      </c>
      <c r="N271" s="20"/>
      <c r="O271" s="20"/>
    </row>
    <row r="272" spans="1:15" ht="13.5" customHeight="1" x14ac:dyDescent="0.25">
      <c r="A272" s="1"/>
      <c r="B272" s="22">
        <v>260</v>
      </c>
      <c r="C272" s="22">
        <v>2023</v>
      </c>
      <c r="D272" s="22">
        <v>12104</v>
      </c>
      <c r="E272" s="22" t="s">
        <v>1089</v>
      </c>
      <c r="F272" s="22" t="s">
        <v>1090</v>
      </c>
      <c r="G272" s="22"/>
      <c r="H272" s="22" t="s">
        <v>1091</v>
      </c>
      <c r="I272" s="22" t="s">
        <v>23</v>
      </c>
      <c r="J272" s="23">
        <v>2007</v>
      </c>
      <c r="K272" s="22" t="s">
        <v>63</v>
      </c>
      <c r="L272" s="23"/>
      <c r="M272" s="23" t="s">
        <v>30</v>
      </c>
      <c r="N272" s="22" t="s">
        <v>245</v>
      </c>
      <c r="O272" s="22"/>
    </row>
    <row r="273" spans="1:15" ht="13.5" customHeight="1" x14ac:dyDescent="0.25">
      <c r="A273" s="1"/>
      <c r="B273" s="20">
        <v>261</v>
      </c>
      <c r="C273" s="20">
        <v>2023</v>
      </c>
      <c r="D273" s="20">
        <v>12668</v>
      </c>
      <c r="E273" s="20" t="s">
        <v>1092</v>
      </c>
      <c r="F273" s="20" t="s">
        <v>1093</v>
      </c>
      <c r="G273" s="20" t="s">
        <v>1094</v>
      </c>
      <c r="H273" s="20" t="s">
        <v>1095</v>
      </c>
      <c r="I273" s="20" t="s">
        <v>23</v>
      </c>
      <c r="J273" s="21">
        <v>2011</v>
      </c>
      <c r="K273" s="20" t="s">
        <v>67</v>
      </c>
      <c r="L273" s="21" t="s">
        <v>30</v>
      </c>
      <c r="M273" s="21"/>
      <c r="N273" s="20" t="s">
        <v>250</v>
      </c>
      <c r="O273" s="20"/>
    </row>
    <row r="274" spans="1:15" ht="13.5" customHeight="1" x14ac:dyDescent="0.25">
      <c r="A274" s="1"/>
      <c r="B274" s="22">
        <v>262</v>
      </c>
      <c r="C274" s="22">
        <v>2023</v>
      </c>
      <c r="D274" s="22">
        <v>41247</v>
      </c>
      <c r="E274" s="22" t="s">
        <v>1096</v>
      </c>
      <c r="F274" s="22" t="s">
        <v>1097</v>
      </c>
      <c r="G274" s="22" t="s">
        <v>1098</v>
      </c>
      <c r="H274" s="22" t="s">
        <v>1099</v>
      </c>
      <c r="I274" s="22" t="s">
        <v>23</v>
      </c>
      <c r="J274" s="23">
        <v>2016</v>
      </c>
      <c r="K274" s="22" t="s">
        <v>1059</v>
      </c>
      <c r="L274" s="23" t="s">
        <v>30</v>
      </c>
      <c r="M274" s="23"/>
      <c r="N274" s="22" t="s">
        <v>204</v>
      </c>
      <c r="O274" s="22"/>
    </row>
    <row r="275" spans="1:15" ht="13.5" customHeight="1" x14ac:dyDescent="0.25">
      <c r="A275" s="1"/>
      <c r="B275" s="20">
        <v>263</v>
      </c>
      <c r="C275" s="20">
        <v>2023</v>
      </c>
      <c r="D275" s="20">
        <v>12551</v>
      </c>
      <c r="E275" s="20" t="s">
        <v>1100</v>
      </c>
      <c r="F275" s="20" t="s">
        <v>1101</v>
      </c>
      <c r="G275" s="20"/>
      <c r="H275" s="20" t="s">
        <v>1102</v>
      </c>
      <c r="I275" s="20" t="s">
        <v>23</v>
      </c>
      <c r="J275" s="21">
        <v>2009</v>
      </c>
      <c r="K275" s="20" t="s">
        <v>34</v>
      </c>
      <c r="L275" s="21"/>
      <c r="M275" s="21" t="s">
        <v>30</v>
      </c>
      <c r="N275" s="20" t="s">
        <v>1103</v>
      </c>
      <c r="O275" s="20"/>
    </row>
    <row r="276" spans="1:15" ht="13.5" customHeight="1" x14ac:dyDescent="0.25">
      <c r="A276" s="1"/>
      <c r="B276" s="22">
        <v>264</v>
      </c>
      <c r="C276" s="22">
        <v>2023</v>
      </c>
      <c r="D276" s="22">
        <v>11439</v>
      </c>
      <c r="E276" s="22" t="s">
        <v>1104</v>
      </c>
      <c r="F276" s="22" t="s">
        <v>1105</v>
      </c>
      <c r="G276" s="22" t="s">
        <v>1106</v>
      </c>
      <c r="H276" s="22" t="s">
        <v>1107</v>
      </c>
      <c r="I276" s="22" t="s">
        <v>62</v>
      </c>
      <c r="J276" s="23">
        <v>2006</v>
      </c>
      <c r="K276" s="22" t="s">
        <v>63</v>
      </c>
      <c r="L276" s="23" t="s">
        <v>30</v>
      </c>
      <c r="M276" s="23" t="s">
        <v>30</v>
      </c>
      <c r="N276" s="22"/>
      <c r="O276" s="22"/>
    </row>
    <row r="277" spans="1:15" ht="13.5" customHeight="1" x14ac:dyDescent="0.25">
      <c r="A277" s="1"/>
      <c r="B277" s="20">
        <v>265</v>
      </c>
      <c r="C277" s="20">
        <v>2023</v>
      </c>
      <c r="D277" s="20">
        <v>449</v>
      </c>
      <c r="E277" s="20" t="s">
        <v>1108</v>
      </c>
      <c r="F277" s="20" t="s">
        <v>1109</v>
      </c>
      <c r="G277" s="20" t="s">
        <v>1110</v>
      </c>
      <c r="H277" s="20" t="s">
        <v>1111</v>
      </c>
      <c r="I277" s="20" t="s">
        <v>23</v>
      </c>
      <c r="J277" s="21">
        <v>2000</v>
      </c>
      <c r="K277" s="20" t="s">
        <v>24</v>
      </c>
      <c r="L277" s="21" t="s">
        <v>30</v>
      </c>
      <c r="M277" s="21" t="s">
        <v>30</v>
      </c>
      <c r="N277" s="20"/>
      <c r="O277" s="20"/>
    </row>
    <row r="278" spans="1:15" ht="13.5" customHeight="1" x14ac:dyDescent="0.25">
      <c r="A278" s="1"/>
      <c r="B278" s="22">
        <v>266</v>
      </c>
      <c r="C278" s="22">
        <v>2023</v>
      </c>
      <c r="D278" s="22">
        <v>12304</v>
      </c>
      <c r="E278" s="22" t="s">
        <v>1112</v>
      </c>
      <c r="F278" s="22" t="s">
        <v>1113</v>
      </c>
      <c r="G278" s="22" t="s">
        <v>1114</v>
      </c>
      <c r="H278" s="22" t="s">
        <v>1115</v>
      </c>
      <c r="I278" s="22" t="s">
        <v>23</v>
      </c>
      <c r="J278" s="23">
        <v>2008</v>
      </c>
      <c r="K278" s="22" t="s">
        <v>34</v>
      </c>
      <c r="L278" s="23" t="s">
        <v>30</v>
      </c>
      <c r="M278" s="23" t="s">
        <v>30</v>
      </c>
      <c r="N278" s="22" t="s">
        <v>352</v>
      </c>
      <c r="O278" s="22"/>
    </row>
    <row r="279" spans="1:15" ht="13.5" customHeight="1" x14ac:dyDescent="0.25">
      <c r="A279" s="1"/>
      <c r="B279" s="20">
        <v>267</v>
      </c>
      <c r="C279" s="20">
        <v>2023</v>
      </c>
      <c r="D279" s="20">
        <v>12268</v>
      </c>
      <c r="E279" s="20" t="s">
        <v>1116</v>
      </c>
      <c r="F279" s="20" t="s">
        <v>1117</v>
      </c>
      <c r="G279" s="20" t="s">
        <v>1118</v>
      </c>
      <c r="H279" s="20" t="s">
        <v>1119</v>
      </c>
      <c r="I279" s="20" t="s">
        <v>1120</v>
      </c>
      <c r="J279" s="21">
        <v>2011</v>
      </c>
      <c r="K279" s="20" t="s">
        <v>34</v>
      </c>
      <c r="L279" s="21" t="s">
        <v>30</v>
      </c>
      <c r="M279" s="21" t="s">
        <v>30</v>
      </c>
      <c r="N279" s="20"/>
      <c r="O279" s="20"/>
    </row>
    <row r="280" spans="1:15" ht="13.5" customHeight="1" x14ac:dyDescent="0.25">
      <c r="A280" s="1"/>
      <c r="B280" s="22">
        <v>268</v>
      </c>
      <c r="C280" s="22">
        <v>2023</v>
      </c>
      <c r="D280" s="22">
        <v>12257</v>
      </c>
      <c r="E280" s="22" t="s">
        <v>1121</v>
      </c>
      <c r="F280" s="22" t="s">
        <v>1122</v>
      </c>
      <c r="G280" s="22" t="s">
        <v>1123</v>
      </c>
      <c r="H280" s="22" t="s">
        <v>1124</v>
      </c>
      <c r="I280" s="22" t="s">
        <v>1125</v>
      </c>
      <c r="J280" s="23">
        <v>2000</v>
      </c>
      <c r="K280" s="22" t="s">
        <v>24</v>
      </c>
      <c r="L280" s="23" t="s">
        <v>30</v>
      </c>
      <c r="M280" s="23" t="s">
        <v>30</v>
      </c>
      <c r="N280" s="22" t="s">
        <v>35</v>
      </c>
      <c r="O280" s="22"/>
    </row>
    <row r="281" spans="1:15" ht="13.5" customHeight="1" x14ac:dyDescent="0.25">
      <c r="A281" s="1"/>
      <c r="B281" s="20">
        <v>269</v>
      </c>
      <c r="C281" s="20">
        <v>2023</v>
      </c>
      <c r="D281" s="20">
        <v>10529</v>
      </c>
      <c r="E281" s="20" t="s">
        <v>1126</v>
      </c>
      <c r="F281" s="20" t="s">
        <v>1127</v>
      </c>
      <c r="G281" s="20" t="s">
        <v>1128</v>
      </c>
      <c r="H281" s="20" t="s">
        <v>1129</v>
      </c>
      <c r="I281" s="20" t="s">
        <v>23</v>
      </c>
      <c r="J281" s="21">
        <v>2000</v>
      </c>
      <c r="K281" s="20" t="s">
        <v>34</v>
      </c>
      <c r="L281" s="21" t="s">
        <v>30</v>
      </c>
      <c r="M281" s="21" t="s">
        <v>30</v>
      </c>
      <c r="N281" s="20"/>
      <c r="O281" s="20"/>
    </row>
    <row r="282" spans="1:15" ht="13.5" customHeight="1" x14ac:dyDescent="0.25">
      <c r="A282" s="1"/>
      <c r="B282" s="22">
        <v>270</v>
      </c>
      <c r="C282" s="22">
        <v>2023</v>
      </c>
      <c r="D282" s="22">
        <v>10543</v>
      </c>
      <c r="E282" s="22" t="s">
        <v>1130</v>
      </c>
      <c r="F282" s="22" t="s">
        <v>1131</v>
      </c>
      <c r="G282" s="22" t="s">
        <v>1132</v>
      </c>
      <c r="H282" s="22" t="s">
        <v>1133</v>
      </c>
      <c r="I282" s="22" t="s">
        <v>23</v>
      </c>
      <c r="J282" s="23">
        <v>2000</v>
      </c>
      <c r="K282" s="22" t="s">
        <v>44</v>
      </c>
      <c r="L282" s="23" t="s">
        <v>30</v>
      </c>
      <c r="M282" s="23" t="s">
        <v>30</v>
      </c>
      <c r="N282" s="22"/>
      <c r="O282" s="22"/>
    </row>
    <row r="283" spans="1:15" ht="13.5" customHeight="1" x14ac:dyDescent="0.25">
      <c r="A283" s="1"/>
      <c r="B283" s="20">
        <v>271</v>
      </c>
      <c r="C283" s="20">
        <v>2023</v>
      </c>
      <c r="D283" s="20">
        <v>40590</v>
      </c>
      <c r="E283" s="20" t="s">
        <v>1134</v>
      </c>
      <c r="F283" s="20" t="s">
        <v>1135</v>
      </c>
      <c r="G283" s="20" t="s">
        <v>1136</v>
      </c>
      <c r="H283" s="20" t="s">
        <v>1137</v>
      </c>
      <c r="I283" s="20" t="s">
        <v>223</v>
      </c>
      <c r="J283" s="21">
        <v>2014</v>
      </c>
      <c r="K283" s="20" t="s">
        <v>44</v>
      </c>
      <c r="L283" s="21" t="s">
        <v>30</v>
      </c>
      <c r="M283" s="21"/>
      <c r="N283" s="20" t="s">
        <v>53</v>
      </c>
      <c r="O283" s="20"/>
    </row>
    <row r="284" spans="1:15" ht="13.5" customHeight="1" x14ac:dyDescent="0.25">
      <c r="A284" s="1"/>
      <c r="B284" s="22">
        <v>272</v>
      </c>
      <c r="C284" s="22">
        <v>2023</v>
      </c>
      <c r="D284" s="22">
        <v>40574</v>
      </c>
      <c r="E284" s="22" t="s">
        <v>1138</v>
      </c>
      <c r="F284" s="22" t="s">
        <v>1139</v>
      </c>
      <c r="G284" s="22" t="s">
        <v>1140</v>
      </c>
      <c r="H284" s="22" t="s">
        <v>1141</v>
      </c>
      <c r="I284" s="22" t="s">
        <v>23</v>
      </c>
      <c r="J284" s="23">
        <v>2014</v>
      </c>
      <c r="K284" s="22" t="s">
        <v>44</v>
      </c>
      <c r="L284" s="23" t="s">
        <v>30</v>
      </c>
      <c r="M284" s="23"/>
      <c r="N284" s="22" t="s">
        <v>53</v>
      </c>
      <c r="O284" s="22"/>
    </row>
    <row r="285" spans="1:15" ht="13.5" customHeight="1" x14ac:dyDescent="0.25">
      <c r="A285" s="1"/>
      <c r="B285" s="20">
        <v>273</v>
      </c>
      <c r="C285" s="20">
        <v>2023</v>
      </c>
      <c r="D285" s="20">
        <v>10546</v>
      </c>
      <c r="E285" s="20" t="s">
        <v>1142</v>
      </c>
      <c r="F285" s="20" t="s">
        <v>1143</v>
      </c>
      <c r="G285" s="20" t="s">
        <v>1144</v>
      </c>
      <c r="H285" s="20" t="s">
        <v>1145</v>
      </c>
      <c r="I285" s="20" t="s">
        <v>23</v>
      </c>
      <c r="J285" s="21">
        <v>2000</v>
      </c>
      <c r="K285" s="20" t="s">
        <v>95</v>
      </c>
      <c r="L285" s="21" t="s">
        <v>30</v>
      </c>
      <c r="M285" s="21" t="s">
        <v>30</v>
      </c>
      <c r="N285" s="20"/>
      <c r="O285" s="20"/>
    </row>
    <row r="286" spans="1:15" ht="13.5" customHeight="1" x14ac:dyDescent="0.25">
      <c r="A286" s="1"/>
      <c r="B286" s="22">
        <v>274</v>
      </c>
      <c r="C286" s="22">
        <v>2023</v>
      </c>
      <c r="D286" s="22">
        <v>11682</v>
      </c>
      <c r="E286" s="22" t="s">
        <v>1146</v>
      </c>
      <c r="F286" s="22" t="s">
        <v>1147</v>
      </c>
      <c r="G286" s="22"/>
      <c r="H286" s="22" t="s">
        <v>1148</v>
      </c>
      <c r="I286" s="22" t="s">
        <v>23</v>
      </c>
      <c r="J286" s="23">
        <v>2007</v>
      </c>
      <c r="K286" s="22" t="s">
        <v>34</v>
      </c>
      <c r="L286" s="23"/>
      <c r="M286" s="23" t="s">
        <v>30</v>
      </c>
      <c r="N286" s="22" t="s">
        <v>245</v>
      </c>
      <c r="O286" s="22"/>
    </row>
    <row r="287" spans="1:15" ht="13.5" customHeight="1" x14ac:dyDescent="0.25">
      <c r="A287" s="1"/>
      <c r="B287" s="20">
        <v>275</v>
      </c>
      <c r="C287" s="20">
        <v>2023</v>
      </c>
      <c r="D287" s="20">
        <v>429</v>
      </c>
      <c r="E287" s="20" t="s">
        <v>1149</v>
      </c>
      <c r="F287" s="20" t="s">
        <v>1150</v>
      </c>
      <c r="G287" s="20"/>
      <c r="H287" s="20" t="s">
        <v>1151</v>
      </c>
      <c r="I287" s="20" t="s">
        <v>23</v>
      </c>
      <c r="J287" s="21">
        <v>2000</v>
      </c>
      <c r="K287" s="20" t="s">
        <v>34</v>
      </c>
      <c r="L287" s="21"/>
      <c r="M287" s="21" t="s">
        <v>30</v>
      </c>
      <c r="N287" s="20"/>
      <c r="O287" s="20"/>
    </row>
    <row r="288" spans="1:15" ht="13.5" customHeight="1" x14ac:dyDescent="0.25">
      <c r="A288" s="1"/>
      <c r="B288" s="22">
        <v>276</v>
      </c>
      <c r="C288" s="22">
        <v>2023</v>
      </c>
      <c r="D288" s="22">
        <v>10548</v>
      </c>
      <c r="E288" s="22" t="s">
        <v>1152</v>
      </c>
      <c r="F288" s="22" t="s">
        <v>1153</v>
      </c>
      <c r="G288" s="22" t="s">
        <v>1154</v>
      </c>
      <c r="H288" s="22" t="s">
        <v>1155</v>
      </c>
      <c r="I288" s="22" t="s">
        <v>23</v>
      </c>
      <c r="J288" s="23">
        <v>2000</v>
      </c>
      <c r="K288" s="22" t="s">
        <v>34</v>
      </c>
      <c r="L288" s="23" t="s">
        <v>30</v>
      </c>
      <c r="M288" s="23" t="s">
        <v>30</v>
      </c>
      <c r="N288" s="22"/>
      <c r="O288" s="22"/>
    </row>
    <row r="289" spans="1:15" ht="13.5" customHeight="1" x14ac:dyDescent="0.25">
      <c r="A289" s="1"/>
      <c r="B289" s="20">
        <v>277</v>
      </c>
      <c r="C289" s="20">
        <v>2023</v>
      </c>
      <c r="D289" s="20">
        <v>10014</v>
      </c>
      <c r="E289" s="20" t="s">
        <v>1156</v>
      </c>
      <c r="F289" s="20" t="s">
        <v>1157</v>
      </c>
      <c r="G289" s="20" t="s">
        <v>1158</v>
      </c>
      <c r="H289" s="20" t="s">
        <v>1159</v>
      </c>
      <c r="I289" s="20" t="s">
        <v>23</v>
      </c>
      <c r="J289" s="21">
        <v>2000</v>
      </c>
      <c r="K289" s="20" t="s">
        <v>39</v>
      </c>
      <c r="L289" s="21" t="s">
        <v>30</v>
      </c>
      <c r="M289" s="21" t="s">
        <v>30</v>
      </c>
      <c r="N289" s="20"/>
      <c r="O289" s="20"/>
    </row>
    <row r="290" spans="1:15" ht="13.5" customHeight="1" x14ac:dyDescent="0.25">
      <c r="A290" s="1"/>
      <c r="B290" s="22">
        <v>278</v>
      </c>
      <c r="C290" s="22">
        <v>2023</v>
      </c>
      <c r="D290" s="22">
        <v>40415</v>
      </c>
      <c r="E290" s="22" t="s">
        <v>1160</v>
      </c>
      <c r="F290" s="22" t="s">
        <v>1161</v>
      </c>
      <c r="G290" s="22"/>
      <c r="H290" s="22" t="s">
        <v>1162</v>
      </c>
      <c r="I290" s="22" t="s">
        <v>23</v>
      </c>
      <c r="J290" s="23">
        <v>2013</v>
      </c>
      <c r="K290" s="22" t="s">
        <v>34</v>
      </c>
      <c r="L290" s="23"/>
      <c r="M290" s="23"/>
      <c r="N290" s="22" t="s">
        <v>101</v>
      </c>
      <c r="O290" s="22"/>
    </row>
    <row r="291" spans="1:15" ht="13.5" customHeight="1" x14ac:dyDescent="0.25">
      <c r="A291" s="1"/>
      <c r="B291" s="20">
        <v>279</v>
      </c>
      <c r="C291" s="20">
        <v>2023</v>
      </c>
      <c r="D291" s="20">
        <v>43153</v>
      </c>
      <c r="E291" s="20" t="s">
        <v>1163</v>
      </c>
      <c r="F291" s="20" t="s">
        <v>1164</v>
      </c>
      <c r="G291" s="20" t="s">
        <v>1165</v>
      </c>
      <c r="H291" s="20" t="s">
        <v>1166</v>
      </c>
      <c r="I291" s="20" t="s">
        <v>23</v>
      </c>
      <c r="J291" s="21">
        <v>2020</v>
      </c>
      <c r="K291" s="20" t="s">
        <v>24</v>
      </c>
      <c r="L291" s="21" t="s">
        <v>30</v>
      </c>
      <c r="M291" s="21"/>
      <c r="N291" s="20" t="s">
        <v>270</v>
      </c>
      <c r="O291" s="20"/>
    </row>
    <row r="292" spans="1:15" ht="13.5" customHeight="1" x14ac:dyDescent="0.25">
      <c r="A292" s="1"/>
      <c r="B292" s="22">
        <v>280</v>
      </c>
      <c r="C292" s="22">
        <v>2023</v>
      </c>
      <c r="D292" s="22">
        <v>42770</v>
      </c>
      <c r="E292" s="22" t="s">
        <v>1167</v>
      </c>
      <c r="F292" s="22" t="s">
        <v>1168</v>
      </c>
      <c r="G292" s="22"/>
      <c r="H292" s="22" t="s">
        <v>1169</v>
      </c>
      <c r="I292" s="22" t="s">
        <v>23</v>
      </c>
      <c r="J292" s="23">
        <v>2019</v>
      </c>
      <c r="K292" s="22" t="s">
        <v>34</v>
      </c>
      <c r="L292" s="23"/>
      <c r="M292" s="23"/>
      <c r="N292" s="22" t="s">
        <v>123</v>
      </c>
      <c r="O292" s="22"/>
    </row>
    <row r="293" spans="1:15" ht="13.5" customHeight="1" x14ac:dyDescent="0.25">
      <c r="A293" s="1"/>
      <c r="B293" s="20">
        <v>281</v>
      </c>
      <c r="C293" s="20">
        <v>2023</v>
      </c>
      <c r="D293" s="20">
        <v>13538</v>
      </c>
      <c r="E293" s="20" t="s">
        <v>1170</v>
      </c>
      <c r="F293" s="20" t="s">
        <v>1171</v>
      </c>
      <c r="G293" s="20" t="s">
        <v>1172</v>
      </c>
      <c r="H293" s="20" t="s">
        <v>1173</v>
      </c>
      <c r="I293" s="20" t="s">
        <v>23</v>
      </c>
      <c r="J293" s="21">
        <v>2011</v>
      </c>
      <c r="K293" s="20" t="s">
        <v>63</v>
      </c>
      <c r="L293" s="21" t="s">
        <v>30</v>
      </c>
      <c r="M293" s="21"/>
      <c r="N293" s="20" t="s">
        <v>275</v>
      </c>
      <c r="O293" s="20"/>
    </row>
    <row r="294" spans="1:15" ht="13.5" customHeight="1" x14ac:dyDescent="0.25">
      <c r="A294" s="1"/>
      <c r="B294" s="22">
        <v>282</v>
      </c>
      <c r="C294" s="22">
        <v>2023</v>
      </c>
      <c r="D294" s="22">
        <v>12282</v>
      </c>
      <c r="E294" s="22" t="s">
        <v>1174</v>
      </c>
      <c r="F294" s="22" t="s">
        <v>1175</v>
      </c>
      <c r="G294" s="22" t="s">
        <v>1176</v>
      </c>
      <c r="H294" s="22" t="s">
        <v>1177</v>
      </c>
      <c r="I294" s="22" t="s">
        <v>23</v>
      </c>
      <c r="J294" s="23">
        <v>2000</v>
      </c>
      <c r="K294" s="22" t="s">
        <v>39</v>
      </c>
      <c r="L294" s="23" t="s">
        <v>30</v>
      </c>
      <c r="M294" s="23" t="s">
        <v>30</v>
      </c>
      <c r="N294" s="22" t="s">
        <v>35</v>
      </c>
      <c r="O294" s="22"/>
    </row>
    <row r="295" spans="1:15" ht="13.5" customHeight="1" x14ac:dyDescent="0.25">
      <c r="A295" s="1"/>
      <c r="B295" s="20">
        <v>283</v>
      </c>
      <c r="C295" s="20">
        <v>2023</v>
      </c>
      <c r="D295" s="20">
        <v>10549</v>
      </c>
      <c r="E295" s="20" t="s">
        <v>1178</v>
      </c>
      <c r="F295" s="20" t="s">
        <v>1179</v>
      </c>
      <c r="G295" s="20"/>
      <c r="H295" s="20" t="s">
        <v>1180</v>
      </c>
      <c r="I295" s="20" t="s">
        <v>23</v>
      </c>
      <c r="J295" s="21">
        <v>2000</v>
      </c>
      <c r="K295" s="20" t="s">
        <v>39</v>
      </c>
      <c r="L295" s="21"/>
      <c r="M295" s="21" t="s">
        <v>30</v>
      </c>
      <c r="N295" s="20"/>
      <c r="O295" s="20"/>
    </row>
    <row r="296" spans="1:15" ht="13.5" customHeight="1" x14ac:dyDescent="0.25">
      <c r="A296" s="1"/>
      <c r="B296" s="22">
        <v>284</v>
      </c>
      <c r="C296" s="22">
        <v>2023</v>
      </c>
      <c r="D296" s="22">
        <v>12228</v>
      </c>
      <c r="E296" s="22" t="s">
        <v>1181</v>
      </c>
      <c r="F296" s="22" t="s">
        <v>1182</v>
      </c>
      <c r="G296" s="22" t="s">
        <v>1183</v>
      </c>
      <c r="H296" s="22" t="s">
        <v>1184</v>
      </c>
      <c r="I296" s="22" t="s">
        <v>23</v>
      </c>
      <c r="J296" s="23">
        <v>2000</v>
      </c>
      <c r="K296" s="22" t="s">
        <v>34</v>
      </c>
      <c r="L296" s="23" t="s">
        <v>30</v>
      </c>
      <c r="M296" s="23" t="s">
        <v>30</v>
      </c>
      <c r="N296" s="22" t="s">
        <v>35</v>
      </c>
      <c r="O296" s="22"/>
    </row>
    <row r="297" spans="1:15" ht="13.5" customHeight="1" x14ac:dyDescent="0.25">
      <c r="A297" s="1"/>
      <c r="B297" s="20">
        <v>285</v>
      </c>
      <c r="C297" s="20">
        <v>2023</v>
      </c>
      <c r="D297" s="20">
        <v>12273</v>
      </c>
      <c r="E297" s="20" t="s">
        <v>1185</v>
      </c>
      <c r="F297" s="20" t="s">
        <v>1186</v>
      </c>
      <c r="G297" s="20" t="s">
        <v>1187</v>
      </c>
      <c r="H297" s="20" t="s">
        <v>1188</v>
      </c>
      <c r="I297" s="20" t="s">
        <v>824</v>
      </c>
      <c r="J297" s="21">
        <v>2008</v>
      </c>
      <c r="K297" s="20" t="s">
        <v>67</v>
      </c>
      <c r="L297" s="21" t="s">
        <v>30</v>
      </c>
      <c r="M297" s="21" t="s">
        <v>30</v>
      </c>
      <c r="N297" s="20" t="s">
        <v>352</v>
      </c>
      <c r="O297" s="20"/>
    </row>
    <row r="298" spans="1:15" ht="13.5" customHeight="1" x14ac:dyDescent="0.25">
      <c r="A298" s="1"/>
      <c r="B298" s="22">
        <v>286</v>
      </c>
      <c r="C298" s="22">
        <v>2023</v>
      </c>
      <c r="D298" s="22">
        <v>42865</v>
      </c>
      <c r="E298" s="22" t="s">
        <v>1189</v>
      </c>
      <c r="F298" s="22" t="s">
        <v>1190</v>
      </c>
      <c r="G298" s="22" t="s">
        <v>1191</v>
      </c>
      <c r="H298" s="22" t="s">
        <v>1192</v>
      </c>
      <c r="I298" s="22" t="s">
        <v>23</v>
      </c>
      <c r="J298" s="23">
        <v>2020</v>
      </c>
      <c r="K298" s="22" t="s">
        <v>95</v>
      </c>
      <c r="L298" s="23" t="s">
        <v>30</v>
      </c>
      <c r="M298" s="23"/>
      <c r="N298" s="22" t="s">
        <v>48</v>
      </c>
      <c r="O298" s="22"/>
    </row>
    <row r="299" spans="1:15" ht="13.5" customHeight="1" x14ac:dyDescent="0.25">
      <c r="A299" s="1"/>
      <c r="B299" s="20">
        <v>287</v>
      </c>
      <c r="C299" s="20">
        <v>2023</v>
      </c>
      <c r="D299" s="20">
        <v>10518</v>
      </c>
      <c r="E299" s="20" t="s">
        <v>1193</v>
      </c>
      <c r="F299" s="20" t="s">
        <v>1194</v>
      </c>
      <c r="G299" s="20" t="s">
        <v>1195</v>
      </c>
      <c r="H299" s="20" t="s">
        <v>1196</v>
      </c>
      <c r="I299" s="20" t="s">
        <v>23</v>
      </c>
      <c r="J299" s="21">
        <v>2003</v>
      </c>
      <c r="K299" s="20" t="s">
        <v>95</v>
      </c>
      <c r="L299" s="21" t="s">
        <v>30</v>
      </c>
      <c r="M299" s="21" t="s">
        <v>30</v>
      </c>
      <c r="N299" s="20"/>
      <c r="O299" s="20"/>
    </row>
    <row r="300" spans="1:15" ht="13.5" customHeight="1" x14ac:dyDescent="0.25">
      <c r="A300" s="1"/>
      <c r="B300" s="22">
        <v>288</v>
      </c>
      <c r="C300" s="22">
        <v>2023</v>
      </c>
      <c r="D300" s="22">
        <v>10064</v>
      </c>
      <c r="E300" s="22" t="s">
        <v>1197</v>
      </c>
      <c r="F300" s="22" t="s">
        <v>1198</v>
      </c>
      <c r="G300" s="22" t="s">
        <v>1199</v>
      </c>
      <c r="H300" s="22" t="s">
        <v>1200</v>
      </c>
      <c r="I300" s="22" t="s">
        <v>23</v>
      </c>
      <c r="J300" s="23">
        <v>2000</v>
      </c>
      <c r="K300" s="22" t="s">
        <v>95</v>
      </c>
      <c r="L300" s="23" t="s">
        <v>30</v>
      </c>
      <c r="M300" s="23" t="s">
        <v>30</v>
      </c>
      <c r="N300" s="22"/>
      <c r="O300" s="22"/>
    </row>
    <row r="301" spans="1:15" ht="13.5" customHeight="1" x14ac:dyDescent="0.25">
      <c r="A301" s="1"/>
      <c r="B301" s="20">
        <v>289</v>
      </c>
      <c r="C301" s="20">
        <v>2023</v>
      </c>
      <c r="D301" s="20">
        <v>128</v>
      </c>
      <c r="E301" s="20" t="s">
        <v>1201</v>
      </c>
      <c r="F301" s="20" t="s">
        <v>1202</v>
      </c>
      <c r="G301" s="20" t="s">
        <v>1203</v>
      </c>
      <c r="H301" s="20" t="s">
        <v>1204</v>
      </c>
      <c r="I301" s="20" t="s">
        <v>23</v>
      </c>
      <c r="J301" s="21">
        <v>2000</v>
      </c>
      <c r="K301" s="20" t="s">
        <v>95</v>
      </c>
      <c r="L301" s="21" t="s">
        <v>30</v>
      </c>
      <c r="M301" s="21" t="s">
        <v>30</v>
      </c>
      <c r="N301" s="20"/>
      <c r="O301" s="20"/>
    </row>
    <row r="302" spans="1:15" ht="13.5" customHeight="1" x14ac:dyDescent="0.25">
      <c r="A302" s="1"/>
      <c r="B302" s="22">
        <v>290</v>
      </c>
      <c r="C302" s="22">
        <v>2023</v>
      </c>
      <c r="D302" s="22">
        <v>10517</v>
      </c>
      <c r="E302" s="22" t="s">
        <v>1205</v>
      </c>
      <c r="F302" s="22" t="s">
        <v>1206</v>
      </c>
      <c r="G302" s="22" t="s">
        <v>1207</v>
      </c>
      <c r="H302" s="22" t="s">
        <v>1208</v>
      </c>
      <c r="I302" s="22" t="s">
        <v>23</v>
      </c>
      <c r="J302" s="23">
        <v>2000</v>
      </c>
      <c r="K302" s="22" t="s">
        <v>34</v>
      </c>
      <c r="L302" s="23" t="s">
        <v>30</v>
      </c>
      <c r="M302" s="23" t="s">
        <v>30</v>
      </c>
      <c r="N302" s="22"/>
      <c r="O302" s="22"/>
    </row>
    <row r="303" spans="1:15" ht="13.5" customHeight="1" x14ac:dyDescent="0.25">
      <c r="A303" s="1"/>
      <c r="B303" s="20">
        <v>291</v>
      </c>
      <c r="C303" s="20">
        <v>2023</v>
      </c>
      <c r="D303" s="20">
        <v>12034</v>
      </c>
      <c r="E303" s="20" t="s">
        <v>1209</v>
      </c>
      <c r="F303" s="20" t="s">
        <v>1210</v>
      </c>
      <c r="G303" s="20"/>
      <c r="H303" s="20" t="s">
        <v>1211</v>
      </c>
      <c r="I303" s="20" t="s">
        <v>23</v>
      </c>
      <c r="J303" s="21">
        <v>2000</v>
      </c>
      <c r="K303" s="20" t="s">
        <v>24</v>
      </c>
      <c r="L303" s="21"/>
      <c r="M303" s="21" t="s">
        <v>30</v>
      </c>
      <c r="N303" s="20" t="s">
        <v>245</v>
      </c>
      <c r="O303" s="20"/>
    </row>
    <row r="304" spans="1:15" ht="13.5" customHeight="1" x14ac:dyDescent="0.25">
      <c r="A304" s="1"/>
      <c r="B304" s="22">
        <v>292</v>
      </c>
      <c r="C304" s="22">
        <v>2023</v>
      </c>
      <c r="D304" s="22">
        <v>11538</v>
      </c>
      <c r="E304" s="22" t="s">
        <v>1212</v>
      </c>
      <c r="F304" s="22" t="s">
        <v>1213</v>
      </c>
      <c r="G304" s="22" t="s">
        <v>1214</v>
      </c>
      <c r="H304" s="22" t="s">
        <v>1215</v>
      </c>
      <c r="I304" s="22" t="s">
        <v>23</v>
      </c>
      <c r="J304" s="23">
        <v>2000</v>
      </c>
      <c r="K304" s="22" t="s">
        <v>44</v>
      </c>
      <c r="L304" s="23" t="s">
        <v>30</v>
      </c>
      <c r="M304" s="23" t="s">
        <v>30</v>
      </c>
      <c r="N304" s="22"/>
      <c r="O304" s="22"/>
    </row>
    <row r="305" spans="1:15" ht="13.5" customHeight="1" x14ac:dyDescent="0.25">
      <c r="A305" s="1"/>
      <c r="B305" s="20">
        <v>293</v>
      </c>
      <c r="C305" s="20">
        <v>2023</v>
      </c>
      <c r="D305" s="20">
        <v>574</v>
      </c>
      <c r="E305" s="20" t="s">
        <v>1216</v>
      </c>
      <c r="F305" s="20" t="s">
        <v>1217</v>
      </c>
      <c r="G305" s="20" t="s">
        <v>1218</v>
      </c>
      <c r="H305" s="20" t="s">
        <v>1219</v>
      </c>
      <c r="I305" s="20" t="s">
        <v>23</v>
      </c>
      <c r="J305" s="21">
        <v>2000</v>
      </c>
      <c r="K305" s="20" t="s">
        <v>44</v>
      </c>
      <c r="L305" s="21" t="s">
        <v>30</v>
      </c>
      <c r="M305" s="21" t="s">
        <v>30</v>
      </c>
      <c r="N305" s="20"/>
      <c r="O305" s="20"/>
    </row>
    <row r="306" spans="1:15" ht="13.5" customHeight="1" x14ac:dyDescent="0.25">
      <c r="A306" s="1"/>
      <c r="B306" s="22">
        <v>294</v>
      </c>
      <c r="C306" s="22">
        <v>2023</v>
      </c>
      <c r="D306" s="22">
        <v>41980</v>
      </c>
      <c r="E306" s="22" t="s">
        <v>1220</v>
      </c>
      <c r="F306" s="22" t="s">
        <v>1221</v>
      </c>
      <c r="G306" s="22"/>
      <c r="H306" s="22" t="s">
        <v>1222</v>
      </c>
      <c r="I306" s="22" t="s">
        <v>23</v>
      </c>
      <c r="J306" s="23">
        <v>2018</v>
      </c>
      <c r="K306" s="22" t="s">
        <v>44</v>
      </c>
      <c r="L306" s="23"/>
      <c r="M306" s="23"/>
      <c r="N306" s="22" t="s">
        <v>151</v>
      </c>
      <c r="O306" s="22"/>
    </row>
    <row r="307" spans="1:15" ht="13.5" customHeight="1" x14ac:dyDescent="0.25">
      <c r="A307" s="1"/>
      <c r="B307" s="20">
        <v>295</v>
      </c>
      <c r="C307" s="20">
        <v>2023</v>
      </c>
      <c r="D307" s="20">
        <v>11953</v>
      </c>
      <c r="E307" s="20" t="s">
        <v>1223</v>
      </c>
      <c r="F307" s="20" t="s">
        <v>1224</v>
      </c>
      <c r="G307" s="20" t="s">
        <v>1225</v>
      </c>
      <c r="H307" s="20" t="s">
        <v>1226</v>
      </c>
      <c r="I307" s="20" t="s">
        <v>62</v>
      </c>
      <c r="J307" s="21">
        <v>2007</v>
      </c>
      <c r="K307" s="20" t="s">
        <v>63</v>
      </c>
      <c r="L307" s="21" t="s">
        <v>30</v>
      </c>
      <c r="M307" s="21" t="s">
        <v>30</v>
      </c>
      <c r="N307" s="20" t="s">
        <v>74</v>
      </c>
      <c r="O307" s="20"/>
    </row>
    <row r="308" spans="1:15" ht="13.5" customHeight="1" x14ac:dyDescent="0.25">
      <c r="A308" s="1"/>
      <c r="B308" s="22">
        <v>296</v>
      </c>
      <c r="C308" s="22">
        <v>2023</v>
      </c>
      <c r="D308" s="22">
        <v>40840</v>
      </c>
      <c r="E308" s="22" t="s">
        <v>1227</v>
      </c>
      <c r="F308" s="22" t="s">
        <v>1228</v>
      </c>
      <c r="G308" s="22" t="s">
        <v>1229</v>
      </c>
      <c r="H308" s="22" t="s">
        <v>1230</v>
      </c>
      <c r="I308" s="22" t="s">
        <v>23</v>
      </c>
      <c r="J308" s="23">
        <v>2015</v>
      </c>
      <c r="K308" s="22" t="s">
        <v>44</v>
      </c>
      <c r="L308" s="23" t="s">
        <v>30</v>
      </c>
      <c r="M308" s="23"/>
      <c r="N308" s="22" t="s">
        <v>68</v>
      </c>
      <c r="O308" s="22"/>
    </row>
    <row r="309" spans="1:15" ht="13.5" customHeight="1" x14ac:dyDescent="0.25">
      <c r="A309" s="1"/>
      <c r="B309" s="20">
        <v>297</v>
      </c>
      <c r="C309" s="20">
        <v>2023</v>
      </c>
      <c r="D309" s="20">
        <v>11954</v>
      </c>
      <c r="E309" s="20" t="s">
        <v>1231</v>
      </c>
      <c r="F309" s="20" t="s">
        <v>1232</v>
      </c>
      <c r="G309" s="20" t="s">
        <v>1233</v>
      </c>
      <c r="H309" s="20" t="s">
        <v>1234</v>
      </c>
      <c r="I309" s="20" t="s">
        <v>62</v>
      </c>
      <c r="J309" s="21">
        <v>2007</v>
      </c>
      <c r="K309" s="20" t="s">
        <v>63</v>
      </c>
      <c r="L309" s="21" t="s">
        <v>30</v>
      </c>
      <c r="M309" s="21" t="s">
        <v>30</v>
      </c>
      <c r="N309" s="20" t="s">
        <v>74</v>
      </c>
      <c r="O309" s="20"/>
    </row>
    <row r="310" spans="1:15" ht="13.5" customHeight="1" x14ac:dyDescent="0.25">
      <c r="A310" s="1"/>
      <c r="B310" s="22">
        <v>298</v>
      </c>
      <c r="C310" s="22">
        <v>2023</v>
      </c>
      <c r="D310" s="22">
        <v>445</v>
      </c>
      <c r="E310" s="22" t="s">
        <v>1235</v>
      </c>
      <c r="F310" s="22" t="s">
        <v>1236</v>
      </c>
      <c r="G310" s="22"/>
      <c r="H310" s="22" t="s">
        <v>1237</v>
      </c>
      <c r="I310" s="22" t="s">
        <v>23</v>
      </c>
      <c r="J310" s="23">
        <v>2000</v>
      </c>
      <c r="K310" s="22" t="s">
        <v>95</v>
      </c>
      <c r="L310" s="23"/>
      <c r="M310" s="23" t="s">
        <v>30</v>
      </c>
      <c r="N310" s="22"/>
      <c r="O310" s="22"/>
    </row>
    <row r="311" spans="1:15" ht="13.5" customHeight="1" x14ac:dyDescent="0.25">
      <c r="A311" s="1"/>
      <c r="B311" s="20">
        <v>299</v>
      </c>
      <c r="C311" s="20">
        <v>2023</v>
      </c>
      <c r="D311" s="20">
        <v>103</v>
      </c>
      <c r="E311" s="20" t="s">
        <v>1238</v>
      </c>
      <c r="F311" s="20" t="s">
        <v>1239</v>
      </c>
      <c r="G311" s="20" t="s">
        <v>1240</v>
      </c>
      <c r="H311" s="20" t="s">
        <v>1241</v>
      </c>
      <c r="I311" s="20" t="s">
        <v>23</v>
      </c>
      <c r="J311" s="21">
        <v>2000</v>
      </c>
      <c r="K311" s="20" t="s">
        <v>39</v>
      </c>
      <c r="L311" s="21" t="s">
        <v>30</v>
      </c>
      <c r="M311" s="21" t="s">
        <v>30</v>
      </c>
      <c r="N311" s="20"/>
      <c r="O311" s="20"/>
    </row>
    <row r="312" spans="1:15" ht="13.5" customHeight="1" x14ac:dyDescent="0.25">
      <c r="A312" s="1"/>
      <c r="B312" s="22">
        <v>300</v>
      </c>
      <c r="C312" s="22">
        <v>2023</v>
      </c>
      <c r="D312" s="22">
        <v>12599</v>
      </c>
      <c r="E312" s="22" t="s">
        <v>1242</v>
      </c>
      <c r="F312" s="22" t="s">
        <v>1243</v>
      </c>
      <c r="G312" s="22" t="s">
        <v>1244</v>
      </c>
      <c r="H312" s="22" t="s">
        <v>1245</v>
      </c>
      <c r="I312" s="22" t="s">
        <v>1246</v>
      </c>
      <c r="J312" s="23">
        <v>2009</v>
      </c>
      <c r="K312" s="22" t="s">
        <v>29</v>
      </c>
      <c r="L312" s="23" t="s">
        <v>30</v>
      </c>
      <c r="M312" s="23" t="s">
        <v>30</v>
      </c>
      <c r="N312" s="22" t="s">
        <v>1103</v>
      </c>
      <c r="O312" s="22"/>
    </row>
    <row r="313" spans="1:15" ht="13.5" customHeight="1" x14ac:dyDescent="0.25">
      <c r="A313" s="1"/>
      <c r="B313" s="20">
        <v>301</v>
      </c>
      <c r="C313" s="20">
        <v>2023</v>
      </c>
      <c r="D313" s="20">
        <v>223</v>
      </c>
      <c r="E313" s="20" t="s">
        <v>1247</v>
      </c>
      <c r="F313" s="20" t="s">
        <v>1248</v>
      </c>
      <c r="G313" s="20"/>
      <c r="H313" s="20" t="s">
        <v>1249</v>
      </c>
      <c r="I313" s="20" t="s">
        <v>23</v>
      </c>
      <c r="J313" s="21">
        <v>2000</v>
      </c>
      <c r="K313" s="20" t="s">
        <v>34</v>
      </c>
      <c r="L313" s="21"/>
      <c r="M313" s="21" t="s">
        <v>30</v>
      </c>
      <c r="N313" s="20"/>
      <c r="O313" s="20"/>
    </row>
    <row r="314" spans="1:15" ht="13.5" customHeight="1" x14ac:dyDescent="0.25">
      <c r="A314" s="1"/>
      <c r="B314" s="22">
        <v>302</v>
      </c>
      <c r="C314" s="22">
        <v>2023</v>
      </c>
      <c r="D314" s="22">
        <v>10092</v>
      </c>
      <c r="E314" s="22" t="s">
        <v>1250</v>
      </c>
      <c r="F314" s="22" t="s">
        <v>1251</v>
      </c>
      <c r="G314" s="22" t="s">
        <v>1252</v>
      </c>
      <c r="H314" s="22" t="s">
        <v>1253</v>
      </c>
      <c r="I314" s="22" t="s">
        <v>23</v>
      </c>
      <c r="J314" s="23">
        <v>2000</v>
      </c>
      <c r="K314" s="22" t="s">
        <v>44</v>
      </c>
      <c r="L314" s="23" t="s">
        <v>30</v>
      </c>
      <c r="M314" s="23" t="s">
        <v>30</v>
      </c>
      <c r="N314" s="22"/>
      <c r="O314" s="22"/>
    </row>
    <row r="315" spans="1:15" ht="13.5" customHeight="1" x14ac:dyDescent="0.25">
      <c r="A315" s="1"/>
      <c r="B315" s="20">
        <v>303</v>
      </c>
      <c r="C315" s="20">
        <v>2023</v>
      </c>
      <c r="D315" s="20">
        <v>526</v>
      </c>
      <c r="E315" s="20" t="s">
        <v>1254</v>
      </c>
      <c r="F315" s="20" t="s">
        <v>1255</v>
      </c>
      <c r="G315" s="20" t="s">
        <v>1256</v>
      </c>
      <c r="H315" s="20" t="s">
        <v>1257</v>
      </c>
      <c r="I315" s="20" t="s">
        <v>23</v>
      </c>
      <c r="J315" s="21">
        <v>2000</v>
      </c>
      <c r="K315" s="20" t="s">
        <v>44</v>
      </c>
      <c r="L315" s="21" t="s">
        <v>30</v>
      </c>
      <c r="M315" s="21" t="s">
        <v>30</v>
      </c>
      <c r="N315" s="20"/>
      <c r="O315" s="20"/>
    </row>
    <row r="316" spans="1:15" ht="13.5" customHeight="1" x14ac:dyDescent="0.25">
      <c r="A316" s="1"/>
      <c r="B316" s="22">
        <v>304</v>
      </c>
      <c r="C316" s="22">
        <v>2023</v>
      </c>
      <c r="D316" s="22">
        <v>12630</v>
      </c>
      <c r="E316" s="22" t="s">
        <v>1258</v>
      </c>
      <c r="F316" s="22" t="s">
        <v>1259</v>
      </c>
      <c r="G316" s="22" t="s">
        <v>1260</v>
      </c>
      <c r="H316" s="22" t="s">
        <v>1261</v>
      </c>
      <c r="I316" s="22" t="s">
        <v>23</v>
      </c>
      <c r="J316" s="23">
        <v>2000</v>
      </c>
      <c r="K316" s="22" t="s">
        <v>39</v>
      </c>
      <c r="L316" s="23" t="s">
        <v>30</v>
      </c>
      <c r="M316" s="23"/>
      <c r="N316" s="22" t="s">
        <v>431</v>
      </c>
      <c r="O316" s="22"/>
    </row>
    <row r="317" spans="1:15" ht="13.5" customHeight="1" x14ac:dyDescent="0.25">
      <c r="A317" s="1"/>
      <c r="B317" s="20">
        <v>305</v>
      </c>
      <c r="C317" s="20">
        <v>2023</v>
      </c>
      <c r="D317" s="20">
        <v>41997</v>
      </c>
      <c r="E317" s="20" t="s">
        <v>1262</v>
      </c>
      <c r="F317" s="20" t="s">
        <v>1263</v>
      </c>
      <c r="G317" s="20"/>
      <c r="H317" s="20" t="s">
        <v>1264</v>
      </c>
      <c r="I317" s="20" t="s">
        <v>23</v>
      </c>
      <c r="J317" s="21">
        <v>2000</v>
      </c>
      <c r="K317" s="20" t="s">
        <v>39</v>
      </c>
      <c r="L317" s="21"/>
      <c r="M317" s="21"/>
      <c r="N317" s="20" t="s">
        <v>151</v>
      </c>
      <c r="O317" s="20"/>
    </row>
    <row r="318" spans="1:15" ht="13.5" customHeight="1" x14ac:dyDescent="0.25">
      <c r="A318" s="1"/>
      <c r="B318" s="22">
        <v>306</v>
      </c>
      <c r="C318" s="22">
        <v>2023</v>
      </c>
      <c r="D318" s="22">
        <v>42330</v>
      </c>
      <c r="E318" s="22" t="s">
        <v>1265</v>
      </c>
      <c r="F318" s="22" t="s">
        <v>1266</v>
      </c>
      <c r="G318" s="22" t="s">
        <v>1267</v>
      </c>
      <c r="H318" s="22" t="s">
        <v>1268</v>
      </c>
      <c r="I318" s="22" t="s">
        <v>23</v>
      </c>
      <c r="J318" s="23">
        <v>2001</v>
      </c>
      <c r="K318" s="22" t="s">
        <v>73</v>
      </c>
      <c r="L318" s="23" t="s">
        <v>30</v>
      </c>
      <c r="M318" s="23"/>
      <c r="N318" s="22" t="s">
        <v>151</v>
      </c>
      <c r="O318" s="22"/>
    </row>
    <row r="319" spans="1:15" ht="13.5" customHeight="1" x14ac:dyDescent="0.25">
      <c r="A319" s="1"/>
      <c r="B319" s="20">
        <v>307</v>
      </c>
      <c r="C319" s="20">
        <v>2023</v>
      </c>
      <c r="D319" s="20">
        <v>42650</v>
      </c>
      <c r="E319" s="20" t="s">
        <v>1269</v>
      </c>
      <c r="F319" s="20" t="s">
        <v>1270</v>
      </c>
      <c r="G319" s="20" t="s">
        <v>1271</v>
      </c>
      <c r="H319" s="20" t="s">
        <v>1272</v>
      </c>
      <c r="I319" s="20" t="s">
        <v>23</v>
      </c>
      <c r="J319" s="21">
        <v>2019</v>
      </c>
      <c r="K319" s="20" t="s">
        <v>184</v>
      </c>
      <c r="L319" s="21" t="s">
        <v>30</v>
      </c>
      <c r="M319" s="21"/>
      <c r="N319" s="20" t="s">
        <v>123</v>
      </c>
      <c r="O319" s="20"/>
    </row>
    <row r="320" spans="1:15" ht="13.5" customHeight="1" x14ac:dyDescent="0.25">
      <c r="A320" s="1"/>
      <c r="B320" s="22">
        <v>308</v>
      </c>
      <c r="C320" s="22">
        <v>2023</v>
      </c>
      <c r="D320" s="22">
        <v>10555</v>
      </c>
      <c r="E320" s="22" t="s">
        <v>1273</v>
      </c>
      <c r="F320" s="22" t="s">
        <v>1274</v>
      </c>
      <c r="G320" s="22" t="s">
        <v>1275</v>
      </c>
      <c r="H320" s="22" t="s">
        <v>1276</v>
      </c>
      <c r="I320" s="22" t="s">
        <v>23</v>
      </c>
      <c r="J320" s="23">
        <v>2000</v>
      </c>
      <c r="K320" s="22" t="s">
        <v>34</v>
      </c>
      <c r="L320" s="23" t="s">
        <v>30</v>
      </c>
      <c r="M320" s="23" t="s">
        <v>30</v>
      </c>
      <c r="N320" s="22"/>
      <c r="O320" s="22"/>
    </row>
    <row r="321" spans="1:15" ht="13.5" customHeight="1" x14ac:dyDescent="0.25">
      <c r="A321" s="1"/>
      <c r="B321" s="20">
        <v>309</v>
      </c>
      <c r="C321" s="20">
        <v>2023</v>
      </c>
      <c r="D321" s="20">
        <v>10552</v>
      </c>
      <c r="E321" s="20" t="s">
        <v>1277</v>
      </c>
      <c r="F321" s="20" t="s">
        <v>1278</v>
      </c>
      <c r="G321" s="20" t="s">
        <v>1279</v>
      </c>
      <c r="H321" s="20" t="s">
        <v>1280</v>
      </c>
      <c r="I321" s="20" t="s">
        <v>23</v>
      </c>
      <c r="J321" s="21">
        <v>2000</v>
      </c>
      <c r="K321" s="20" t="s">
        <v>34</v>
      </c>
      <c r="L321" s="21" t="s">
        <v>30</v>
      </c>
      <c r="M321" s="21" t="s">
        <v>30</v>
      </c>
      <c r="N321" s="20"/>
      <c r="O321" s="20"/>
    </row>
    <row r="322" spans="1:15" ht="13.5" customHeight="1" x14ac:dyDescent="0.25">
      <c r="A322" s="1"/>
      <c r="B322" s="22">
        <v>310</v>
      </c>
      <c r="C322" s="22">
        <v>2023</v>
      </c>
      <c r="D322" s="22">
        <v>280</v>
      </c>
      <c r="E322" s="22" t="s">
        <v>1281</v>
      </c>
      <c r="F322" s="22" t="s">
        <v>1282</v>
      </c>
      <c r="G322" s="22"/>
      <c r="H322" s="22" t="s">
        <v>1283</v>
      </c>
      <c r="I322" s="22" t="s">
        <v>23</v>
      </c>
      <c r="J322" s="23">
        <v>2000</v>
      </c>
      <c r="K322" s="22" t="s">
        <v>39</v>
      </c>
      <c r="L322" s="23"/>
      <c r="M322" s="23" t="s">
        <v>30</v>
      </c>
      <c r="N322" s="22"/>
      <c r="O322" s="22"/>
    </row>
    <row r="323" spans="1:15" ht="13.5" customHeight="1" x14ac:dyDescent="0.25">
      <c r="A323" s="1"/>
      <c r="B323" s="20">
        <v>311</v>
      </c>
      <c r="C323" s="20">
        <v>2023</v>
      </c>
      <c r="D323" s="20">
        <v>262</v>
      </c>
      <c r="E323" s="20" t="s">
        <v>1284</v>
      </c>
      <c r="F323" s="20" t="s">
        <v>1285</v>
      </c>
      <c r="G323" s="20"/>
      <c r="H323" s="20" t="s">
        <v>1286</v>
      </c>
      <c r="I323" s="20" t="s">
        <v>23</v>
      </c>
      <c r="J323" s="21">
        <v>2000</v>
      </c>
      <c r="K323" s="20" t="s">
        <v>39</v>
      </c>
      <c r="L323" s="21"/>
      <c r="M323" s="21" t="s">
        <v>30</v>
      </c>
      <c r="N323" s="20"/>
      <c r="O323" s="20"/>
    </row>
    <row r="324" spans="1:15" ht="13.5" customHeight="1" x14ac:dyDescent="0.25">
      <c r="A324" s="1"/>
      <c r="B324" s="22">
        <v>312</v>
      </c>
      <c r="C324" s="22">
        <v>2023</v>
      </c>
      <c r="D324" s="22">
        <v>42823</v>
      </c>
      <c r="E324" s="22" t="s">
        <v>1287</v>
      </c>
      <c r="F324" s="22" t="s">
        <v>1288</v>
      </c>
      <c r="G324" s="22" t="s">
        <v>1289</v>
      </c>
      <c r="H324" s="22" t="s">
        <v>1290</v>
      </c>
      <c r="I324" s="22" t="s">
        <v>23</v>
      </c>
      <c r="J324" s="23">
        <v>2019</v>
      </c>
      <c r="K324" s="22" t="s">
        <v>24</v>
      </c>
      <c r="L324" s="23" t="s">
        <v>30</v>
      </c>
      <c r="M324" s="23"/>
      <c r="N324" s="22" t="s">
        <v>123</v>
      </c>
      <c r="O324" s="22"/>
    </row>
    <row r="325" spans="1:15" ht="13.5" customHeight="1" x14ac:dyDescent="0.25">
      <c r="A325" s="1"/>
      <c r="B325" s="20">
        <v>313</v>
      </c>
      <c r="C325" s="20">
        <v>2023</v>
      </c>
      <c r="D325" s="20">
        <v>13146</v>
      </c>
      <c r="E325" s="20" t="s">
        <v>1291</v>
      </c>
      <c r="F325" s="20" t="s">
        <v>1292</v>
      </c>
      <c r="G325" s="20" t="s">
        <v>1293</v>
      </c>
      <c r="H325" s="20" t="s">
        <v>1294</v>
      </c>
      <c r="I325" s="20" t="s">
        <v>23</v>
      </c>
      <c r="J325" s="21">
        <v>2000</v>
      </c>
      <c r="K325" s="20" t="s">
        <v>95</v>
      </c>
      <c r="L325" s="21" t="s">
        <v>30</v>
      </c>
      <c r="M325" s="21"/>
      <c r="N325" s="20" t="s">
        <v>173</v>
      </c>
      <c r="O325" s="20"/>
    </row>
    <row r="326" spans="1:15" ht="13.5" customHeight="1" x14ac:dyDescent="0.25">
      <c r="A326" s="1"/>
      <c r="B326" s="22">
        <v>314</v>
      </c>
      <c r="C326" s="22">
        <v>2023</v>
      </c>
      <c r="D326" s="22">
        <v>15027</v>
      </c>
      <c r="E326" s="22" t="s">
        <v>1295</v>
      </c>
      <c r="F326" s="22" t="s">
        <v>1296</v>
      </c>
      <c r="G326" s="22" t="s">
        <v>1297</v>
      </c>
      <c r="H326" s="22" t="s">
        <v>1298</v>
      </c>
      <c r="I326" s="22" t="s">
        <v>357</v>
      </c>
      <c r="J326" s="23">
        <v>2009</v>
      </c>
      <c r="K326" s="22" t="s">
        <v>39</v>
      </c>
      <c r="L326" s="23" t="s">
        <v>30</v>
      </c>
      <c r="M326" s="23"/>
      <c r="N326" s="22"/>
      <c r="O326" s="22"/>
    </row>
    <row r="327" spans="1:15" ht="13.5" customHeight="1" x14ac:dyDescent="0.25">
      <c r="A327" s="1"/>
      <c r="B327" s="20">
        <v>315</v>
      </c>
      <c r="C327" s="20">
        <v>2023</v>
      </c>
      <c r="D327" s="20">
        <v>270</v>
      </c>
      <c r="E327" s="20" t="s">
        <v>1299</v>
      </c>
      <c r="F327" s="20" t="s">
        <v>1300</v>
      </c>
      <c r="G327" s="20" t="s">
        <v>1301</v>
      </c>
      <c r="H327" s="20" t="s">
        <v>1302</v>
      </c>
      <c r="I327" s="20" t="s">
        <v>23</v>
      </c>
      <c r="J327" s="21">
        <v>2000</v>
      </c>
      <c r="K327" s="20" t="s">
        <v>39</v>
      </c>
      <c r="L327" s="21" t="s">
        <v>30</v>
      </c>
      <c r="M327" s="21" t="s">
        <v>30</v>
      </c>
      <c r="N327" s="20"/>
      <c r="O327" s="20"/>
    </row>
    <row r="328" spans="1:15" ht="13.5" customHeight="1" x14ac:dyDescent="0.25">
      <c r="A328" s="1"/>
      <c r="B328" s="22">
        <v>316</v>
      </c>
      <c r="C328" s="22">
        <v>2023</v>
      </c>
      <c r="D328" s="22">
        <v>10557</v>
      </c>
      <c r="E328" s="22" t="s">
        <v>1303</v>
      </c>
      <c r="F328" s="22" t="s">
        <v>1304</v>
      </c>
      <c r="G328" s="22" t="s">
        <v>1305</v>
      </c>
      <c r="H328" s="22" t="s">
        <v>1306</v>
      </c>
      <c r="I328" s="22" t="s">
        <v>23</v>
      </c>
      <c r="J328" s="23">
        <v>2000</v>
      </c>
      <c r="K328" s="22" t="s">
        <v>39</v>
      </c>
      <c r="L328" s="23" t="s">
        <v>30</v>
      </c>
      <c r="M328" s="23" t="s">
        <v>30</v>
      </c>
      <c r="N328" s="22"/>
      <c r="O328" s="22"/>
    </row>
    <row r="329" spans="1:15" ht="13.5" customHeight="1" x14ac:dyDescent="0.25">
      <c r="A329" s="1"/>
      <c r="B329" s="20">
        <v>317</v>
      </c>
      <c r="C329" s="20">
        <v>2023</v>
      </c>
      <c r="D329" s="20">
        <v>13239</v>
      </c>
      <c r="E329" s="20" t="s">
        <v>1307</v>
      </c>
      <c r="F329" s="20" t="s">
        <v>1308</v>
      </c>
      <c r="G329" s="20"/>
      <c r="H329" s="20" t="s">
        <v>1309</v>
      </c>
      <c r="I329" s="20" t="s">
        <v>23</v>
      </c>
      <c r="J329" s="21">
        <v>2010</v>
      </c>
      <c r="K329" s="20" t="s">
        <v>34</v>
      </c>
      <c r="L329" s="21"/>
      <c r="M329" s="21" t="s">
        <v>30</v>
      </c>
      <c r="N329" s="20" t="s">
        <v>1310</v>
      </c>
      <c r="O329" s="20"/>
    </row>
    <row r="330" spans="1:15" ht="13.5" customHeight="1" x14ac:dyDescent="0.25">
      <c r="A330" s="1"/>
      <c r="B330" s="22">
        <v>318</v>
      </c>
      <c r="C330" s="22">
        <v>2023</v>
      </c>
      <c r="D330" s="22">
        <v>12928</v>
      </c>
      <c r="E330" s="22" t="s">
        <v>1311</v>
      </c>
      <c r="F330" s="22" t="s">
        <v>1312</v>
      </c>
      <c r="G330" s="22" t="s">
        <v>1313</v>
      </c>
      <c r="H330" s="22" t="s">
        <v>1314</v>
      </c>
      <c r="I330" s="22" t="s">
        <v>23</v>
      </c>
      <c r="J330" s="23">
        <v>2010</v>
      </c>
      <c r="K330" s="22" t="s">
        <v>39</v>
      </c>
      <c r="L330" s="23" t="s">
        <v>30</v>
      </c>
      <c r="M330" s="23"/>
      <c r="N330" s="22" t="s">
        <v>173</v>
      </c>
      <c r="O330" s="22"/>
    </row>
    <row r="331" spans="1:15" ht="13.5" customHeight="1" x14ac:dyDescent="0.25">
      <c r="A331" s="1"/>
      <c r="B331" s="20">
        <v>319</v>
      </c>
      <c r="C331" s="20">
        <v>2023</v>
      </c>
      <c r="D331" s="20">
        <v>12012</v>
      </c>
      <c r="E331" s="20" t="s">
        <v>1315</v>
      </c>
      <c r="F331" s="20" t="s">
        <v>1316</v>
      </c>
      <c r="G331" s="20"/>
      <c r="H331" s="20" t="s">
        <v>1317</v>
      </c>
      <c r="I331" s="20" t="s">
        <v>23</v>
      </c>
      <c r="J331" s="21">
        <v>2001</v>
      </c>
      <c r="K331" s="20" t="s">
        <v>34</v>
      </c>
      <c r="L331" s="21"/>
      <c r="M331" s="21" t="s">
        <v>30</v>
      </c>
      <c r="N331" s="20" t="s">
        <v>74</v>
      </c>
      <c r="O331" s="20"/>
    </row>
    <row r="332" spans="1:15" ht="13.5" customHeight="1" x14ac:dyDescent="0.25">
      <c r="A332" s="1"/>
      <c r="B332" s="22">
        <v>320</v>
      </c>
      <c r="C332" s="22">
        <v>2023</v>
      </c>
      <c r="D332" s="22">
        <v>12604</v>
      </c>
      <c r="E332" s="22" t="s">
        <v>1318</v>
      </c>
      <c r="F332" s="22" t="s">
        <v>1319</v>
      </c>
      <c r="G332" s="22" t="s">
        <v>1320</v>
      </c>
      <c r="H332" s="22" t="s">
        <v>1321</v>
      </c>
      <c r="I332" s="22" t="s">
        <v>62</v>
      </c>
      <c r="J332" s="23">
        <v>2009</v>
      </c>
      <c r="K332" s="22" t="s">
        <v>24</v>
      </c>
      <c r="L332" s="23" t="s">
        <v>30</v>
      </c>
      <c r="M332" s="23" t="s">
        <v>30</v>
      </c>
      <c r="N332" s="22" t="s">
        <v>1103</v>
      </c>
      <c r="O332" s="22"/>
    </row>
    <row r="333" spans="1:15" ht="13.5" customHeight="1" x14ac:dyDescent="0.25">
      <c r="A333" s="1"/>
      <c r="B333" s="20">
        <v>321</v>
      </c>
      <c r="C333" s="20">
        <v>2023</v>
      </c>
      <c r="D333" s="20">
        <v>10562</v>
      </c>
      <c r="E333" s="20" t="s">
        <v>1322</v>
      </c>
      <c r="F333" s="20" t="s">
        <v>1323</v>
      </c>
      <c r="G333" s="20" t="s">
        <v>1324</v>
      </c>
      <c r="H333" s="20" t="s">
        <v>1325</v>
      </c>
      <c r="I333" s="20" t="s">
        <v>23</v>
      </c>
      <c r="J333" s="21">
        <v>2000</v>
      </c>
      <c r="K333" s="20" t="s">
        <v>24</v>
      </c>
      <c r="L333" s="21" t="s">
        <v>30</v>
      </c>
      <c r="M333" s="21" t="s">
        <v>30</v>
      </c>
      <c r="N333" s="20"/>
      <c r="O333" s="20"/>
    </row>
    <row r="334" spans="1:15" ht="13.5" customHeight="1" x14ac:dyDescent="0.25">
      <c r="A334" s="1"/>
      <c r="B334" s="22">
        <v>322</v>
      </c>
      <c r="C334" s="22">
        <v>2023</v>
      </c>
      <c r="D334" s="22">
        <v>10563</v>
      </c>
      <c r="E334" s="22" t="s">
        <v>1326</v>
      </c>
      <c r="F334" s="22" t="s">
        <v>1327</v>
      </c>
      <c r="G334" s="22" t="s">
        <v>1328</v>
      </c>
      <c r="H334" s="22" t="s">
        <v>1329</v>
      </c>
      <c r="I334" s="22" t="s">
        <v>23</v>
      </c>
      <c r="J334" s="23">
        <v>2000</v>
      </c>
      <c r="K334" s="22" t="s">
        <v>24</v>
      </c>
      <c r="L334" s="23" t="s">
        <v>30</v>
      </c>
      <c r="M334" s="23" t="s">
        <v>30</v>
      </c>
      <c r="N334" s="22"/>
      <c r="O334" s="22"/>
    </row>
    <row r="335" spans="1:15" ht="13.5" customHeight="1" x14ac:dyDescent="0.25">
      <c r="A335" s="1"/>
      <c r="B335" s="20">
        <v>323</v>
      </c>
      <c r="C335" s="20">
        <v>2023</v>
      </c>
      <c r="D335" s="20">
        <v>42514</v>
      </c>
      <c r="E335" s="20" t="s">
        <v>1330</v>
      </c>
      <c r="F335" s="20" t="s">
        <v>1331</v>
      </c>
      <c r="G335" s="20" t="s">
        <v>1332</v>
      </c>
      <c r="H335" s="20" t="s">
        <v>1333</v>
      </c>
      <c r="I335" s="20" t="s">
        <v>23</v>
      </c>
      <c r="J335" s="21">
        <v>2019</v>
      </c>
      <c r="K335" s="20" t="s">
        <v>114</v>
      </c>
      <c r="L335" s="21" t="s">
        <v>30</v>
      </c>
      <c r="M335" s="21"/>
      <c r="N335" s="20" t="s">
        <v>218</v>
      </c>
      <c r="O335" s="20"/>
    </row>
    <row r="336" spans="1:15" ht="13.5" customHeight="1" x14ac:dyDescent="0.25">
      <c r="A336" s="1"/>
      <c r="B336" s="22">
        <v>324</v>
      </c>
      <c r="C336" s="22">
        <v>2023</v>
      </c>
      <c r="D336" s="22">
        <v>42486</v>
      </c>
      <c r="E336" s="22" t="s">
        <v>1334</v>
      </c>
      <c r="F336" s="22" t="s">
        <v>1335</v>
      </c>
      <c r="G336" s="22" t="s">
        <v>1336</v>
      </c>
      <c r="H336" s="22" t="s">
        <v>1337</v>
      </c>
      <c r="I336" s="22" t="s">
        <v>23</v>
      </c>
      <c r="J336" s="23">
        <v>2019</v>
      </c>
      <c r="K336" s="22" t="s">
        <v>114</v>
      </c>
      <c r="L336" s="23" t="s">
        <v>30</v>
      </c>
      <c r="M336" s="23"/>
      <c r="N336" s="22" t="s">
        <v>218</v>
      </c>
      <c r="O336" s="22"/>
    </row>
    <row r="337" spans="1:15" ht="13.5" customHeight="1" x14ac:dyDescent="0.25">
      <c r="A337" s="1"/>
      <c r="B337" s="20">
        <v>325</v>
      </c>
      <c r="C337" s="20">
        <v>2023</v>
      </c>
      <c r="D337" s="20">
        <v>13272</v>
      </c>
      <c r="E337" s="20" t="s">
        <v>1338</v>
      </c>
      <c r="F337" s="20" t="s">
        <v>1339</v>
      </c>
      <c r="G337" s="20" t="s">
        <v>1340</v>
      </c>
      <c r="H337" s="20" t="s">
        <v>1341</v>
      </c>
      <c r="I337" s="20" t="s">
        <v>23</v>
      </c>
      <c r="J337" s="21">
        <v>2011</v>
      </c>
      <c r="K337" s="20" t="s">
        <v>67</v>
      </c>
      <c r="L337" s="21" t="s">
        <v>30</v>
      </c>
      <c r="M337" s="21" t="s">
        <v>30</v>
      </c>
      <c r="N337" s="20" t="s">
        <v>1310</v>
      </c>
      <c r="O337" s="20"/>
    </row>
    <row r="338" spans="1:15" ht="13.5" customHeight="1" x14ac:dyDescent="0.25">
      <c r="A338" s="1"/>
      <c r="B338" s="22">
        <v>326</v>
      </c>
      <c r="C338" s="22">
        <v>2023</v>
      </c>
      <c r="D338" s="22">
        <v>12567</v>
      </c>
      <c r="E338" s="22" t="s">
        <v>1342</v>
      </c>
      <c r="F338" s="22" t="s">
        <v>1343</v>
      </c>
      <c r="G338" s="22" t="s">
        <v>1344</v>
      </c>
      <c r="H338" s="22" t="s">
        <v>1345</v>
      </c>
      <c r="I338" s="22" t="s">
        <v>23</v>
      </c>
      <c r="J338" s="23">
        <v>2011</v>
      </c>
      <c r="K338" s="22" t="s">
        <v>67</v>
      </c>
      <c r="L338" s="23" t="s">
        <v>30</v>
      </c>
      <c r="M338" s="23" t="s">
        <v>30</v>
      </c>
      <c r="N338" s="22" t="s">
        <v>1103</v>
      </c>
      <c r="O338" s="22"/>
    </row>
    <row r="339" spans="1:15" ht="13.5" customHeight="1" x14ac:dyDescent="0.25">
      <c r="A339" s="1"/>
      <c r="B339" s="20">
        <v>327</v>
      </c>
      <c r="C339" s="20">
        <v>2023</v>
      </c>
      <c r="D339" s="20">
        <v>10569</v>
      </c>
      <c r="E339" s="20" t="s">
        <v>1346</v>
      </c>
      <c r="F339" s="20" t="s">
        <v>1347</v>
      </c>
      <c r="G339" s="20"/>
      <c r="H339" s="20" t="s">
        <v>1348</v>
      </c>
      <c r="I339" s="20" t="s">
        <v>23</v>
      </c>
      <c r="J339" s="21">
        <v>2000</v>
      </c>
      <c r="K339" s="20" t="s">
        <v>63</v>
      </c>
      <c r="L339" s="21"/>
      <c r="M339" s="21" t="s">
        <v>30</v>
      </c>
      <c r="N339" s="20"/>
      <c r="O339" s="20"/>
    </row>
    <row r="340" spans="1:15" ht="13.5" customHeight="1" x14ac:dyDescent="0.25">
      <c r="A340" s="1"/>
      <c r="B340" s="22">
        <v>328</v>
      </c>
      <c r="C340" s="22">
        <v>2023</v>
      </c>
      <c r="D340" s="22">
        <v>10561</v>
      </c>
      <c r="E340" s="22" t="s">
        <v>1349</v>
      </c>
      <c r="F340" s="22" t="s">
        <v>1350</v>
      </c>
      <c r="G340" s="22" t="s">
        <v>1351</v>
      </c>
      <c r="H340" s="22" t="s">
        <v>1352</v>
      </c>
      <c r="I340" s="22" t="s">
        <v>23</v>
      </c>
      <c r="J340" s="23">
        <v>2000</v>
      </c>
      <c r="K340" s="22" t="s">
        <v>34</v>
      </c>
      <c r="L340" s="23" t="s">
        <v>30</v>
      </c>
      <c r="M340" s="23" t="s">
        <v>30</v>
      </c>
      <c r="N340" s="22"/>
      <c r="O340" s="22"/>
    </row>
    <row r="341" spans="1:15" ht="13.5" customHeight="1" x14ac:dyDescent="0.25">
      <c r="A341" s="1"/>
      <c r="B341" s="20">
        <v>329</v>
      </c>
      <c r="C341" s="20">
        <v>2023</v>
      </c>
      <c r="D341" s="20">
        <v>11821</v>
      </c>
      <c r="E341" s="20" t="s">
        <v>1353</v>
      </c>
      <c r="F341" s="20" t="s">
        <v>1354</v>
      </c>
      <c r="G341" s="20" t="s">
        <v>1355</v>
      </c>
      <c r="H341" s="20" t="s">
        <v>1356</v>
      </c>
      <c r="I341" s="20" t="s">
        <v>62</v>
      </c>
      <c r="J341" s="21">
        <v>2007</v>
      </c>
      <c r="K341" s="20" t="s">
        <v>34</v>
      </c>
      <c r="L341" s="21" t="s">
        <v>30</v>
      </c>
      <c r="M341" s="21" t="s">
        <v>30</v>
      </c>
      <c r="N341" s="20" t="s">
        <v>245</v>
      </c>
      <c r="O341" s="20"/>
    </row>
    <row r="342" spans="1:15" ht="13.5" customHeight="1" x14ac:dyDescent="0.25">
      <c r="A342" s="1"/>
      <c r="B342" s="22">
        <v>330</v>
      </c>
      <c r="C342" s="22">
        <v>2023</v>
      </c>
      <c r="D342" s="22">
        <v>441</v>
      </c>
      <c r="E342" s="22" t="s">
        <v>1357</v>
      </c>
      <c r="F342" s="22" t="s">
        <v>1358</v>
      </c>
      <c r="G342" s="22" t="s">
        <v>1359</v>
      </c>
      <c r="H342" s="22" t="s">
        <v>1360</v>
      </c>
      <c r="I342" s="22" t="s">
        <v>23</v>
      </c>
      <c r="J342" s="23">
        <v>2000</v>
      </c>
      <c r="K342" s="22" t="s">
        <v>34</v>
      </c>
      <c r="L342" s="23" t="s">
        <v>30</v>
      </c>
      <c r="M342" s="23" t="s">
        <v>30</v>
      </c>
      <c r="N342" s="22"/>
      <c r="O342" s="22"/>
    </row>
    <row r="343" spans="1:15" ht="13.5" customHeight="1" x14ac:dyDescent="0.25">
      <c r="A343" s="1"/>
      <c r="B343" s="20">
        <v>331</v>
      </c>
      <c r="C343" s="20">
        <v>2023</v>
      </c>
      <c r="D343" s="20">
        <v>12013</v>
      </c>
      <c r="E343" s="20" t="s">
        <v>1361</v>
      </c>
      <c r="F343" s="20" t="s">
        <v>1362</v>
      </c>
      <c r="G343" s="20" t="s">
        <v>1363</v>
      </c>
      <c r="H343" s="20" t="s">
        <v>1364</v>
      </c>
      <c r="I343" s="20" t="s">
        <v>23</v>
      </c>
      <c r="J343" s="21">
        <v>2000</v>
      </c>
      <c r="K343" s="20" t="s">
        <v>34</v>
      </c>
      <c r="L343" s="21" t="s">
        <v>30</v>
      </c>
      <c r="M343" s="21" t="s">
        <v>30</v>
      </c>
      <c r="N343" s="20" t="s">
        <v>74</v>
      </c>
      <c r="O343" s="20"/>
    </row>
    <row r="344" spans="1:15" ht="13.5" customHeight="1" x14ac:dyDescent="0.25">
      <c r="A344" s="1"/>
      <c r="B344" s="22">
        <v>332</v>
      </c>
      <c r="C344" s="22">
        <v>2023</v>
      </c>
      <c r="D344" s="22">
        <v>10565</v>
      </c>
      <c r="E344" s="22" t="s">
        <v>1365</v>
      </c>
      <c r="F344" s="22" t="s">
        <v>1366</v>
      </c>
      <c r="G344" s="22" t="s">
        <v>1367</v>
      </c>
      <c r="H344" s="22" t="s">
        <v>1368</v>
      </c>
      <c r="I344" s="22" t="s">
        <v>23</v>
      </c>
      <c r="J344" s="23">
        <v>2000</v>
      </c>
      <c r="K344" s="22" t="s">
        <v>34</v>
      </c>
      <c r="L344" s="23" t="s">
        <v>30</v>
      </c>
      <c r="M344" s="23" t="s">
        <v>30</v>
      </c>
      <c r="N344" s="22"/>
      <c r="O344" s="22"/>
    </row>
    <row r="345" spans="1:15" ht="13.5" customHeight="1" x14ac:dyDescent="0.25">
      <c r="A345" s="1"/>
      <c r="B345" s="20">
        <v>333</v>
      </c>
      <c r="C345" s="20">
        <v>2023</v>
      </c>
      <c r="D345" s="20">
        <v>12192</v>
      </c>
      <c r="E345" s="20" t="s">
        <v>1369</v>
      </c>
      <c r="F345" s="20" t="s">
        <v>1370</v>
      </c>
      <c r="G345" s="20" t="s">
        <v>1371</v>
      </c>
      <c r="H345" s="20" t="s">
        <v>1372</v>
      </c>
      <c r="I345" s="20" t="s">
        <v>23</v>
      </c>
      <c r="J345" s="21">
        <v>2008</v>
      </c>
      <c r="K345" s="20" t="s">
        <v>34</v>
      </c>
      <c r="L345" s="21" t="s">
        <v>30</v>
      </c>
      <c r="M345" s="21" t="s">
        <v>30</v>
      </c>
      <c r="N345" s="20" t="s">
        <v>35</v>
      </c>
      <c r="O345" s="20"/>
    </row>
    <row r="346" spans="1:15" ht="13.5" customHeight="1" x14ac:dyDescent="0.25">
      <c r="A346" s="1"/>
      <c r="B346" s="22">
        <v>334</v>
      </c>
      <c r="C346" s="22">
        <v>2023</v>
      </c>
      <c r="D346" s="22">
        <v>12195</v>
      </c>
      <c r="E346" s="22" t="s">
        <v>1373</v>
      </c>
      <c r="F346" s="22" t="s">
        <v>1374</v>
      </c>
      <c r="G346" s="22"/>
      <c r="H346" s="22" t="s">
        <v>1375</v>
      </c>
      <c r="I346" s="22" t="s">
        <v>23</v>
      </c>
      <c r="J346" s="23">
        <v>2008</v>
      </c>
      <c r="K346" s="22" t="s">
        <v>67</v>
      </c>
      <c r="L346" s="23"/>
      <c r="M346" s="23" t="s">
        <v>30</v>
      </c>
      <c r="N346" s="22" t="s">
        <v>352</v>
      </c>
      <c r="O346" s="22"/>
    </row>
    <row r="347" spans="1:15" ht="13.5" customHeight="1" x14ac:dyDescent="0.25">
      <c r="A347" s="1"/>
      <c r="B347" s="20">
        <v>335</v>
      </c>
      <c r="C347" s="20">
        <v>2023</v>
      </c>
      <c r="D347" s="20">
        <v>18</v>
      </c>
      <c r="E347" s="20" t="s">
        <v>1376</v>
      </c>
      <c r="F347" s="20" t="s">
        <v>1377</v>
      </c>
      <c r="G347" s="20" t="s">
        <v>1378</v>
      </c>
      <c r="H347" s="20" t="s">
        <v>1379</v>
      </c>
      <c r="I347" s="20" t="s">
        <v>23</v>
      </c>
      <c r="J347" s="21">
        <v>2000</v>
      </c>
      <c r="K347" s="20" t="s">
        <v>34</v>
      </c>
      <c r="L347" s="21" t="s">
        <v>30</v>
      </c>
      <c r="M347" s="21" t="s">
        <v>30</v>
      </c>
      <c r="N347" s="20"/>
      <c r="O347" s="20"/>
    </row>
    <row r="348" spans="1:15" ht="13.5" customHeight="1" x14ac:dyDescent="0.25">
      <c r="A348" s="1"/>
      <c r="B348" s="22">
        <v>336</v>
      </c>
      <c r="C348" s="22">
        <v>2023</v>
      </c>
      <c r="D348" s="22">
        <v>10571</v>
      </c>
      <c r="E348" s="22" t="s">
        <v>1380</v>
      </c>
      <c r="F348" s="22" t="s">
        <v>1381</v>
      </c>
      <c r="G348" s="22" t="s">
        <v>1382</v>
      </c>
      <c r="H348" s="22" t="s">
        <v>1383</v>
      </c>
      <c r="I348" s="22" t="s">
        <v>23</v>
      </c>
      <c r="J348" s="23">
        <v>2000</v>
      </c>
      <c r="K348" s="22" t="s">
        <v>34</v>
      </c>
      <c r="L348" s="23" t="s">
        <v>30</v>
      </c>
      <c r="M348" s="23" t="s">
        <v>30</v>
      </c>
      <c r="N348" s="22"/>
      <c r="O348" s="22"/>
    </row>
    <row r="349" spans="1:15" ht="13.5" customHeight="1" x14ac:dyDescent="0.25">
      <c r="A349" s="1"/>
      <c r="B349" s="20">
        <v>337</v>
      </c>
      <c r="C349" s="20">
        <v>2023</v>
      </c>
      <c r="D349" s="20">
        <v>13402</v>
      </c>
      <c r="E349" s="20" t="s">
        <v>1384</v>
      </c>
      <c r="F349" s="20" t="s">
        <v>1385</v>
      </c>
      <c r="G349" s="20" t="s">
        <v>1386</v>
      </c>
      <c r="H349" s="20" t="s">
        <v>1387</v>
      </c>
      <c r="I349" s="20" t="s">
        <v>23</v>
      </c>
      <c r="J349" s="21">
        <v>2011</v>
      </c>
      <c r="K349" s="20" t="s">
        <v>34</v>
      </c>
      <c r="L349" s="21" t="s">
        <v>30</v>
      </c>
      <c r="M349" s="21"/>
      <c r="N349" s="20" t="s">
        <v>275</v>
      </c>
      <c r="O349" s="20"/>
    </row>
    <row r="350" spans="1:15" ht="13.5" customHeight="1" x14ac:dyDescent="0.25">
      <c r="A350" s="1"/>
      <c r="B350" s="22">
        <v>338</v>
      </c>
      <c r="C350" s="22">
        <v>2023</v>
      </c>
      <c r="D350" s="22">
        <v>10570</v>
      </c>
      <c r="E350" s="22" t="s">
        <v>1388</v>
      </c>
      <c r="F350" s="22" t="s">
        <v>1389</v>
      </c>
      <c r="G350" s="22" t="s">
        <v>1390</v>
      </c>
      <c r="H350" s="22" t="s">
        <v>1391</v>
      </c>
      <c r="I350" s="22" t="s">
        <v>23</v>
      </c>
      <c r="J350" s="23">
        <v>2000</v>
      </c>
      <c r="K350" s="22" t="s">
        <v>24</v>
      </c>
      <c r="L350" s="23" t="s">
        <v>30</v>
      </c>
      <c r="M350" s="23" t="s">
        <v>30</v>
      </c>
      <c r="N350" s="22"/>
      <c r="O350" s="22"/>
    </row>
    <row r="351" spans="1:15" ht="13.5" customHeight="1" x14ac:dyDescent="0.25">
      <c r="A351" s="1"/>
      <c r="B351" s="20">
        <v>339</v>
      </c>
      <c r="C351" s="20">
        <v>2023</v>
      </c>
      <c r="D351" s="20">
        <v>13730</v>
      </c>
      <c r="E351" s="20" t="s">
        <v>1392</v>
      </c>
      <c r="F351" s="20" t="s">
        <v>1393</v>
      </c>
      <c r="G351" s="20"/>
      <c r="H351" s="20" t="s">
        <v>1394</v>
      </c>
      <c r="I351" s="20" t="s">
        <v>23</v>
      </c>
      <c r="J351" s="21">
        <v>2012</v>
      </c>
      <c r="K351" s="20" t="s">
        <v>39</v>
      </c>
      <c r="L351" s="21"/>
      <c r="M351" s="21"/>
      <c r="N351" s="20" t="s">
        <v>324</v>
      </c>
      <c r="O351" s="20"/>
    </row>
    <row r="352" spans="1:15" ht="13.5" customHeight="1" x14ac:dyDescent="0.25">
      <c r="A352" s="1"/>
      <c r="B352" s="22">
        <v>340</v>
      </c>
      <c r="C352" s="22">
        <v>2023</v>
      </c>
      <c r="D352" s="22">
        <v>10100</v>
      </c>
      <c r="E352" s="22" t="s">
        <v>1395</v>
      </c>
      <c r="F352" s="22" t="s">
        <v>1396</v>
      </c>
      <c r="G352" s="22" t="s">
        <v>1397</v>
      </c>
      <c r="H352" s="22" t="s">
        <v>1398</v>
      </c>
      <c r="I352" s="22" t="s">
        <v>23</v>
      </c>
      <c r="J352" s="23">
        <v>2006</v>
      </c>
      <c r="K352" s="22" t="s">
        <v>29</v>
      </c>
      <c r="L352" s="23" t="s">
        <v>30</v>
      </c>
      <c r="M352" s="23" t="s">
        <v>30</v>
      </c>
      <c r="N352" s="22"/>
      <c r="O352" s="22"/>
    </row>
    <row r="353" spans="1:15" ht="13.5" customHeight="1" x14ac:dyDescent="0.25">
      <c r="A353" s="1"/>
      <c r="B353" s="20">
        <v>341</v>
      </c>
      <c r="C353" s="20">
        <v>2023</v>
      </c>
      <c r="D353" s="20">
        <v>42976</v>
      </c>
      <c r="E353" s="20" t="s">
        <v>1399</v>
      </c>
      <c r="F353" s="20" t="s">
        <v>1400</v>
      </c>
      <c r="G353" s="20" t="s">
        <v>1401</v>
      </c>
      <c r="H353" s="20" t="s">
        <v>1402</v>
      </c>
      <c r="I353" s="20" t="s">
        <v>100</v>
      </c>
      <c r="J353" s="21">
        <v>2000</v>
      </c>
      <c r="K353" s="20" t="s">
        <v>34</v>
      </c>
      <c r="L353" s="21" t="s">
        <v>30</v>
      </c>
      <c r="M353" s="21"/>
      <c r="N353" s="20" t="s">
        <v>270</v>
      </c>
      <c r="O353" s="20"/>
    </row>
    <row r="354" spans="1:15" ht="13.5" customHeight="1" x14ac:dyDescent="0.25">
      <c r="A354" s="1"/>
      <c r="B354" s="22">
        <v>342</v>
      </c>
      <c r="C354" s="22">
        <v>2023</v>
      </c>
      <c r="D354" s="22">
        <v>10556</v>
      </c>
      <c r="E354" s="22" t="s">
        <v>1403</v>
      </c>
      <c r="F354" s="22" t="s">
        <v>1404</v>
      </c>
      <c r="G354" s="22" t="s">
        <v>1405</v>
      </c>
      <c r="H354" s="22" t="s">
        <v>1406</v>
      </c>
      <c r="I354" s="22" t="s">
        <v>23</v>
      </c>
      <c r="J354" s="23">
        <v>2000</v>
      </c>
      <c r="K354" s="22" t="s">
        <v>24</v>
      </c>
      <c r="L354" s="23" t="s">
        <v>30</v>
      </c>
      <c r="M354" s="23" t="s">
        <v>30</v>
      </c>
      <c r="N354" s="22"/>
      <c r="O354" s="22"/>
    </row>
    <row r="355" spans="1:15" ht="13.5" customHeight="1" x14ac:dyDescent="0.25">
      <c r="A355" s="1"/>
      <c r="B355" s="20">
        <v>343</v>
      </c>
      <c r="C355" s="20">
        <v>2023</v>
      </c>
      <c r="D355" s="20">
        <v>11696</v>
      </c>
      <c r="E355" s="20" t="s">
        <v>1407</v>
      </c>
      <c r="F355" s="20" t="s">
        <v>1408</v>
      </c>
      <c r="G355" s="20" t="s">
        <v>1409</v>
      </c>
      <c r="H355" s="20" t="s">
        <v>1410</v>
      </c>
      <c r="I355" s="20" t="s">
        <v>23</v>
      </c>
      <c r="J355" s="21">
        <v>2006</v>
      </c>
      <c r="K355" s="20" t="s">
        <v>24</v>
      </c>
      <c r="L355" s="21" t="s">
        <v>30</v>
      </c>
      <c r="M355" s="21"/>
      <c r="N355" s="20" t="s">
        <v>105</v>
      </c>
      <c r="O355" s="20"/>
    </row>
    <row r="356" spans="1:15" ht="13.5" customHeight="1" x14ac:dyDescent="0.25">
      <c r="A356" s="1"/>
      <c r="B356" s="22">
        <v>344</v>
      </c>
      <c r="C356" s="22">
        <v>2023</v>
      </c>
      <c r="D356" s="22">
        <v>40242</v>
      </c>
      <c r="E356" s="22" t="s">
        <v>1411</v>
      </c>
      <c r="F356" s="22" t="s">
        <v>1412</v>
      </c>
      <c r="G356" s="22" t="s">
        <v>1413</v>
      </c>
      <c r="H356" s="22" t="s">
        <v>1414</v>
      </c>
      <c r="I356" s="22" t="s">
        <v>1415</v>
      </c>
      <c r="J356" s="23">
        <v>2013</v>
      </c>
      <c r="K356" s="22" t="s">
        <v>24</v>
      </c>
      <c r="L356" s="23" t="s">
        <v>30</v>
      </c>
      <c r="M356" s="23"/>
      <c r="N356" s="22" t="s">
        <v>101</v>
      </c>
      <c r="O356" s="22"/>
    </row>
    <row r="357" spans="1:15" ht="13.5" customHeight="1" x14ac:dyDescent="0.25">
      <c r="A357" s="1"/>
      <c r="B357" s="20">
        <v>345</v>
      </c>
      <c r="C357" s="20">
        <v>2023</v>
      </c>
      <c r="D357" s="20">
        <v>42250</v>
      </c>
      <c r="E357" s="20" t="s">
        <v>1416</v>
      </c>
      <c r="F357" s="20" t="s">
        <v>1417</v>
      </c>
      <c r="G357" s="20" t="s">
        <v>1418</v>
      </c>
      <c r="H357" s="20" t="s">
        <v>1419</v>
      </c>
      <c r="I357" s="20" t="s">
        <v>23</v>
      </c>
      <c r="J357" s="21">
        <v>2018</v>
      </c>
      <c r="K357" s="20" t="s">
        <v>24</v>
      </c>
      <c r="L357" s="21" t="s">
        <v>30</v>
      </c>
      <c r="M357" s="21"/>
      <c r="N357" s="20" t="s">
        <v>213</v>
      </c>
      <c r="O357" s="20"/>
    </row>
    <row r="358" spans="1:15" ht="13.5" customHeight="1" x14ac:dyDescent="0.25">
      <c r="A358" s="1"/>
      <c r="B358" s="22">
        <v>346</v>
      </c>
      <c r="C358" s="22">
        <v>2023</v>
      </c>
      <c r="D358" s="22">
        <v>10553</v>
      </c>
      <c r="E358" s="22" t="s">
        <v>1420</v>
      </c>
      <c r="F358" s="22" t="s">
        <v>1421</v>
      </c>
      <c r="G358" s="22" t="s">
        <v>1422</v>
      </c>
      <c r="H358" s="22" t="s">
        <v>1423</v>
      </c>
      <c r="I358" s="22" t="s">
        <v>23</v>
      </c>
      <c r="J358" s="23">
        <v>2000</v>
      </c>
      <c r="K358" s="22" t="s">
        <v>24</v>
      </c>
      <c r="L358" s="23" t="s">
        <v>30</v>
      </c>
      <c r="M358" s="23" t="s">
        <v>30</v>
      </c>
      <c r="N358" s="22"/>
      <c r="O358" s="22"/>
    </row>
    <row r="359" spans="1:15" ht="13.5" customHeight="1" x14ac:dyDescent="0.25">
      <c r="A359" s="1"/>
      <c r="B359" s="20">
        <v>347</v>
      </c>
      <c r="C359" s="20">
        <v>2023</v>
      </c>
      <c r="D359" s="20">
        <v>10593</v>
      </c>
      <c r="E359" s="20" t="s">
        <v>1424</v>
      </c>
      <c r="F359" s="20" t="s">
        <v>1425</v>
      </c>
      <c r="G359" s="20" t="s">
        <v>1426</v>
      </c>
      <c r="H359" s="20" t="s">
        <v>1427</v>
      </c>
      <c r="I359" s="20" t="s">
        <v>23</v>
      </c>
      <c r="J359" s="21">
        <v>2000</v>
      </c>
      <c r="K359" s="20" t="s">
        <v>24</v>
      </c>
      <c r="L359" s="21" t="s">
        <v>30</v>
      </c>
      <c r="M359" s="21" t="s">
        <v>30</v>
      </c>
      <c r="N359" s="20"/>
      <c r="O359" s="20"/>
    </row>
    <row r="360" spans="1:15" ht="13.5" customHeight="1" x14ac:dyDescent="0.25">
      <c r="A360" s="1"/>
      <c r="B360" s="22">
        <v>348</v>
      </c>
      <c r="C360" s="22">
        <v>2023</v>
      </c>
      <c r="D360" s="22">
        <v>10600</v>
      </c>
      <c r="E360" s="22" t="s">
        <v>1428</v>
      </c>
      <c r="F360" s="22" t="s">
        <v>1429</v>
      </c>
      <c r="G360" s="22" t="s">
        <v>1430</v>
      </c>
      <c r="H360" s="22" t="s">
        <v>1431</v>
      </c>
      <c r="I360" s="22" t="s">
        <v>23</v>
      </c>
      <c r="J360" s="23">
        <v>2000</v>
      </c>
      <c r="K360" s="22" t="s">
        <v>24</v>
      </c>
      <c r="L360" s="23" t="s">
        <v>30</v>
      </c>
      <c r="M360" s="23" t="s">
        <v>30</v>
      </c>
      <c r="N360" s="22"/>
      <c r="O360" s="22"/>
    </row>
    <row r="361" spans="1:15" ht="13.5" customHeight="1" x14ac:dyDescent="0.25">
      <c r="A361" s="1"/>
      <c r="B361" s="20">
        <v>349</v>
      </c>
      <c r="C361" s="20">
        <v>2023</v>
      </c>
      <c r="D361" s="20">
        <v>49</v>
      </c>
      <c r="E361" s="20" t="s">
        <v>1432</v>
      </c>
      <c r="F361" s="20" t="s">
        <v>1433</v>
      </c>
      <c r="G361" s="20"/>
      <c r="H361" s="20" t="s">
        <v>1434</v>
      </c>
      <c r="I361" s="20" t="s">
        <v>23</v>
      </c>
      <c r="J361" s="21">
        <v>2000</v>
      </c>
      <c r="K361" s="20" t="s">
        <v>34</v>
      </c>
      <c r="L361" s="21"/>
      <c r="M361" s="21" t="s">
        <v>30</v>
      </c>
      <c r="N361" s="20"/>
      <c r="O361" s="20"/>
    </row>
    <row r="362" spans="1:15" ht="13.5" customHeight="1" x14ac:dyDescent="0.25">
      <c r="A362" s="1"/>
      <c r="B362" s="22">
        <v>350</v>
      </c>
      <c r="C362" s="22">
        <v>2023</v>
      </c>
      <c r="D362" s="22">
        <v>12078</v>
      </c>
      <c r="E362" s="22" t="s">
        <v>1435</v>
      </c>
      <c r="F362" s="22" t="s">
        <v>1436</v>
      </c>
      <c r="G362" s="22" t="s">
        <v>1437</v>
      </c>
      <c r="H362" s="22" t="s">
        <v>1438</v>
      </c>
      <c r="I362" s="22" t="s">
        <v>23</v>
      </c>
      <c r="J362" s="23">
        <v>2008</v>
      </c>
      <c r="K362" s="22" t="s">
        <v>24</v>
      </c>
      <c r="L362" s="23" t="s">
        <v>30</v>
      </c>
      <c r="M362" s="23" t="s">
        <v>30</v>
      </c>
      <c r="N362" s="22" t="s">
        <v>352</v>
      </c>
      <c r="O362" s="22"/>
    </row>
    <row r="363" spans="1:15" ht="13.5" customHeight="1" x14ac:dyDescent="0.25">
      <c r="A363" s="1"/>
      <c r="B363" s="20">
        <v>351</v>
      </c>
      <c r="C363" s="20">
        <v>2023</v>
      </c>
      <c r="D363" s="20">
        <v>40828</v>
      </c>
      <c r="E363" s="20" t="s">
        <v>1439</v>
      </c>
      <c r="F363" s="20" t="s">
        <v>1440</v>
      </c>
      <c r="G363" s="20"/>
      <c r="H363" s="20" t="s">
        <v>1441</v>
      </c>
      <c r="I363" s="20" t="s">
        <v>23</v>
      </c>
      <c r="J363" s="21">
        <v>2015</v>
      </c>
      <c r="K363" s="20" t="s">
        <v>24</v>
      </c>
      <c r="L363" s="21"/>
      <c r="M363" s="21"/>
      <c r="N363" s="20" t="s">
        <v>185</v>
      </c>
      <c r="O363" s="20"/>
    </row>
    <row r="364" spans="1:15" ht="13.5" customHeight="1" x14ac:dyDescent="0.25">
      <c r="A364" s="1"/>
      <c r="B364" s="22">
        <v>352</v>
      </c>
      <c r="C364" s="22">
        <v>2023</v>
      </c>
      <c r="D364" s="22">
        <v>10566</v>
      </c>
      <c r="E364" s="22" t="s">
        <v>1442</v>
      </c>
      <c r="F364" s="22" t="s">
        <v>1443</v>
      </c>
      <c r="G364" s="22" t="s">
        <v>1444</v>
      </c>
      <c r="H364" s="22" t="s">
        <v>1445</v>
      </c>
      <c r="I364" s="22" t="s">
        <v>23</v>
      </c>
      <c r="J364" s="23">
        <v>2000</v>
      </c>
      <c r="K364" s="22" t="s">
        <v>203</v>
      </c>
      <c r="L364" s="23" t="s">
        <v>30</v>
      </c>
      <c r="M364" s="23" t="s">
        <v>30</v>
      </c>
      <c r="N364" s="22"/>
      <c r="O364" s="22"/>
    </row>
    <row r="365" spans="1:15" ht="13.5" customHeight="1" x14ac:dyDescent="0.25">
      <c r="A365" s="1"/>
      <c r="B365" s="20">
        <v>353</v>
      </c>
      <c r="C365" s="20">
        <v>2023</v>
      </c>
      <c r="D365" s="20">
        <v>10560</v>
      </c>
      <c r="E365" s="20" t="s">
        <v>1446</v>
      </c>
      <c r="F365" s="20" t="s">
        <v>1447</v>
      </c>
      <c r="G365" s="20" t="s">
        <v>1448</v>
      </c>
      <c r="H365" s="20" t="s">
        <v>1449</v>
      </c>
      <c r="I365" s="20" t="s">
        <v>23</v>
      </c>
      <c r="J365" s="21">
        <v>2000</v>
      </c>
      <c r="K365" s="20" t="s">
        <v>203</v>
      </c>
      <c r="L365" s="21" t="s">
        <v>30</v>
      </c>
      <c r="M365" s="21" t="s">
        <v>30</v>
      </c>
      <c r="N365" s="20"/>
      <c r="O365" s="20"/>
    </row>
    <row r="366" spans="1:15" ht="13.5" customHeight="1" x14ac:dyDescent="0.25">
      <c r="A366" s="1"/>
      <c r="B366" s="22">
        <v>354</v>
      </c>
      <c r="C366" s="22">
        <v>2023</v>
      </c>
      <c r="D366" s="22">
        <v>12187</v>
      </c>
      <c r="E366" s="22" t="s">
        <v>1450</v>
      </c>
      <c r="F366" s="22" t="s">
        <v>1451</v>
      </c>
      <c r="G366" s="22" t="s">
        <v>1452</v>
      </c>
      <c r="H366" s="22" t="s">
        <v>1453</v>
      </c>
      <c r="I366" s="22" t="s">
        <v>23</v>
      </c>
      <c r="J366" s="23">
        <v>2008</v>
      </c>
      <c r="K366" s="22" t="s">
        <v>184</v>
      </c>
      <c r="L366" s="23" t="s">
        <v>30</v>
      </c>
      <c r="M366" s="23" t="s">
        <v>30</v>
      </c>
      <c r="N366" s="22" t="s">
        <v>352</v>
      </c>
      <c r="O366" s="22"/>
    </row>
    <row r="367" spans="1:15" ht="13.5" customHeight="1" x14ac:dyDescent="0.25">
      <c r="A367" s="1"/>
      <c r="B367" s="20">
        <v>355</v>
      </c>
      <c r="C367" s="20">
        <v>2023</v>
      </c>
      <c r="D367" s="20">
        <v>10578</v>
      </c>
      <c r="E367" s="20" t="s">
        <v>1454</v>
      </c>
      <c r="F367" s="20" t="s">
        <v>1455</v>
      </c>
      <c r="G367" s="20" t="s">
        <v>1456</v>
      </c>
      <c r="H367" s="20" t="s">
        <v>1457</v>
      </c>
      <c r="I367" s="20" t="s">
        <v>23</v>
      </c>
      <c r="J367" s="21">
        <v>2000</v>
      </c>
      <c r="K367" s="20" t="s">
        <v>203</v>
      </c>
      <c r="L367" s="21" t="s">
        <v>30</v>
      </c>
      <c r="M367" s="21" t="s">
        <v>30</v>
      </c>
      <c r="N367" s="20"/>
      <c r="O367" s="20"/>
    </row>
    <row r="368" spans="1:15" ht="13.5" customHeight="1" x14ac:dyDescent="0.25">
      <c r="A368" s="1"/>
      <c r="B368" s="22">
        <v>356</v>
      </c>
      <c r="C368" s="22">
        <v>2023</v>
      </c>
      <c r="D368" s="22">
        <v>10583</v>
      </c>
      <c r="E368" s="22" t="s">
        <v>1458</v>
      </c>
      <c r="F368" s="22" t="s">
        <v>1459</v>
      </c>
      <c r="G368" s="22" t="s">
        <v>1460</v>
      </c>
      <c r="H368" s="22" t="s">
        <v>1461</v>
      </c>
      <c r="I368" s="22" t="s">
        <v>23</v>
      </c>
      <c r="J368" s="23">
        <v>2000</v>
      </c>
      <c r="K368" s="22" t="s">
        <v>184</v>
      </c>
      <c r="L368" s="23" t="s">
        <v>30</v>
      </c>
      <c r="M368" s="23" t="s">
        <v>30</v>
      </c>
      <c r="N368" s="22"/>
      <c r="O368" s="22"/>
    </row>
    <row r="369" spans="1:15" ht="13.5" customHeight="1" x14ac:dyDescent="0.25">
      <c r="A369" s="1"/>
      <c r="B369" s="20">
        <v>357</v>
      </c>
      <c r="C369" s="20">
        <v>2023</v>
      </c>
      <c r="D369" s="20">
        <v>381</v>
      </c>
      <c r="E369" s="20" t="s">
        <v>1462</v>
      </c>
      <c r="F369" s="20" t="s">
        <v>1463</v>
      </c>
      <c r="G369" s="20" t="s">
        <v>1464</v>
      </c>
      <c r="H369" s="20" t="s">
        <v>1465</v>
      </c>
      <c r="I369" s="20" t="s">
        <v>23</v>
      </c>
      <c r="J369" s="21">
        <v>2000</v>
      </c>
      <c r="K369" s="20" t="s">
        <v>39</v>
      </c>
      <c r="L369" s="21" t="s">
        <v>30</v>
      </c>
      <c r="M369" s="21" t="s">
        <v>30</v>
      </c>
      <c r="N369" s="20"/>
      <c r="O369" s="20"/>
    </row>
    <row r="370" spans="1:15" ht="13.5" customHeight="1" x14ac:dyDescent="0.25">
      <c r="A370" s="1"/>
      <c r="B370" s="22">
        <v>358</v>
      </c>
      <c r="C370" s="22">
        <v>2023</v>
      </c>
      <c r="D370" s="22">
        <v>41230</v>
      </c>
      <c r="E370" s="22" t="s">
        <v>1466</v>
      </c>
      <c r="F370" s="22" t="s">
        <v>1467</v>
      </c>
      <c r="G370" s="22" t="s">
        <v>1468</v>
      </c>
      <c r="H370" s="22" t="s">
        <v>1469</v>
      </c>
      <c r="I370" s="22" t="s">
        <v>23</v>
      </c>
      <c r="J370" s="23">
        <v>2016</v>
      </c>
      <c r="K370" s="22" t="s">
        <v>67</v>
      </c>
      <c r="L370" s="23" t="s">
        <v>30</v>
      </c>
      <c r="M370" s="23"/>
      <c r="N370" s="22" t="s">
        <v>1470</v>
      </c>
      <c r="O370" s="22"/>
    </row>
    <row r="371" spans="1:15" ht="13.5" customHeight="1" x14ac:dyDescent="0.25">
      <c r="A371" s="1"/>
      <c r="B371" s="20">
        <v>359</v>
      </c>
      <c r="C371" s="20">
        <v>2023</v>
      </c>
      <c r="D371" s="20">
        <v>42533</v>
      </c>
      <c r="E371" s="20" t="s">
        <v>1471</v>
      </c>
      <c r="F371" s="20" t="s">
        <v>1472</v>
      </c>
      <c r="G371" s="20" t="s">
        <v>1473</v>
      </c>
      <c r="H371" s="20" t="s">
        <v>1474</v>
      </c>
      <c r="I371" s="20" t="s">
        <v>23</v>
      </c>
      <c r="J371" s="21">
        <v>2019</v>
      </c>
      <c r="K371" s="20" t="s">
        <v>1475</v>
      </c>
      <c r="L371" s="21" t="s">
        <v>30</v>
      </c>
      <c r="M371" s="21"/>
      <c r="N371" s="20" t="s">
        <v>218</v>
      </c>
      <c r="O371" s="20"/>
    </row>
    <row r="372" spans="1:15" ht="13.5" customHeight="1" x14ac:dyDescent="0.25">
      <c r="A372" s="1"/>
      <c r="B372" s="22">
        <v>360</v>
      </c>
      <c r="C372" s="22">
        <v>2023</v>
      </c>
      <c r="D372" s="22">
        <v>13344</v>
      </c>
      <c r="E372" s="22" t="s">
        <v>1476</v>
      </c>
      <c r="F372" s="22" t="s">
        <v>1477</v>
      </c>
      <c r="G372" s="22" t="s">
        <v>1478</v>
      </c>
      <c r="H372" s="22" t="s">
        <v>1479</v>
      </c>
      <c r="I372" s="22" t="s">
        <v>1480</v>
      </c>
      <c r="J372" s="23">
        <v>2011</v>
      </c>
      <c r="K372" s="22" t="s">
        <v>67</v>
      </c>
      <c r="L372" s="23" t="s">
        <v>30</v>
      </c>
      <c r="M372" s="23"/>
      <c r="N372" s="22" t="s">
        <v>275</v>
      </c>
      <c r="O372" s="22"/>
    </row>
    <row r="373" spans="1:15" ht="13.5" customHeight="1" x14ac:dyDescent="0.25">
      <c r="A373" s="1"/>
      <c r="B373" s="20">
        <v>361</v>
      </c>
      <c r="C373" s="20">
        <v>2023</v>
      </c>
      <c r="D373" s="20">
        <v>42379</v>
      </c>
      <c r="E373" s="20" t="s">
        <v>1481</v>
      </c>
      <c r="F373" s="20" t="s">
        <v>1482</v>
      </c>
      <c r="G373" s="20" t="s">
        <v>1483</v>
      </c>
      <c r="H373" s="20" t="s">
        <v>1484</v>
      </c>
      <c r="I373" s="20" t="s">
        <v>23</v>
      </c>
      <c r="J373" s="21">
        <v>2017</v>
      </c>
      <c r="K373" s="20" t="s">
        <v>184</v>
      </c>
      <c r="L373" s="21" t="s">
        <v>30</v>
      </c>
      <c r="M373" s="21"/>
      <c r="N373" s="20" t="s">
        <v>151</v>
      </c>
      <c r="O373" s="20"/>
    </row>
    <row r="374" spans="1:15" ht="13.5" customHeight="1" x14ac:dyDescent="0.25">
      <c r="A374" s="1"/>
      <c r="B374" s="22">
        <v>362</v>
      </c>
      <c r="C374" s="22">
        <v>2023</v>
      </c>
      <c r="D374" s="22">
        <v>12689</v>
      </c>
      <c r="E374" s="22" t="s">
        <v>1485</v>
      </c>
      <c r="F374" s="22" t="s">
        <v>1486</v>
      </c>
      <c r="G374" s="22" t="s">
        <v>1487</v>
      </c>
      <c r="H374" s="22" t="s">
        <v>1488</v>
      </c>
      <c r="I374" s="22" t="s">
        <v>23</v>
      </c>
      <c r="J374" s="23">
        <v>2011</v>
      </c>
      <c r="K374" s="22" t="s">
        <v>394</v>
      </c>
      <c r="L374" s="23" t="s">
        <v>30</v>
      </c>
      <c r="M374" s="23"/>
      <c r="N374" s="22" t="s">
        <v>250</v>
      </c>
      <c r="O374" s="22"/>
    </row>
    <row r="375" spans="1:15" ht="13.5" customHeight="1" x14ac:dyDescent="0.25">
      <c r="A375" s="1"/>
      <c r="B375" s="20">
        <v>363</v>
      </c>
      <c r="C375" s="20">
        <v>2023</v>
      </c>
      <c r="D375" s="20">
        <v>11401</v>
      </c>
      <c r="E375" s="20" t="s">
        <v>1489</v>
      </c>
      <c r="F375" s="20" t="s">
        <v>1490</v>
      </c>
      <c r="G375" s="20" t="s">
        <v>1491</v>
      </c>
      <c r="H375" s="20" t="s">
        <v>1492</v>
      </c>
      <c r="I375" s="20" t="s">
        <v>23</v>
      </c>
      <c r="J375" s="21">
        <v>2000</v>
      </c>
      <c r="K375" s="20" t="s">
        <v>44</v>
      </c>
      <c r="L375" s="21" t="s">
        <v>30</v>
      </c>
      <c r="M375" s="21" t="s">
        <v>30</v>
      </c>
      <c r="N375" s="20"/>
      <c r="O375" s="20"/>
    </row>
    <row r="376" spans="1:15" ht="13.5" customHeight="1" x14ac:dyDescent="0.25">
      <c r="A376" s="1"/>
      <c r="B376" s="22">
        <v>364</v>
      </c>
      <c r="C376" s="22">
        <v>2023</v>
      </c>
      <c r="D376" s="22">
        <v>11769</v>
      </c>
      <c r="E376" s="22" t="s">
        <v>1493</v>
      </c>
      <c r="F376" s="22" t="s">
        <v>1494</v>
      </c>
      <c r="G376" s="22" t="s">
        <v>1495</v>
      </c>
      <c r="H376" s="22" t="s">
        <v>1496</v>
      </c>
      <c r="I376" s="22" t="s">
        <v>94</v>
      </c>
      <c r="J376" s="23">
        <v>2000</v>
      </c>
      <c r="K376" s="22" t="s">
        <v>95</v>
      </c>
      <c r="L376" s="23" t="s">
        <v>30</v>
      </c>
      <c r="M376" s="23" t="s">
        <v>30</v>
      </c>
      <c r="N376" s="22" t="s">
        <v>74</v>
      </c>
      <c r="O376" s="22"/>
    </row>
    <row r="377" spans="1:15" ht="13.5" customHeight="1" x14ac:dyDescent="0.25">
      <c r="A377" s="1"/>
      <c r="B377" s="20">
        <v>365</v>
      </c>
      <c r="C377" s="20">
        <v>2023</v>
      </c>
      <c r="D377" s="20">
        <v>42058</v>
      </c>
      <c r="E377" s="20" t="s">
        <v>1497</v>
      </c>
      <c r="F377" s="20" t="s">
        <v>1498</v>
      </c>
      <c r="G377" s="20" t="s">
        <v>1499</v>
      </c>
      <c r="H377" s="20" t="s">
        <v>1500</v>
      </c>
      <c r="I377" s="20" t="s">
        <v>23</v>
      </c>
      <c r="J377" s="21">
        <v>2019</v>
      </c>
      <c r="K377" s="20" t="s">
        <v>39</v>
      </c>
      <c r="L377" s="21" t="s">
        <v>30</v>
      </c>
      <c r="M377" s="21"/>
      <c r="N377" s="20" t="s">
        <v>213</v>
      </c>
      <c r="O377" s="20"/>
    </row>
    <row r="378" spans="1:15" ht="13.5" customHeight="1" x14ac:dyDescent="0.25">
      <c r="A378" s="1"/>
      <c r="B378" s="22">
        <v>366</v>
      </c>
      <c r="C378" s="22">
        <v>2023</v>
      </c>
      <c r="D378" s="22">
        <v>11655</v>
      </c>
      <c r="E378" s="22" t="s">
        <v>1501</v>
      </c>
      <c r="F378" s="22" t="s">
        <v>1502</v>
      </c>
      <c r="G378" s="22" t="s">
        <v>1503</v>
      </c>
      <c r="H378" s="22" t="s">
        <v>1504</v>
      </c>
      <c r="I378" s="22" t="s">
        <v>23</v>
      </c>
      <c r="J378" s="23">
        <v>2000</v>
      </c>
      <c r="K378" s="22" t="s">
        <v>39</v>
      </c>
      <c r="L378" s="23" t="s">
        <v>30</v>
      </c>
      <c r="M378" s="23" t="s">
        <v>30</v>
      </c>
      <c r="N378" s="22" t="s">
        <v>74</v>
      </c>
      <c r="O378" s="22"/>
    </row>
    <row r="379" spans="1:15" ht="13.5" customHeight="1" x14ac:dyDescent="0.25">
      <c r="A379" s="1"/>
      <c r="B379" s="20">
        <v>367</v>
      </c>
      <c r="C379" s="20">
        <v>2023</v>
      </c>
      <c r="D379" s="20">
        <v>10118</v>
      </c>
      <c r="E379" s="20" t="s">
        <v>1505</v>
      </c>
      <c r="F379" s="20" t="s">
        <v>1506</v>
      </c>
      <c r="G379" s="20" t="s">
        <v>1507</v>
      </c>
      <c r="H379" s="20" t="s">
        <v>1508</v>
      </c>
      <c r="I379" s="20" t="s">
        <v>1509</v>
      </c>
      <c r="J379" s="21">
        <v>2010</v>
      </c>
      <c r="K379" s="20" t="s">
        <v>24</v>
      </c>
      <c r="L379" s="21" t="s">
        <v>30</v>
      </c>
      <c r="M379" s="21"/>
      <c r="N379" s="20" t="s">
        <v>173</v>
      </c>
      <c r="O379" s="20"/>
    </row>
    <row r="380" spans="1:15" ht="13.5" customHeight="1" x14ac:dyDescent="0.25">
      <c r="A380" s="1"/>
      <c r="B380" s="22">
        <v>368</v>
      </c>
      <c r="C380" s="22">
        <v>2023</v>
      </c>
      <c r="D380" s="22">
        <v>41111</v>
      </c>
      <c r="E380" s="22" t="s">
        <v>1510</v>
      </c>
      <c r="F380" s="22" t="s">
        <v>1511</v>
      </c>
      <c r="G380" s="22" t="s">
        <v>1512</v>
      </c>
      <c r="H380" s="22" t="s">
        <v>1513</v>
      </c>
      <c r="I380" s="22" t="s">
        <v>23</v>
      </c>
      <c r="J380" s="23">
        <v>2016</v>
      </c>
      <c r="K380" s="22" t="s">
        <v>1475</v>
      </c>
      <c r="L380" s="23" t="s">
        <v>30</v>
      </c>
      <c r="M380" s="23"/>
      <c r="N380" s="22" t="s">
        <v>204</v>
      </c>
      <c r="O380" s="22"/>
    </row>
    <row r="381" spans="1:15" ht="13.5" customHeight="1" x14ac:dyDescent="0.25">
      <c r="A381" s="1"/>
      <c r="B381" s="20">
        <v>369</v>
      </c>
      <c r="C381" s="20">
        <v>2023</v>
      </c>
      <c r="D381" s="20">
        <v>52</v>
      </c>
      <c r="E381" s="20" t="s">
        <v>1514</v>
      </c>
      <c r="F381" s="20" t="s">
        <v>1515</v>
      </c>
      <c r="G381" s="20"/>
      <c r="H381" s="20" t="s">
        <v>1516</v>
      </c>
      <c r="I381" s="20" t="s">
        <v>357</v>
      </c>
      <c r="J381" s="21">
        <v>2009</v>
      </c>
      <c r="K381" s="20" t="s">
        <v>39</v>
      </c>
      <c r="L381" s="21"/>
      <c r="M381" s="21"/>
      <c r="N381" s="20"/>
      <c r="O381" s="20"/>
    </row>
    <row r="382" spans="1:15" ht="13.5" customHeight="1" x14ac:dyDescent="0.25">
      <c r="A382" s="1"/>
      <c r="B382" s="22">
        <v>370</v>
      </c>
      <c r="C382" s="22">
        <v>2023</v>
      </c>
      <c r="D382" s="22">
        <v>10337</v>
      </c>
      <c r="E382" s="22" t="s">
        <v>1517</v>
      </c>
      <c r="F382" s="22" t="s">
        <v>1518</v>
      </c>
      <c r="G382" s="22" t="s">
        <v>1519</v>
      </c>
      <c r="H382" s="22" t="s">
        <v>1520</v>
      </c>
      <c r="I382" s="22" t="s">
        <v>23</v>
      </c>
      <c r="J382" s="23">
        <v>2000</v>
      </c>
      <c r="K382" s="22" t="s">
        <v>24</v>
      </c>
      <c r="L382" s="23" t="s">
        <v>30</v>
      </c>
      <c r="M382" s="23" t="s">
        <v>30</v>
      </c>
      <c r="N382" s="22"/>
      <c r="O382" s="22"/>
    </row>
    <row r="383" spans="1:15" ht="13.5" customHeight="1" x14ac:dyDescent="0.25">
      <c r="A383" s="1"/>
      <c r="B383" s="20">
        <v>371</v>
      </c>
      <c r="C383" s="20">
        <v>2023</v>
      </c>
      <c r="D383" s="20">
        <v>412</v>
      </c>
      <c r="E383" s="20" t="s">
        <v>1521</v>
      </c>
      <c r="F383" s="20" t="s">
        <v>1522</v>
      </c>
      <c r="G383" s="20" t="s">
        <v>1523</v>
      </c>
      <c r="H383" s="20" t="s">
        <v>1524</v>
      </c>
      <c r="I383" s="20" t="s">
        <v>23</v>
      </c>
      <c r="J383" s="21">
        <v>2000</v>
      </c>
      <c r="K383" s="20" t="s">
        <v>34</v>
      </c>
      <c r="L383" s="21" t="s">
        <v>30</v>
      </c>
      <c r="M383" s="21" t="s">
        <v>30</v>
      </c>
      <c r="N383" s="20"/>
      <c r="O383" s="20"/>
    </row>
    <row r="384" spans="1:15" ht="13.5" customHeight="1" x14ac:dyDescent="0.25">
      <c r="A384" s="1"/>
      <c r="B384" s="22">
        <v>372</v>
      </c>
      <c r="C384" s="22">
        <v>2023</v>
      </c>
      <c r="D384" s="22">
        <v>10577</v>
      </c>
      <c r="E384" s="22" t="s">
        <v>1525</v>
      </c>
      <c r="F384" s="22" t="s">
        <v>1526</v>
      </c>
      <c r="G384" s="22"/>
      <c r="H384" s="22" t="s">
        <v>1527</v>
      </c>
      <c r="I384" s="22" t="s">
        <v>23</v>
      </c>
      <c r="J384" s="23">
        <v>2000</v>
      </c>
      <c r="K384" s="22" t="s">
        <v>34</v>
      </c>
      <c r="L384" s="23"/>
      <c r="M384" s="23" t="s">
        <v>30</v>
      </c>
      <c r="N384" s="22"/>
      <c r="O384" s="22"/>
    </row>
    <row r="385" spans="1:15" ht="13.5" customHeight="1" x14ac:dyDescent="0.25">
      <c r="A385" s="1"/>
      <c r="B385" s="20">
        <v>373</v>
      </c>
      <c r="C385" s="20">
        <v>2023</v>
      </c>
      <c r="D385" s="20">
        <v>34</v>
      </c>
      <c r="E385" s="20" t="s">
        <v>1528</v>
      </c>
      <c r="F385" s="20" t="s">
        <v>1529</v>
      </c>
      <c r="G385" s="20" t="s">
        <v>1530</v>
      </c>
      <c r="H385" s="20" t="s">
        <v>1531</v>
      </c>
      <c r="I385" s="20" t="s">
        <v>223</v>
      </c>
      <c r="J385" s="21">
        <v>2000</v>
      </c>
      <c r="K385" s="20" t="s">
        <v>67</v>
      </c>
      <c r="L385" s="21" t="s">
        <v>30</v>
      </c>
      <c r="M385" s="21" t="s">
        <v>30</v>
      </c>
      <c r="N385" s="20"/>
      <c r="O385" s="20"/>
    </row>
    <row r="386" spans="1:15" ht="13.5" customHeight="1" x14ac:dyDescent="0.25">
      <c r="A386" s="1"/>
      <c r="B386" s="22">
        <v>374</v>
      </c>
      <c r="C386" s="22">
        <v>2023</v>
      </c>
      <c r="D386" s="22">
        <v>43615</v>
      </c>
      <c r="E386" s="22" t="s">
        <v>1532</v>
      </c>
      <c r="F386" s="22" t="s">
        <v>1533</v>
      </c>
      <c r="G386" s="22" t="s">
        <v>1534</v>
      </c>
      <c r="H386" s="22" t="s">
        <v>1535</v>
      </c>
      <c r="I386" s="22" t="s">
        <v>23</v>
      </c>
      <c r="J386" s="23">
        <v>2021</v>
      </c>
      <c r="K386" s="22" t="s">
        <v>95</v>
      </c>
      <c r="L386" s="23" t="s">
        <v>30</v>
      </c>
      <c r="M386" s="23"/>
      <c r="N386" s="22" t="s">
        <v>236</v>
      </c>
      <c r="O386" s="22"/>
    </row>
    <row r="387" spans="1:15" ht="13.5" customHeight="1" x14ac:dyDescent="0.25">
      <c r="A387" s="1"/>
      <c r="B387" s="20">
        <v>375</v>
      </c>
      <c r="C387" s="20">
        <v>2023</v>
      </c>
      <c r="D387" s="20">
        <v>42860</v>
      </c>
      <c r="E387" s="20" t="s">
        <v>1536</v>
      </c>
      <c r="F387" s="20" t="s">
        <v>1537</v>
      </c>
      <c r="G387" s="20" t="s">
        <v>1538</v>
      </c>
      <c r="H387" s="20" t="s">
        <v>1539</v>
      </c>
      <c r="I387" s="20" t="s">
        <v>23</v>
      </c>
      <c r="J387" s="21">
        <v>2000</v>
      </c>
      <c r="K387" s="20" t="s">
        <v>95</v>
      </c>
      <c r="L387" s="21" t="s">
        <v>30</v>
      </c>
      <c r="M387" s="21"/>
      <c r="N387" s="20" t="s">
        <v>123</v>
      </c>
      <c r="O387" s="20"/>
    </row>
    <row r="388" spans="1:15" ht="13.5" customHeight="1" x14ac:dyDescent="0.25">
      <c r="A388" s="1"/>
      <c r="B388" s="22">
        <v>376</v>
      </c>
      <c r="C388" s="22">
        <v>2023</v>
      </c>
      <c r="D388" s="22">
        <v>10098</v>
      </c>
      <c r="E388" s="22" t="s">
        <v>1540</v>
      </c>
      <c r="F388" s="22" t="s">
        <v>1541</v>
      </c>
      <c r="G388" s="22" t="s">
        <v>1542</v>
      </c>
      <c r="H388" s="22" t="s">
        <v>1543</v>
      </c>
      <c r="I388" s="22" t="s">
        <v>23</v>
      </c>
      <c r="J388" s="23">
        <v>2000</v>
      </c>
      <c r="K388" s="22" t="s">
        <v>95</v>
      </c>
      <c r="L388" s="23" t="s">
        <v>30</v>
      </c>
      <c r="M388" s="23" t="s">
        <v>30</v>
      </c>
      <c r="N388" s="22"/>
      <c r="O388" s="22"/>
    </row>
    <row r="389" spans="1:15" ht="13.5" customHeight="1" x14ac:dyDescent="0.25">
      <c r="A389" s="1"/>
      <c r="B389" s="20">
        <v>377</v>
      </c>
      <c r="C389" s="20">
        <v>2023</v>
      </c>
      <c r="D389" s="20">
        <v>382</v>
      </c>
      <c r="E389" s="20" t="s">
        <v>1544</v>
      </c>
      <c r="F389" s="20" t="s">
        <v>1545</v>
      </c>
      <c r="G389" s="20" t="s">
        <v>1546</v>
      </c>
      <c r="H389" s="20" t="s">
        <v>1547</v>
      </c>
      <c r="I389" s="20" t="s">
        <v>23</v>
      </c>
      <c r="J389" s="21">
        <v>2000</v>
      </c>
      <c r="K389" s="20" t="s">
        <v>95</v>
      </c>
      <c r="L389" s="21" t="s">
        <v>30</v>
      </c>
      <c r="M389" s="21" t="s">
        <v>30</v>
      </c>
      <c r="N389" s="20"/>
      <c r="O389" s="20"/>
    </row>
    <row r="390" spans="1:15" ht="13.5" customHeight="1" x14ac:dyDescent="0.25">
      <c r="A390" s="1"/>
      <c r="B390" s="22">
        <v>378</v>
      </c>
      <c r="C390" s="22">
        <v>2023</v>
      </c>
      <c r="D390" s="22">
        <v>10584</v>
      </c>
      <c r="E390" s="22" t="s">
        <v>1548</v>
      </c>
      <c r="F390" s="22" t="s">
        <v>1549</v>
      </c>
      <c r="G390" s="22" t="s">
        <v>1550</v>
      </c>
      <c r="H390" s="22" t="s">
        <v>1551</v>
      </c>
      <c r="I390" s="22" t="s">
        <v>23</v>
      </c>
      <c r="J390" s="23">
        <v>2000</v>
      </c>
      <c r="K390" s="22" t="s">
        <v>95</v>
      </c>
      <c r="L390" s="23" t="s">
        <v>30</v>
      </c>
      <c r="M390" s="23" t="s">
        <v>30</v>
      </c>
      <c r="N390" s="22"/>
      <c r="O390" s="22"/>
    </row>
    <row r="391" spans="1:15" ht="13.5" customHeight="1" x14ac:dyDescent="0.25">
      <c r="A391" s="1"/>
      <c r="B391" s="20">
        <v>379</v>
      </c>
      <c r="C391" s="20">
        <v>2023</v>
      </c>
      <c r="D391" s="20">
        <v>10585</v>
      </c>
      <c r="E391" s="20" t="s">
        <v>1552</v>
      </c>
      <c r="F391" s="20" t="s">
        <v>1553</v>
      </c>
      <c r="G391" s="20" t="s">
        <v>1554</v>
      </c>
      <c r="H391" s="20" t="s">
        <v>1555</v>
      </c>
      <c r="I391" s="20" t="s">
        <v>23</v>
      </c>
      <c r="J391" s="21">
        <v>2000</v>
      </c>
      <c r="K391" s="20" t="s">
        <v>34</v>
      </c>
      <c r="L391" s="21" t="s">
        <v>30</v>
      </c>
      <c r="M391" s="21" t="s">
        <v>30</v>
      </c>
      <c r="N391" s="20"/>
      <c r="O391" s="20"/>
    </row>
    <row r="392" spans="1:15" ht="13.5" customHeight="1" x14ac:dyDescent="0.25">
      <c r="A392" s="1"/>
      <c r="B392" s="22">
        <v>380</v>
      </c>
      <c r="C392" s="22">
        <v>2023</v>
      </c>
      <c r="D392" s="22">
        <v>10238</v>
      </c>
      <c r="E392" s="22" t="s">
        <v>1556</v>
      </c>
      <c r="F392" s="22" t="s">
        <v>1557</v>
      </c>
      <c r="G392" s="22"/>
      <c r="H392" s="22" t="s">
        <v>1558</v>
      </c>
      <c r="I392" s="22" t="s">
        <v>23</v>
      </c>
      <c r="J392" s="23">
        <v>2001</v>
      </c>
      <c r="K392" s="22" t="s">
        <v>39</v>
      </c>
      <c r="L392" s="23"/>
      <c r="M392" s="23" t="s">
        <v>30</v>
      </c>
      <c r="N392" s="22"/>
      <c r="O392" s="22"/>
    </row>
    <row r="393" spans="1:15" ht="13.5" customHeight="1" x14ac:dyDescent="0.25">
      <c r="A393" s="1"/>
      <c r="B393" s="20">
        <v>381</v>
      </c>
      <c r="C393" s="20">
        <v>2023</v>
      </c>
      <c r="D393" s="20">
        <v>10157</v>
      </c>
      <c r="E393" s="20" t="s">
        <v>1559</v>
      </c>
      <c r="F393" s="20" t="s">
        <v>1560</v>
      </c>
      <c r="G393" s="20" t="s">
        <v>1561</v>
      </c>
      <c r="H393" s="20" t="s">
        <v>1562</v>
      </c>
      <c r="I393" s="20" t="s">
        <v>23</v>
      </c>
      <c r="J393" s="21">
        <v>2000</v>
      </c>
      <c r="K393" s="20" t="s">
        <v>39</v>
      </c>
      <c r="L393" s="21" t="s">
        <v>30</v>
      </c>
      <c r="M393" s="21" t="s">
        <v>30</v>
      </c>
      <c r="N393" s="20"/>
      <c r="O393" s="20"/>
    </row>
    <row r="394" spans="1:15" ht="13.5" customHeight="1" x14ac:dyDescent="0.25">
      <c r="A394" s="1"/>
      <c r="B394" s="22">
        <v>382</v>
      </c>
      <c r="C394" s="22">
        <v>2023</v>
      </c>
      <c r="D394" s="22">
        <v>40336</v>
      </c>
      <c r="E394" s="22" t="s">
        <v>1563</v>
      </c>
      <c r="F394" s="22" t="s">
        <v>1564</v>
      </c>
      <c r="G394" s="22"/>
      <c r="H394" s="22" t="s">
        <v>1565</v>
      </c>
      <c r="I394" s="22" t="s">
        <v>23</v>
      </c>
      <c r="J394" s="23">
        <v>2013</v>
      </c>
      <c r="K394" s="22" t="s">
        <v>39</v>
      </c>
      <c r="L394" s="23"/>
      <c r="M394" s="23"/>
      <c r="N394" s="22" t="s">
        <v>260</v>
      </c>
      <c r="O394" s="22"/>
    </row>
    <row r="395" spans="1:15" ht="13.5" customHeight="1" x14ac:dyDescent="0.25">
      <c r="A395" s="1"/>
      <c r="B395" s="20">
        <v>383</v>
      </c>
      <c r="C395" s="20">
        <v>2023</v>
      </c>
      <c r="D395" s="20">
        <v>12094</v>
      </c>
      <c r="E395" s="20" t="s">
        <v>1566</v>
      </c>
      <c r="F395" s="20" t="s">
        <v>1567</v>
      </c>
      <c r="G395" s="20"/>
      <c r="H395" s="20" t="s">
        <v>1568</v>
      </c>
      <c r="I395" s="20" t="s">
        <v>23</v>
      </c>
      <c r="J395" s="21">
        <v>2000</v>
      </c>
      <c r="K395" s="20" t="s">
        <v>39</v>
      </c>
      <c r="L395" s="21"/>
      <c r="M395" s="21" t="s">
        <v>30</v>
      </c>
      <c r="N395" s="20" t="s">
        <v>74</v>
      </c>
      <c r="O395" s="20"/>
    </row>
    <row r="396" spans="1:15" ht="13.5" customHeight="1" x14ac:dyDescent="0.25">
      <c r="A396" s="1"/>
      <c r="B396" s="22">
        <v>384</v>
      </c>
      <c r="C396" s="22">
        <v>2023</v>
      </c>
      <c r="D396" s="22">
        <v>10286</v>
      </c>
      <c r="E396" s="22" t="s">
        <v>1569</v>
      </c>
      <c r="F396" s="22" t="s">
        <v>1570</v>
      </c>
      <c r="G396" s="22" t="s">
        <v>1571</v>
      </c>
      <c r="H396" s="22" t="s">
        <v>1572</v>
      </c>
      <c r="I396" s="22" t="s">
        <v>23</v>
      </c>
      <c r="J396" s="23">
        <v>2000</v>
      </c>
      <c r="K396" s="22" t="s">
        <v>39</v>
      </c>
      <c r="L396" s="23" t="s">
        <v>30</v>
      </c>
      <c r="M396" s="23" t="s">
        <v>30</v>
      </c>
      <c r="N396" s="22"/>
      <c r="O396" s="22"/>
    </row>
    <row r="397" spans="1:15" ht="13.5" customHeight="1" x14ac:dyDescent="0.25">
      <c r="A397" s="1"/>
      <c r="B397" s="20">
        <v>385</v>
      </c>
      <c r="C397" s="20">
        <v>2023</v>
      </c>
      <c r="D397" s="20">
        <v>10567</v>
      </c>
      <c r="E397" s="20" t="s">
        <v>1573</v>
      </c>
      <c r="F397" s="20" t="s">
        <v>1574</v>
      </c>
      <c r="G397" s="20" t="s">
        <v>1575</v>
      </c>
      <c r="H397" s="20" t="s">
        <v>1576</v>
      </c>
      <c r="I397" s="20" t="s">
        <v>23</v>
      </c>
      <c r="J397" s="21">
        <v>2000</v>
      </c>
      <c r="K397" s="20" t="s">
        <v>203</v>
      </c>
      <c r="L397" s="21" t="s">
        <v>30</v>
      </c>
      <c r="M397" s="21" t="s">
        <v>30</v>
      </c>
      <c r="N397" s="20"/>
      <c r="O397" s="20"/>
    </row>
    <row r="398" spans="1:15" ht="13.5" customHeight="1" x14ac:dyDescent="0.25">
      <c r="A398" s="1"/>
      <c r="B398" s="22">
        <v>386</v>
      </c>
      <c r="C398" s="22">
        <v>2023</v>
      </c>
      <c r="D398" s="22">
        <v>41894</v>
      </c>
      <c r="E398" s="22" t="s">
        <v>1577</v>
      </c>
      <c r="F398" s="22" t="s">
        <v>1578</v>
      </c>
      <c r="G398" s="22"/>
      <c r="H398" s="22" t="s">
        <v>1579</v>
      </c>
      <c r="I398" s="22" t="s">
        <v>23</v>
      </c>
      <c r="J398" s="23">
        <v>2017</v>
      </c>
      <c r="K398" s="22" t="s">
        <v>39</v>
      </c>
      <c r="L398" s="23"/>
      <c r="M398" s="23"/>
      <c r="N398" s="22" t="s">
        <v>265</v>
      </c>
      <c r="O398" s="22"/>
    </row>
    <row r="399" spans="1:15" ht="13.5" customHeight="1" x14ac:dyDescent="0.25">
      <c r="A399" s="1"/>
      <c r="B399" s="20">
        <v>387</v>
      </c>
      <c r="C399" s="20">
        <v>2023</v>
      </c>
      <c r="D399" s="20">
        <v>12328</v>
      </c>
      <c r="E399" s="20" t="s">
        <v>1580</v>
      </c>
      <c r="F399" s="20" t="s">
        <v>1581</v>
      </c>
      <c r="G399" s="20" t="s">
        <v>1582</v>
      </c>
      <c r="H399" s="20" t="s">
        <v>1583</v>
      </c>
      <c r="I399" s="20" t="s">
        <v>23</v>
      </c>
      <c r="J399" s="21">
        <v>2008</v>
      </c>
      <c r="K399" s="20" t="s">
        <v>39</v>
      </c>
      <c r="L399" s="21" t="s">
        <v>30</v>
      </c>
      <c r="M399" s="21" t="s">
        <v>30</v>
      </c>
      <c r="N399" s="20" t="s">
        <v>352</v>
      </c>
      <c r="O399" s="20"/>
    </row>
    <row r="400" spans="1:15" ht="13.5" customHeight="1" x14ac:dyDescent="0.25">
      <c r="A400" s="1"/>
      <c r="B400" s="22">
        <v>388</v>
      </c>
      <c r="C400" s="22">
        <v>2023</v>
      </c>
      <c r="D400" s="22">
        <v>62</v>
      </c>
      <c r="E400" s="22" t="s">
        <v>1584</v>
      </c>
      <c r="F400" s="22" t="s">
        <v>1585</v>
      </c>
      <c r="G400" s="22" t="s">
        <v>1586</v>
      </c>
      <c r="H400" s="22" t="s">
        <v>1587</v>
      </c>
      <c r="I400" s="22" t="s">
        <v>23</v>
      </c>
      <c r="J400" s="23">
        <v>2000</v>
      </c>
      <c r="K400" s="22" t="s">
        <v>39</v>
      </c>
      <c r="L400" s="23" t="s">
        <v>30</v>
      </c>
      <c r="M400" s="23" t="s">
        <v>30</v>
      </c>
      <c r="N400" s="22"/>
      <c r="O400" s="22"/>
    </row>
    <row r="401" spans="1:15" ht="13.5" customHeight="1" x14ac:dyDescent="0.25">
      <c r="A401" s="1"/>
      <c r="B401" s="20">
        <v>389</v>
      </c>
      <c r="C401" s="20">
        <v>2023</v>
      </c>
      <c r="D401" s="20">
        <v>784</v>
      </c>
      <c r="E401" s="20" t="s">
        <v>1588</v>
      </c>
      <c r="F401" s="20" t="s">
        <v>1589</v>
      </c>
      <c r="G401" s="20"/>
      <c r="H401" s="20" t="s">
        <v>1590</v>
      </c>
      <c r="I401" s="20" t="s">
        <v>23</v>
      </c>
      <c r="J401" s="21">
        <v>2000</v>
      </c>
      <c r="K401" s="20" t="s">
        <v>39</v>
      </c>
      <c r="L401" s="21"/>
      <c r="M401" s="21" t="s">
        <v>30</v>
      </c>
      <c r="N401" s="20"/>
      <c r="O401" s="20"/>
    </row>
    <row r="402" spans="1:15" ht="13.5" customHeight="1" x14ac:dyDescent="0.25">
      <c r="A402" s="1"/>
      <c r="B402" s="22">
        <v>390</v>
      </c>
      <c r="C402" s="22">
        <v>2023</v>
      </c>
      <c r="D402" s="22">
        <v>392</v>
      </c>
      <c r="E402" s="22" t="s">
        <v>1591</v>
      </c>
      <c r="F402" s="22" t="s">
        <v>1592</v>
      </c>
      <c r="G402" s="22" t="s">
        <v>1593</v>
      </c>
      <c r="H402" s="22" t="s">
        <v>1594</v>
      </c>
      <c r="I402" s="22" t="s">
        <v>23</v>
      </c>
      <c r="J402" s="23">
        <v>2000</v>
      </c>
      <c r="K402" s="22" t="s">
        <v>39</v>
      </c>
      <c r="L402" s="23" t="s">
        <v>30</v>
      </c>
      <c r="M402" s="23" t="s">
        <v>30</v>
      </c>
      <c r="N402" s="22"/>
      <c r="O402" s="22"/>
    </row>
    <row r="403" spans="1:15" ht="13.5" customHeight="1" x14ac:dyDescent="0.25">
      <c r="A403" s="1"/>
      <c r="B403" s="20">
        <v>391</v>
      </c>
      <c r="C403" s="20">
        <v>2023</v>
      </c>
      <c r="D403" s="20">
        <v>12016</v>
      </c>
      <c r="E403" s="20" t="s">
        <v>1595</v>
      </c>
      <c r="F403" s="20" t="s">
        <v>1596</v>
      </c>
      <c r="G403" s="20"/>
      <c r="H403" s="20" t="s">
        <v>1597</v>
      </c>
      <c r="I403" s="20" t="s">
        <v>23</v>
      </c>
      <c r="J403" s="21">
        <v>2000</v>
      </c>
      <c r="K403" s="20" t="s">
        <v>39</v>
      </c>
      <c r="L403" s="21"/>
      <c r="M403" s="21" t="s">
        <v>30</v>
      </c>
      <c r="N403" s="20" t="s">
        <v>74</v>
      </c>
      <c r="O403" s="20"/>
    </row>
    <row r="404" spans="1:15" ht="13.5" customHeight="1" x14ac:dyDescent="0.25">
      <c r="A404" s="1"/>
      <c r="B404" s="22">
        <v>392</v>
      </c>
      <c r="C404" s="22">
        <v>2023</v>
      </c>
      <c r="D404" s="22">
        <v>12018</v>
      </c>
      <c r="E404" s="22" t="s">
        <v>1598</v>
      </c>
      <c r="F404" s="22" t="s">
        <v>1599</v>
      </c>
      <c r="G404" s="22"/>
      <c r="H404" s="22" t="s">
        <v>1600</v>
      </c>
      <c r="I404" s="22" t="s">
        <v>23</v>
      </c>
      <c r="J404" s="23">
        <v>2002</v>
      </c>
      <c r="K404" s="22" t="s">
        <v>39</v>
      </c>
      <c r="L404" s="23"/>
      <c r="M404" s="23" t="s">
        <v>30</v>
      </c>
      <c r="N404" s="22" t="s">
        <v>74</v>
      </c>
      <c r="O404" s="22"/>
    </row>
    <row r="405" spans="1:15" ht="13.5" customHeight="1" x14ac:dyDescent="0.25">
      <c r="A405" s="1"/>
      <c r="B405" s="20">
        <v>393</v>
      </c>
      <c r="C405" s="20">
        <v>2023</v>
      </c>
      <c r="D405" s="20">
        <v>10067</v>
      </c>
      <c r="E405" s="20" t="s">
        <v>1601</v>
      </c>
      <c r="F405" s="20" t="s">
        <v>1602</v>
      </c>
      <c r="G405" s="20" t="s">
        <v>1603</v>
      </c>
      <c r="H405" s="20" t="s">
        <v>1604</v>
      </c>
      <c r="I405" s="20" t="s">
        <v>23</v>
      </c>
      <c r="J405" s="21">
        <v>2000</v>
      </c>
      <c r="K405" s="20" t="s">
        <v>39</v>
      </c>
      <c r="L405" s="21" t="s">
        <v>30</v>
      </c>
      <c r="M405" s="21" t="s">
        <v>30</v>
      </c>
      <c r="N405" s="20"/>
      <c r="O405" s="20"/>
    </row>
    <row r="406" spans="1:15" ht="13.5" customHeight="1" x14ac:dyDescent="0.25">
      <c r="A406" s="1"/>
      <c r="B406" s="22">
        <v>394</v>
      </c>
      <c r="C406" s="22">
        <v>2023</v>
      </c>
      <c r="D406" s="22">
        <v>10615</v>
      </c>
      <c r="E406" s="22" t="s">
        <v>1605</v>
      </c>
      <c r="F406" s="22" t="s">
        <v>1606</v>
      </c>
      <c r="G406" s="22" t="s">
        <v>1607</v>
      </c>
      <c r="H406" s="22" t="s">
        <v>1608</v>
      </c>
      <c r="I406" s="22" t="s">
        <v>23</v>
      </c>
      <c r="J406" s="23">
        <v>2000</v>
      </c>
      <c r="K406" s="22" t="s">
        <v>203</v>
      </c>
      <c r="L406" s="23" t="s">
        <v>30</v>
      </c>
      <c r="M406" s="23" t="s">
        <v>30</v>
      </c>
      <c r="N406" s="22"/>
      <c r="O406" s="22"/>
    </row>
    <row r="407" spans="1:15" ht="13.5" customHeight="1" x14ac:dyDescent="0.25">
      <c r="A407" s="1"/>
      <c r="B407" s="20">
        <v>395</v>
      </c>
      <c r="C407" s="20">
        <v>2023</v>
      </c>
      <c r="D407" s="20">
        <v>11698</v>
      </c>
      <c r="E407" s="20" t="s">
        <v>1609</v>
      </c>
      <c r="F407" s="20" t="s">
        <v>1610</v>
      </c>
      <c r="G407" s="20" t="s">
        <v>1611</v>
      </c>
      <c r="H407" s="20" t="s">
        <v>1612</v>
      </c>
      <c r="I407" s="20" t="s">
        <v>23</v>
      </c>
      <c r="J407" s="21">
        <v>2007</v>
      </c>
      <c r="K407" s="20" t="s">
        <v>475</v>
      </c>
      <c r="L407" s="21" t="s">
        <v>30</v>
      </c>
      <c r="M407" s="21" t="s">
        <v>30</v>
      </c>
      <c r="N407" s="20" t="s">
        <v>245</v>
      </c>
      <c r="O407" s="20"/>
    </row>
    <row r="408" spans="1:15" ht="13.5" customHeight="1" x14ac:dyDescent="0.25">
      <c r="A408" s="1"/>
      <c r="B408" s="22">
        <v>396</v>
      </c>
      <c r="C408" s="22">
        <v>2023</v>
      </c>
      <c r="D408" s="22">
        <v>10586</v>
      </c>
      <c r="E408" s="22" t="s">
        <v>1613</v>
      </c>
      <c r="F408" s="22" t="s">
        <v>1614</v>
      </c>
      <c r="G408" s="22" t="s">
        <v>1615</v>
      </c>
      <c r="H408" s="22" t="s">
        <v>1616</v>
      </c>
      <c r="I408" s="22" t="s">
        <v>23</v>
      </c>
      <c r="J408" s="23">
        <v>2000</v>
      </c>
      <c r="K408" s="22" t="s">
        <v>114</v>
      </c>
      <c r="L408" s="23" t="s">
        <v>30</v>
      </c>
      <c r="M408" s="23" t="s">
        <v>30</v>
      </c>
      <c r="N408" s="22"/>
      <c r="O408" s="22"/>
    </row>
    <row r="409" spans="1:15" ht="13.5" customHeight="1" x14ac:dyDescent="0.25">
      <c r="A409" s="1"/>
      <c r="B409" s="20">
        <v>397</v>
      </c>
      <c r="C409" s="20">
        <v>2023</v>
      </c>
      <c r="D409" s="20">
        <v>11298</v>
      </c>
      <c r="E409" s="20" t="s">
        <v>1617</v>
      </c>
      <c r="F409" s="20" t="s">
        <v>1618</v>
      </c>
      <c r="G409" s="20" t="s">
        <v>1619</v>
      </c>
      <c r="H409" s="20" t="s">
        <v>1620</v>
      </c>
      <c r="I409" s="20" t="s">
        <v>357</v>
      </c>
      <c r="J409" s="21">
        <v>2009</v>
      </c>
      <c r="K409" s="20" t="s">
        <v>39</v>
      </c>
      <c r="L409" s="21" t="s">
        <v>30</v>
      </c>
      <c r="M409" s="21"/>
      <c r="N409" s="20"/>
      <c r="O409" s="20"/>
    </row>
    <row r="410" spans="1:15" ht="13.5" customHeight="1" x14ac:dyDescent="0.25">
      <c r="A410" s="1"/>
      <c r="B410" s="22">
        <v>398</v>
      </c>
      <c r="C410" s="22">
        <v>2023</v>
      </c>
      <c r="D410" s="22">
        <v>10111</v>
      </c>
      <c r="E410" s="22" t="s">
        <v>1621</v>
      </c>
      <c r="F410" s="22" t="s">
        <v>1622</v>
      </c>
      <c r="G410" s="22" t="s">
        <v>1623</v>
      </c>
      <c r="H410" s="22" t="s">
        <v>1624</v>
      </c>
      <c r="I410" s="22" t="s">
        <v>23</v>
      </c>
      <c r="J410" s="23">
        <v>2000</v>
      </c>
      <c r="K410" s="22" t="s">
        <v>114</v>
      </c>
      <c r="L410" s="23" t="s">
        <v>30</v>
      </c>
      <c r="M410" s="23" t="s">
        <v>30</v>
      </c>
      <c r="N410" s="22"/>
      <c r="O410" s="22"/>
    </row>
    <row r="411" spans="1:15" ht="13.5" customHeight="1" x14ac:dyDescent="0.25">
      <c r="A411" s="1"/>
      <c r="B411" s="20">
        <v>399</v>
      </c>
      <c r="C411" s="20">
        <v>2023</v>
      </c>
      <c r="D411" s="20">
        <v>12559</v>
      </c>
      <c r="E411" s="20" t="s">
        <v>1625</v>
      </c>
      <c r="F411" s="20" t="s">
        <v>1626</v>
      </c>
      <c r="G411" s="20"/>
      <c r="H411" s="20" t="s">
        <v>1627</v>
      </c>
      <c r="I411" s="20" t="s">
        <v>23</v>
      </c>
      <c r="J411" s="21">
        <v>2009</v>
      </c>
      <c r="K411" s="20" t="s">
        <v>114</v>
      </c>
      <c r="L411" s="21"/>
      <c r="M411" s="21" t="s">
        <v>30</v>
      </c>
      <c r="N411" s="20" t="s">
        <v>1103</v>
      </c>
      <c r="O411" s="20"/>
    </row>
    <row r="412" spans="1:15" ht="13.5" customHeight="1" x14ac:dyDescent="0.25">
      <c r="A412" s="1"/>
      <c r="B412" s="22">
        <v>400</v>
      </c>
      <c r="C412" s="22">
        <v>2023</v>
      </c>
      <c r="D412" s="22">
        <v>11571</v>
      </c>
      <c r="E412" s="22" t="s">
        <v>1628</v>
      </c>
      <c r="F412" s="22" t="s">
        <v>1629</v>
      </c>
      <c r="G412" s="22"/>
      <c r="H412" s="22" t="s">
        <v>1630</v>
      </c>
      <c r="I412" s="22" t="s">
        <v>23</v>
      </c>
      <c r="J412" s="23">
        <v>2007</v>
      </c>
      <c r="K412" s="22" t="s">
        <v>34</v>
      </c>
      <c r="L412" s="23"/>
      <c r="M412" s="23" t="s">
        <v>30</v>
      </c>
      <c r="N412" s="22" t="s">
        <v>245</v>
      </c>
      <c r="O412" s="22"/>
    </row>
    <row r="413" spans="1:15" ht="13.5" customHeight="1" x14ac:dyDescent="0.25">
      <c r="A413" s="1"/>
      <c r="B413" s="20">
        <v>401</v>
      </c>
      <c r="C413" s="20">
        <v>2023</v>
      </c>
      <c r="D413" s="20">
        <v>10339</v>
      </c>
      <c r="E413" s="20" t="s">
        <v>1631</v>
      </c>
      <c r="F413" s="20" t="s">
        <v>1632</v>
      </c>
      <c r="G413" s="20" t="s">
        <v>1633</v>
      </c>
      <c r="H413" s="20" t="s">
        <v>1634</v>
      </c>
      <c r="I413" s="20" t="s">
        <v>23</v>
      </c>
      <c r="J413" s="21">
        <v>2004</v>
      </c>
      <c r="K413" s="20" t="s">
        <v>34</v>
      </c>
      <c r="L413" s="21" t="s">
        <v>30</v>
      </c>
      <c r="M413" s="21" t="s">
        <v>30</v>
      </c>
      <c r="N413" s="20"/>
      <c r="O413" s="20"/>
    </row>
    <row r="414" spans="1:15" ht="13.5" customHeight="1" x14ac:dyDescent="0.25">
      <c r="A414" s="1"/>
      <c r="B414" s="22">
        <v>402</v>
      </c>
      <c r="C414" s="22">
        <v>2023</v>
      </c>
      <c r="D414" s="22">
        <v>10608</v>
      </c>
      <c r="E414" s="22" t="s">
        <v>1635</v>
      </c>
      <c r="F414" s="22" t="s">
        <v>1636</v>
      </c>
      <c r="G414" s="22" t="s">
        <v>1637</v>
      </c>
      <c r="H414" s="22" t="s">
        <v>1638</v>
      </c>
      <c r="I414" s="22" t="s">
        <v>23</v>
      </c>
      <c r="J414" s="23">
        <v>2000</v>
      </c>
      <c r="K414" s="22" t="s">
        <v>39</v>
      </c>
      <c r="L414" s="23" t="s">
        <v>30</v>
      </c>
      <c r="M414" s="23" t="s">
        <v>30</v>
      </c>
      <c r="N414" s="22"/>
      <c r="O414" s="22"/>
    </row>
    <row r="415" spans="1:15" ht="13.5" customHeight="1" x14ac:dyDescent="0.25">
      <c r="A415" s="1"/>
      <c r="B415" s="20">
        <v>403</v>
      </c>
      <c r="C415" s="20">
        <v>2023</v>
      </c>
      <c r="D415" s="20">
        <v>13415</v>
      </c>
      <c r="E415" s="20" t="s">
        <v>1639</v>
      </c>
      <c r="F415" s="20" t="s">
        <v>1640</v>
      </c>
      <c r="G415" s="20" t="s">
        <v>1641</v>
      </c>
      <c r="H415" s="20" t="s">
        <v>1642</v>
      </c>
      <c r="I415" s="20" t="s">
        <v>23</v>
      </c>
      <c r="J415" s="21">
        <v>2001</v>
      </c>
      <c r="K415" s="20" t="s">
        <v>203</v>
      </c>
      <c r="L415" s="21" t="s">
        <v>30</v>
      </c>
      <c r="M415" s="21"/>
      <c r="N415" s="20" t="s">
        <v>275</v>
      </c>
      <c r="O415" s="20"/>
    </row>
    <row r="416" spans="1:15" ht="13.5" customHeight="1" x14ac:dyDescent="0.25">
      <c r="A416" s="1"/>
      <c r="B416" s="22">
        <v>404</v>
      </c>
      <c r="C416" s="22">
        <v>2023</v>
      </c>
      <c r="D416" s="22">
        <v>11955</v>
      </c>
      <c r="E416" s="22" t="s">
        <v>1643</v>
      </c>
      <c r="F416" s="22" t="s">
        <v>1644</v>
      </c>
      <c r="G416" s="22" t="s">
        <v>1645</v>
      </c>
      <c r="H416" s="22" t="s">
        <v>1646</v>
      </c>
      <c r="I416" s="22" t="s">
        <v>62</v>
      </c>
      <c r="J416" s="23">
        <v>2007</v>
      </c>
      <c r="K416" s="22" t="s">
        <v>24</v>
      </c>
      <c r="L416" s="23" t="s">
        <v>30</v>
      </c>
      <c r="M416" s="23" t="s">
        <v>30</v>
      </c>
      <c r="N416" s="22" t="s">
        <v>74</v>
      </c>
      <c r="O416" s="22"/>
    </row>
    <row r="417" spans="1:15" ht="13.5" customHeight="1" x14ac:dyDescent="0.25">
      <c r="A417" s="1"/>
      <c r="B417" s="20">
        <v>405</v>
      </c>
      <c r="C417" s="20">
        <v>2023</v>
      </c>
      <c r="D417" s="20">
        <v>13348</v>
      </c>
      <c r="E417" s="20" t="s">
        <v>1647</v>
      </c>
      <c r="F417" s="20" t="s">
        <v>1648</v>
      </c>
      <c r="G417" s="20" t="s">
        <v>1649</v>
      </c>
      <c r="H417" s="20" t="s">
        <v>1650</v>
      </c>
      <c r="I417" s="20" t="s">
        <v>23</v>
      </c>
      <c r="J417" s="21">
        <v>2008</v>
      </c>
      <c r="K417" s="20" t="s">
        <v>44</v>
      </c>
      <c r="L417" s="21" t="s">
        <v>30</v>
      </c>
      <c r="M417" s="21"/>
      <c r="N417" s="20" t="s">
        <v>275</v>
      </c>
      <c r="O417" s="20"/>
    </row>
    <row r="418" spans="1:15" ht="13.5" customHeight="1" x14ac:dyDescent="0.25">
      <c r="A418" s="1"/>
      <c r="B418" s="22">
        <v>406</v>
      </c>
      <c r="C418" s="22">
        <v>2023</v>
      </c>
      <c r="D418" s="22">
        <v>396</v>
      </c>
      <c r="E418" s="22" t="s">
        <v>1651</v>
      </c>
      <c r="F418" s="22" t="s">
        <v>1652</v>
      </c>
      <c r="G418" s="22" t="s">
        <v>1653</v>
      </c>
      <c r="H418" s="22" t="s">
        <v>1654</v>
      </c>
      <c r="I418" s="22" t="s">
        <v>23</v>
      </c>
      <c r="J418" s="23">
        <v>2000</v>
      </c>
      <c r="K418" s="22" t="s">
        <v>24</v>
      </c>
      <c r="L418" s="23" t="s">
        <v>30</v>
      </c>
      <c r="M418" s="23" t="s">
        <v>30</v>
      </c>
      <c r="N418" s="22"/>
      <c r="O418" s="22"/>
    </row>
    <row r="419" spans="1:15" ht="13.5" customHeight="1" x14ac:dyDescent="0.25">
      <c r="A419" s="1"/>
      <c r="B419" s="20">
        <v>407</v>
      </c>
      <c r="C419" s="20">
        <v>2023</v>
      </c>
      <c r="D419" s="20">
        <v>10595</v>
      </c>
      <c r="E419" s="20" t="s">
        <v>1655</v>
      </c>
      <c r="F419" s="20" t="s">
        <v>1656</v>
      </c>
      <c r="G419" s="20" t="s">
        <v>1657</v>
      </c>
      <c r="H419" s="20" t="s">
        <v>1658</v>
      </c>
      <c r="I419" s="20" t="s">
        <v>62</v>
      </c>
      <c r="J419" s="21">
        <v>2000</v>
      </c>
      <c r="K419" s="20" t="s">
        <v>24</v>
      </c>
      <c r="L419" s="21" t="s">
        <v>30</v>
      </c>
      <c r="M419" s="21" t="s">
        <v>30</v>
      </c>
      <c r="N419" s="20"/>
      <c r="O419" s="20"/>
    </row>
    <row r="420" spans="1:15" ht="13.5" customHeight="1" x14ac:dyDescent="0.25">
      <c r="A420" s="1"/>
      <c r="B420" s="22">
        <v>408</v>
      </c>
      <c r="C420" s="22">
        <v>2023</v>
      </c>
      <c r="D420" s="22">
        <v>53</v>
      </c>
      <c r="E420" s="22" t="s">
        <v>1659</v>
      </c>
      <c r="F420" s="22" t="s">
        <v>1660</v>
      </c>
      <c r="G420" s="22" t="s">
        <v>1661</v>
      </c>
      <c r="H420" s="22" t="s">
        <v>1662</v>
      </c>
      <c r="I420" s="22" t="s">
        <v>357</v>
      </c>
      <c r="J420" s="23">
        <v>2000</v>
      </c>
      <c r="K420" s="22" t="s">
        <v>39</v>
      </c>
      <c r="L420" s="23" t="s">
        <v>30</v>
      </c>
      <c r="M420" s="23" t="s">
        <v>30</v>
      </c>
      <c r="N420" s="22"/>
      <c r="O420" s="22"/>
    </row>
    <row r="421" spans="1:15" ht="13.5" customHeight="1" x14ac:dyDescent="0.25">
      <c r="A421" s="1"/>
      <c r="B421" s="20">
        <v>409</v>
      </c>
      <c r="C421" s="20">
        <v>2023</v>
      </c>
      <c r="D421" s="20">
        <v>493</v>
      </c>
      <c r="E421" s="20" t="s">
        <v>1663</v>
      </c>
      <c r="F421" s="20" t="s">
        <v>1664</v>
      </c>
      <c r="G421" s="20" t="s">
        <v>1665</v>
      </c>
      <c r="H421" s="20" t="s">
        <v>1666</v>
      </c>
      <c r="I421" s="20" t="s">
        <v>23</v>
      </c>
      <c r="J421" s="21">
        <v>2000</v>
      </c>
      <c r="K421" s="20" t="s">
        <v>44</v>
      </c>
      <c r="L421" s="21" t="s">
        <v>30</v>
      </c>
      <c r="M421" s="21" t="s">
        <v>30</v>
      </c>
      <c r="N421" s="20"/>
      <c r="O421" s="20"/>
    </row>
    <row r="422" spans="1:15" ht="13.5" customHeight="1" x14ac:dyDescent="0.25">
      <c r="A422" s="1"/>
      <c r="B422" s="22">
        <v>410</v>
      </c>
      <c r="C422" s="22">
        <v>2023</v>
      </c>
      <c r="D422" s="22">
        <v>10573</v>
      </c>
      <c r="E422" s="22" t="s">
        <v>1667</v>
      </c>
      <c r="F422" s="22" t="s">
        <v>1668</v>
      </c>
      <c r="G422" s="22" t="s">
        <v>1669</v>
      </c>
      <c r="H422" s="22" t="s">
        <v>1670</v>
      </c>
      <c r="I422" s="22" t="s">
        <v>62</v>
      </c>
      <c r="J422" s="23">
        <v>2000</v>
      </c>
      <c r="K422" s="22" t="s">
        <v>63</v>
      </c>
      <c r="L422" s="23" t="s">
        <v>30</v>
      </c>
      <c r="M422" s="23" t="s">
        <v>30</v>
      </c>
      <c r="N422" s="22"/>
      <c r="O422" s="22"/>
    </row>
    <row r="423" spans="1:15" ht="13.5" customHeight="1" x14ac:dyDescent="0.25">
      <c r="A423" s="1"/>
      <c r="B423" s="20">
        <v>411</v>
      </c>
      <c r="C423" s="20">
        <v>2023</v>
      </c>
      <c r="D423" s="20">
        <v>220</v>
      </c>
      <c r="E423" s="20" t="s">
        <v>1671</v>
      </c>
      <c r="F423" s="20" t="s">
        <v>1672</v>
      </c>
      <c r="G423" s="20" t="s">
        <v>1673</v>
      </c>
      <c r="H423" s="20" t="s">
        <v>1674</v>
      </c>
      <c r="I423" s="20" t="s">
        <v>23</v>
      </c>
      <c r="J423" s="21">
        <v>2000</v>
      </c>
      <c r="K423" s="20" t="s">
        <v>63</v>
      </c>
      <c r="L423" s="21" t="s">
        <v>30</v>
      </c>
      <c r="M423" s="21" t="s">
        <v>30</v>
      </c>
      <c r="N423" s="20"/>
      <c r="O423" s="20"/>
    </row>
    <row r="424" spans="1:15" ht="13.5" customHeight="1" x14ac:dyDescent="0.25">
      <c r="A424" s="1"/>
      <c r="B424" s="22">
        <v>412</v>
      </c>
      <c r="C424" s="22">
        <v>2023</v>
      </c>
      <c r="D424" s="22">
        <v>40304</v>
      </c>
      <c r="E424" s="22" t="s">
        <v>1675</v>
      </c>
      <c r="F424" s="22" t="s">
        <v>1676</v>
      </c>
      <c r="G424" s="22" t="s">
        <v>1677</v>
      </c>
      <c r="H424" s="22" t="s">
        <v>1678</v>
      </c>
      <c r="I424" s="22" t="s">
        <v>23</v>
      </c>
      <c r="J424" s="23">
        <v>2013</v>
      </c>
      <c r="K424" s="22" t="s">
        <v>44</v>
      </c>
      <c r="L424" s="23" t="s">
        <v>30</v>
      </c>
      <c r="M424" s="23"/>
      <c r="N424" s="22" t="s">
        <v>260</v>
      </c>
      <c r="O424" s="22"/>
    </row>
    <row r="425" spans="1:15" ht="13.5" customHeight="1" x14ac:dyDescent="0.25">
      <c r="A425" s="1"/>
      <c r="B425" s="20">
        <v>413</v>
      </c>
      <c r="C425" s="20">
        <v>2023</v>
      </c>
      <c r="D425" s="20">
        <v>42967</v>
      </c>
      <c r="E425" s="20" t="s">
        <v>1679</v>
      </c>
      <c r="F425" s="20" t="s">
        <v>1680</v>
      </c>
      <c r="G425" s="20" t="s">
        <v>1681</v>
      </c>
      <c r="H425" s="20" t="s">
        <v>1682</v>
      </c>
      <c r="I425" s="20" t="s">
        <v>23</v>
      </c>
      <c r="J425" s="21">
        <v>2019</v>
      </c>
      <c r="K425" s="20" t="s">
        <v>44</v>
      </c>
      <c r="L425" s="21" t="s">
        <v>30</v>
      </c>
      <c r="M425" s="21"/>
      <c r="N425" s="20" t="s">
        <v>218</v>
      </c>
      <c r="O425" s="20"/>
    </row>
    <row r="426" spans="1:15" ht="13.5" customHeight="1" x14ac:dyDescent="0.25">
      <c r="A426" s="1"/>
      <c r="B426" s="22">
        <v>414</v>
      </c>
      <c r="C426" s="22">
        <v>2023</v>
      </c>
      <c r="D426" s="22">
        <v>42974</v>
      </c>
      <c r="E426" s="22" t="s">
        <v>1683</v>
      </c>
      <c r="F426" s="22" t="s">
        <v>1684</v>
      </c>
      <c r="G426" s="22" t="s">
        <v>1685</v>
      </c>
      <c r="H426" s="22" t="s">
        <v>1686</v>
      </c>
      <c r="I426" s="22" t="s">
        <v>100</v>
      </c>
      <c r="J426" s="23">
        <v>2000</v>
      </c>
      <c r="K426" s="22" t="s">
        <v>34</v>
      </c>
      <c r="L426" s="23" t="s">
        <v>30</v>
      </c>
      <c r="M426" s="23"/>
      <c r="N426" s="22" t="s">
        <v>270</v>
      </c>
      <c r="O426" s="22"/>
    </row>
    <row r="427" spans="1:15" ht="13.5" customHeight="1" x14ac:dyDescent="0.25">
      <c r="A427" s="1"/>
      <c r="B427" s="20">
        <v>415</v>
      </c>
      <c r="C427" s="20">
        <v>2023</v>
      </c>
      <c r="D427" s="20">
        <v>10597</v>
      </c>
      <c r="E427" s="20" t="s">
        <v>1687</v>
      </c>
      <c r="F427" s="20" t="s">
        <v>1688</v>
      </c>
      <c r="G427" s="20" t="s">
        <v>1689</v>
      </c>
      <c r="H427" s="20" t="s">
        <v>1690</v>
      </c>
      <c r="I427" s="20" t="s">
        <v>23</v>
      </c>
      <c r="J427" s="21">
        <v>2000</v>
      </c>
      <c r="K427" s="20" t="s">
        <v>39</v>
      </c>
      <c r="L427" s="21" t="s">
        <v>30</v>
      </c>
      <c r="M427" s="21" t="s">
        <v>30</v>
      </c>
      <c r="N427" s="20"/>
      <c r="O427" s="20"/>
    </row>
    <row r="428" spans="1:15" ht="13.5" customHeight="1" x14ac:dyDescent="0.25">
      <c r="A428" s="1"/>
      <c r="B428" s="22">
        <v>416</v>
      </c>
      <c r="C428" s="22">
        <v>2023</v>
      </c>
      <c r="D428" s="22">
        <v>580</v>
      </c>
      <c r="E428" s="22" t="s">
        <v>1691</v>
      </c>
      <c r="F428" s="22" t="s">
        <v>1692</v>
      </c>
      <c r="G428" s="22"/>
      <c r="H428" s="22" t="s">
        <v>1693</v>
      </c>
      <c r="I428" s="22" t="s">
        <v>23</v>
      </c>
      <c r="J428" s="23">
        <v>2000</v>
      </c>
      <c r="K428" s="22" t="s">
        <v>39</v>
      </c>
      <c r="L428" s="23"/>
      <c r="M428" s="23" t="s">
        <v>30</v>
      </c>
      <c r="N428" s="22"/>
      <c r="O428" s="22"/>
    </row>
    <row r="429" spans="1:15" ht="13.5" customHeight="1" x14ac:dyDescent="0.25">
      <c r="A429" s="1"/>
      <c r="B429" s="20">
        <v>417</v>
      </c>
      <c r="C429" s="20">
        <v>2023</v>
      </c>
      <c r="D429" s="20">
        <v>40627</v>
      </c>
      <c r="E429" s="20" t="s">
        <v>1694</v>
      </c>
      <c r="F429" s="20" t="s">
        <v>1695</v>
      </c>
      <c r="G429" s="20" t="s">
        <v>1696</v>
      </c>
      <c r="H429" s="20" t="s">
        <v>1697</v>
      </c>
      <c r="I429" s="20" t="s">
        <v>23</v>
      </c>
      <c r="J429" s="21">
        <v>2015</v>
      </c>
      <c r="K429" s="20" t="s">
        <v>44</v>
      </c>
      <c r="L429" s="21" t="s">
        <v>30</v>
      </c>
      <c r="M429" s="21"/>
      <c r="N429" s="20"/>
      <c r="O429" s="20"/>
    </row>
    <row r="430" spans="1:15" ht="13.5" customHeight="1" x14ac:dyDescent="0.25">
      <c r="A430" s="1"/>
      <c r="B430" s="22">
        <v>418</v>
      </c>
      <c r="C430" s="22">
        <v>2023</v>
      </c>
      <c r="D430" s="22">
        <v>11785</v>
      </c>
      <c r="E430" s="22" t="s">
        <v>1698</v>
      </c>
      <c r="F430" s="22" t="s">
        <v>1699</v>
      </c>
      <c r="G430" s="22" t="s">
        <v>1700</v>
      </c>
      <c r="H430" s="22" t="s">
        <v>1701</v>
      </c>
      <c r="I430" s="22" t="s">
        <v>223</v>
      </c>
      <c r="J430" s="23">
        <v>2007</v>
      </c>
      <c r="K430" s="22" t="s">
        <v>44</v>
      </c>
      <c r="L430" s="23" t="s">
        <v>30</v>
      </c>
      <c r="M430" s="23" t="s">
        <v>30</v>
      </c>
      <c r="N430" s="22" t="s">
        <v>245</v>
      </c>
      <c r="O430" s="22"/>
    </row>
    <row r="431" spans="1:15" ht="13.5" customHeight="1" x14ac:dyDescent="0.25">
      <c r="A431" s="1"/>
      <c r="B431" s="20">
        <v>419</v>
      </c>
      <c r="C431" s="20">
        <v>2023</v>
      </c>
      <c r="D431" s="20">
        <v>40314</v>
      </c>
      <c r="E431" s="20" t="s">
        <v>1702</v>
      </c>
      <c r="F431" s="20" t="s">
        <v>1703</v>
      </c>
      <c r="G431" s="20" t="s">
        <v>1704</v>
      </c>
      <c r="H431" s="20" t="s">
        <v>1705</v>
      </c>
      <c r="I431" s="20" t="s">
        <v>23</v>
      </c>
      <c r="J431" s="21">
        <v>2013</v>
      </c>
      <c r="K431" s="20" t="s">
        <v>44</v>
      </c>
      <c r="L431" s="21" t="s">
        <v>30</v>
      </c>
      <c r="M431" s="21"/>
      <c r="N431" s="20" t="s">
        <v>101</v>
      </c>
      <c r="O431" s="20"/>
    </row>
    <row r="432" spans="1:15" ht="13.5" customHeight="1" x14ac:dyDescent="0.25">
      <c r="A432" s="1"/>
      <c r="B432" s="22">
        <v>420</v>
      </c>
      <c r="C432" s="22">
        <v>2023</v>
      </c>
      <c r="D432" s="22">
        <v>10588</v>
      </c>
      <c r="E432" s="22" t="s">
        <v>1706</v>
      </c>
      <c r="F432" s="22" t="s">
        <v>1707</v>
      </c>
      <c r="G432" s="22" t="s">
        <v>1708</v>
      </c>
      <c r="H432" s="22" t="s">
        <v>1709</v>
      </c>
      <c r="I432" s="22" t="s">
        <v>23</v>
      </c>
      <c r="J432" s="23">
        <v>2000</v>
      </c>
      <c r="K432" s="22" t="s">
        <v>29</v>
      </c>
      <c r="L432" s="23" t="s">
        <v>30</v>
      </c>
      <c r="M432" s="23" t="s">
        <v>30</v>
      </c>
      <c r="N432" s="22"/>
      <c r="O432" s="22"/>
    </row>
    <row r="433" spans="1:15" ht="13.5" customHeight="1" x14ac:dyDescent="0.25">
      <c r="A433" s="1"/>
      <c r="B433" s="20">
        <v>421</v>
      </c>
      <c r="C433" s="20">
        <v>2023</v>
      </c>
      <c r="D433" s="20">
        <v>42113</v>
      </c>
      <c r="E433" s="20" t="s">
        <v>1710</v>
      </c>
      <c r="F433" s="20" t="s">
        <v>1711</v>
      </c>
      <c r="G433" s="20" t="s">
        <v>1712</v>
      </c>
      <c r="H433" s="20" t="s">
        <v>1713</v>
      </c>
      <c r="I433" s="20" t="s">
        <v>23</v>
      </c>
      <c r="J433" s="21">
        <v>2018</v>
      </c>
      <c r="K433" s="20" t="s">
        <v>203</v>
      </c>
      <c r="L433" s="21" t="s">
        <v>30</v>
      </c>
      <c r="M433" s="21"/>
      <c r="N433" s="20" t="s">
        <v>213</v>
      </c>
      <c r="O433" s="20"/>
    </row>
    <row r="434" spans="1:15" ht="13.5" customHeight="1" x14ac:dyDescent="0.25">
      <c r="A434" s="1"/>
      <c r="B434" s="22">
        <v>422</v>
      </c>
      <c r="C434" s="22">
        <v>2023</v>
      </c>
      <c r="D434" s="22">
        <v>37</v>
      </c>
      <c r="E434" s="22" t="s">
        <v>1714</v>
      </c>
      <c r="F434" s="22" t="s">
        <v>1715</v>
      </c>
      <c r="G434" s="22" t="s">
        <v>1716</v>
      </c>
      <c r="H434" s="22" t="s">
        <v>1717</v>
      </c>
      <c r="I434" s="22" t="s">
        <v>223</v>
      </c>
      <c r="J434" s="23">
        <v>2000</v>
      </c>
      <c r="K434" s="22" t="s">
        <v>114</v>
      </c>
      <c r="L434" s="23" t="s">
        <v>30</v>
      </c>
      <c r="M434" s="23" t="s">
        <v>30</v>
      </c>
      <c r="N434" s="22"/>
      <c r="O434" s="22"/>
    </row>
    <row r="435" spans="1:15" ht="13.5" customHeight="1" x14ac:dyDescent="0.25">
      <c r="A435" s="1"/>
      <c r="B435" s="20">
        <v>423</v>
      </c>
      <c r="C435" s="20">
        <v>2023</v>
      </c>
      <c r="D435" s="20">
        <v>10614</v>
      </c>
      <c r="E435" s="20" t="s">
        <v>1718</v>
      </c>
      <c r="F435" s="20" t="s">
        <v>1719</v>
      </c>
      <c r="G435" s="20" t="s">
        <v>1720</v>
      </c>
      <c r="H435" s="20" t="s">
        <v>1721</v>
      </c>
      <c r="I435" s="20" t="s">
        <v>23</v>
      </c>
      <c r="J435" s="21">
        <v>2000</v>
      </c>
      <c r="K435" s="20" t="s">
        <v>475</v>
      </c>
      <c r="L435" s="21" t="s">
        <v>30</v>
      </c>
      <c r="M435" s="21" t="s">
        <v>30</v>
      </c>
      <c r="N435" s="20"/>
      <c r="O435" s="20"/>
    </row>
    <row r="436" spans="1:15" ht="13.5" customHeight="1" x14ac:dyDescent="0.25">
      <c r="A436" s="1"/>
      <c r="B436" s="22">
        <v>424</v>
      </c>
      <c r="C436" s="22">
        <v>2023</v>
      </c>
      <c r="D436" s="22">
        <v>10596</v>
      </c>
      <c r="E436" s="22" t="s">
        <v>1722</v>
      </c>
      <c r="F436" s="22" t="s">
        <v>1723</v>
      </c>
      <c r="G436" s="22" t="s">
        <v>1724</v>
      </c>
      <c r="H436" s="22" t="s">
        <v>1725</v>
      </c>
      <c r="I436" s="22" t="s">
        <v>23</v>
      </c>
      <c r="J436" s="23">
        <v>2000</v>
      </c>
      <c r="K436" s="22" t="s">
        <v>95</v>
      </c>
      <c r="L436" s="23" t="s">
        <v>30</v>
      </c>
      <c r="M436" s="23" t="s">
        <v>30</v>
      </c>
      <c r="N436" s="22"/>
      <c r="O436" s="22"/>
    </row>
    <row r="437" spans="1:15" ht="13.5" customHeight="1" x14ac:dyDescent="0.25">
      <c r="A437" s="1"/>
      <c r="B437" s="20">
        <v>425</v>
      </c>
      <c r="C437" s="20">
        <v>2023</v>
      </c>
      <c r="D437" s="20">
        <v>10287</v>
      </c>
      <c r="E437" s="20" t="s">
        <v>1726</v>
      </c>
      <c r="F437" s="20" t="s">
        <v>1727</v>
      </c>
      <c r="G437" s="20" t="s">
        <v>1728</v>
      </c>
      <c r="H437" s="20" t="s">
        <v>1729</v>
      </c>
      <c r="I437" s="20" t="s">
        <v>23</v>
      </c>
      <c r="J437" s="21">
        <v>2003</v>
      </c>
      <c r="K437" s="20" t="s">
        <v>29</v>
      </c>
      <c r="L437" s="21" t="s">
        <v>30</v>
      </c>
      <c r="M437" s="21" t="s">
        <v>30</v>
      </c>
      <c r="N437" s="20"/>
      <c r="O437" s="20"/>
    </row>
    <row r="438" spans="1:15" ht="13.5" customHeight="1" x14ac:dyDescent="0.25">
      <c r="A438" s="1"/>
      <c r="B438" s="22">
        <v>426</v>
      </c>
      <c r="C438" s="22">
        <v>2023</v>
      </c>
      <c r="D438" s="22">
        <v>11470</v>
      </c>
      <c r="E438" s="22" t="s">
        <v>1730</v>
      </c>
      <c r="F438" s="22" t="s">
        <v>1731</v>
      </c>
      <c r="G438" s="22" t="s">
        <v>1732</v>
      </c>
      <c r="H438" s="22" t="s">
        <v>1733</v>
      </c>
      <c r="I438" s="22" t="s">
        <v>62</v>
      </c>
      <c r="J438" s="23">
        <v>2006</v>
      </c>
      <c r="K438" s="22" t="s">
        <v>44</v>
      </c>
      <c r="L438" s="23" t="s">
        <v>30</v>
      </c>
      <c r="M438" s="23" t="s">
        <v>30</v>
      </c>
      <c r="N438" s="22"/>
      <c r="O438" s="22"/>
    </row>
    <row r="439" spans="1:15" ht="13.5" customHeight="1" x14ac:dyDescent="0.25">
      <c r="A439" s="1"/>
      <c r="B439" s="20">
        <v>427</v>
      </c>
      <c r="C439" s="20">
        <v>2023</v>
      </c>
      <c r="D439" s="20">
        <v>10598</v>
      </c>
      <c r="E439" s="20" t="s">
        <v>1734</v>
      </c>
      <c r="F439" s="20" t="s">
        <v>1735</v>
      </c>
      <c r="G439" s="20" t="s">
        <v>1736</v>
      </c>
      <c r="H439" s="20" t="s">
        <v>1737</v>
      </c>
      <c r="I439" s="20" t="s">
        <v>23</v>
      </c>
      <c r="J439" s="21">
        <v>2000</v>
      </c>
      <c r="K439" s="20" t="s">
        <v>44</v>
      </c>
      <c r="L439" s="21" t="s">
        <v>30</v>
      </c>
      <c r="M439" s="21" t="s">
        <v>30</v>
      </c>
      <c r="N439" s="20"/>
      <c r="O439" s="20"/>
    </row>
    <row r="440" spans="1:15" ht="13.5" customHeight="1" x14ac:dyDescent="0.25">
      <c r="A440" s="1"/>
      <c r="B440" s="22">
        <v>428</v>
      </c>
      <c r="C440" s="22">
        <v>2023</v>
      </c>
      <c r="D440" s="22">
        <v>466</v>
      </c>
      <c r="E440" s="22" t="s">
        <v>1738</v>
      </c>
      <c r="F440" s="22" t="s">
        <v>1739</v>
      </c>
      <c r="G440" s="22" t="s">
        <v>1740</v>
      </c>
      <c r="H440" s="22" t="s">
        <v>1741</v>
      </c>
      <c r="I440" s="22" t="s">
        <v>23</v>
      </c>
      <c r="J440" s="23">
        <v>2000</v>
      </c>
      <c r="K440" s="22" t="s">
        <v>67</v>
      </c>
      <c r="L440" s="23" t="s">
        <v>30</v>
      </c>
      <c r="M440" s="23" t="s">
        <v>30</v>
      </c>
      <c r="N440" s="22"/>
      <c r="O440" s="22"/>
    </row>
    <row r="441" spans="1:15" ht="13.5" customHeight="1" x14ac:dyDescent="0.25">
      <c r="A441" s="1"/>
      <c r="B441" s="20">
        <v>429</v>
      </c>
      <c r="C441" s="20">
        <v>2023</v>
      </c>
      <c r="D441" s="20">
        <v>40315</v>
      </c>
      <c r="E441" s="20" t="s">
        <v>1742</v>
      </c>
      <c r="F441" s="20" t="s">
        <v>1743</v>
      </c>
      <c r="G441" s="20" t="s">
        <v>1744</v>
      </c>
      <c r="H441" s="20" t="s">
        <v>1745</v>
      </c>
      <c r="I441" s="20" t="s">
        <v>23</v>
      </c>
      <c r="J441" s="21">
        <v>2001</v>
      </c>
      <c r="K441" s="20" t="s">
        <v>44</v>
      </c>
      <c r="L441" s="21" t="s">
        <v>30</v>
      </c>
      <c r="M441" s="21"/>
      <c r="N441" s="20" t="s">
        <v>101</v>
      </c>
      <c r="O441" s="20"/>
    </row>
    <row r="442" spans="1:15" ht="13.5" customHeight="1" x14ac:dyDescent="0.25">
      <c r="A442" s="1"/>
      <c r="B442" s="22">
        <v>430</v>
      </c>
      <c r="C442" s="22">
        <v>2023</v>
      </c>
      <c r="D442" s="22">
        <v>10589</v>
      </c>
      <c r="E442" s="22" t="s">
        <v>1746</v>
      </c>
      <c r="F442" s="22" t="s">
        <v>1747</v>
      </c>
      <c r="G442" s="22" t="s">
        <v>1748</v>
      </c>
      <c r="H442" s="22" t="s">
        <v>1749</v>
      </c>
      <c r="I442" s="22" t="s">
        <v>23</v>
      </c>
      <c r="J442" s="23">
        <v>2000</v>
      </c>
      <c r="K442" s="22" t="s">
        <v>44</v>
      </c>
      <c r="L442" s="23" t="s">
        <v>30</v>
      </c>
      <c r="M442" s="23" t="s">
        <v>30</v>
      </c>
      <c r="N442" s="22"/>
      <c r="O442" s="22"/>
    </row>
    <row r="443" spans="1:15" ht="13.5" customHeight="1" x14ac:dyDescent="0.25">
      <c r="A443" s="1"/>
      <c r="B443" s="20">
        <v>431</v>
      </c>
      <c r="C443" s="20">
        <v>2023</v>
      </c>
      <c r="D443" s="20">
        <v>40571</v>
      </c>
      <c r="E443" s="20" t="s">
        <v>1750</v>
      </c>
      <c r="F443" s="20" t="s">
        <v>1751</v>
      </c>
      <c r="G443" s="20" t="s">
        <v>1752</v>
      </c>
      <c r="H443" s="20" t="s">
        <v>1753</v>
      </c>
      <c r="I443" s="20" t="s">
        <v>23</v>
      </c>
      <c r="J443" s="21">
        <v>2014</v>
      </c>
      <c r="K443" s="20" t="s">
        <v>67</v>
      </c>
      <c r="L443" s="21" t="s">
        <v>30</v>
      </c>
      <c r="M443" s="21"/>
      <c r="N443" s="20" t="s">
        <v>381</v>
      </c>
      <c r="O443" s="20"/>
    </row>
    <row r="444" spans="1:15" ht="13.5" customHeight="1" x14ac:dyDescent="0.25">
      <c r="A444" s="1"/>
      <c r="B444" s="22">
        <v>432</v>
      </c>
      <c r="C444" s="22">
        <v>2023</v>
      </c>
      <c r="D444" s="22">
        <v>180</v>
      </c>
      <c r="E444" s="22" t="s">
        <v>1754</v>
      </c>
      <c r="F444" s="22" t="s">
        <v>1755</v>
      </c>
      <c r="G444" s="22" t="s">
        <v>1756</v>
      </c>
      <c r="H444" s="22" t="s">
        <v>1757</v>
      </c>
      <c r="I444" s="22" t="s">
        <v>23</v>
      </c>
      <c r="J444" s="23">
        <v>2000</v>
      </c>
      <c r="K444" s="22" t="s">
        <v>44</v>
      </c>
      <c r="L444" s="23" t="s">
        <v>30</v>
      </c>
      <c r="M444" s="23" t="s">
        <v>30</v>
      </c>
      <c r="N444" s="22"/>
      <c r="O444" s="22"/>
    </row>
    <row r="445" spans="1:15" ht="13.5" customHeight="1" x14ac:dyDescent="0.25">
      <c r="A445" s="1"/>
      <c r="B445" s="20">
        <v>433</v>
      </c>
      <c r="C445" s="20">
        <v>2023</v>
      </c>
      <c r="D445" s="20">
        <v>10606</v>
      </c>
      <c r="E445" s="20" t="s">
        <v>1758</v>
      </c>
      <c r="F445" s="20" t="s">
        <v>1759</v>
      </c>
      <c r="G445" s="20" t="s">
        <v>1760</v>
      </c>
      <c r="H445" s="20" t="s">
        <v>1761</v>
      </c>
      <c r="I445" s="20" t="s">
        <v>23</v>
      </c>
      <c r="J445" s="21">
        <v>2000</v>
      </c>
      <c r="K445" s="20" t="s">
        <v>114</v>
      </c>
      <c r="L445" s="21" t="s">
        <v>30</v>
      </c>
      <c r="M445" s="21" t="s">
        <v>30</v>
      </c>
      <c r="N445" s="20"/>
      <c r="O445" s="20"/>
    </row>
    <row r="446" spans="1:15" ht="13.5" customHeight="1" x14ac:dyDescent="0.25">
      <c r="A446" s="1"/>
      <c r="B446" s="22">
        <v>434</v>
      </c>
      <c r="C446" s="22">
        <v>2023</v>
      </c>
      <c r="D446" s="22">
        <v>607</v>
      </c>
      <c r="E446" s="22" t="s">
        <v>1762</v>
      </c>
      <c r="F446" s="22" t="s">
        <v>1763</v>
      </c>
      <c r="G446" s="22" t="s">
        <v>1764</v>
      </c>
      <c r="H446" s="22" t="s">
        <v>1765</v>
      </c>
      <c r="I446" s="22" t="s">
        <v>23</v>
      </c>
      <c r="J446" s="23">
        <v>2000</v>
      </c>
      <c r="K446" s="22" t="s">
        <v>114</v>
      </c>
      <c r="L446" s="23" t="s">
        <v>30</v>
      </c>
      <c r="M446" s="23" t="s">
        <v>30</v>
      </c>
      <c r="N446" s="22"/>
      <c r="O446" s="22"/>
    </row>
    <row r="447" spans="1:15" ht="13.5" customHeight="1" x14ac:dyDescent="0.25">
      <c r="A447" s="1"/>
      <c r="B447" s="20">
        <v>435</v>
      </c>
      <c r="C447" s="20">
        <v>2023</v>
      </c>
      <c r="D447" s="20">
        <v>10592</v>
      </c>
      <c r="E447" s="20" t="s">
        <v>1766</v>
      </c>
      <c r="F447" s="20" t="s">
        <v>1767</v>
      </c>
      <c r="G447" s="20" t="s">
        <v>1768</v>
      </c>
      <c r="H447" s="20" t="s">
        <v>1769</v>
      </c>
      <c r="I447" s="20" t="s">
        <v>23</v>
      </c>
      <c r="J447" s="21">
        <v>2000</v>
      </c>
      <c r="K447" s="20" t="s">
        <v>34</v>
      </c>
      <c r="L447" s="21" t="s">
        <v>30</v>
      </c>
      <c r="M447" s="21" t="s">
        <v>30</v>
      </c>
      <c r="N447" s="20"/>
      <c r="O447" s="20"/>
    </row>
    <row r="448" spans="1:15" ht="13.5" customHeight="1" x14ac:dyDescent="0.25">
      <c r="A448" s="1"/>
      <c r="B448" s="22">
        <v>436</v>
      </c>
      <c r="C448" s="22">
        <v>2023</v>
      </c>
      <c r="D448" s="22">
        <v>12686</v>
      </c>
      <c r="E448" s="22" t="s">
        <v>1770</v>
      </c>
      <c r="F448" s="22" t="s">
        <v>1771</v>
      </c>
      <c r="G448" s="22"/>
      <c r="H448" s="22" t="s">
        <v>1772</v>
      </c>
      <c r="I448" s="22" t="s">
        <v>23</v>
      </c>
      <c r="J448" s="23">
        <v>2009</v>
      </c>
      <c r="K448" s="22" t="s">
        <v>34</v>
      </c>
      <c r="L448" s="23"/>
      <c r="M448" s="23" t="s">
        <v>30</v>
      </c>
      <c r="N448" s="22" t="s">
        <v>1103</v>
      </c>
      <c r="O448" s="22"/>
    </row>
    <row r="449" spans="1:15" ht="13.5" customHeight="1" x14ac:dyDescent="0.25">
      <c r="A449" s="1"/>
      <c r="B449" s="20">
        <v>437</v>
      </c>
      <c r="C449" s="20">
        <v>2023</v>
      </c>
      <c r="D449" s="20">
        <v>10602</v>
      </c>
      <c r="E449" s="20" t="s">
        <v>1773</v>
      </c>
      <c r="F449" s="20" t="s">
        <v>1774</v>
      </c>
      <c r="G449" s="20" t="s">
        <v>1775</v>
      </c>
      <c r="H449" s="20" t="s">
        <v>1776</v>
      </c>
      <c r="I449" s="20" t="s">
        <v>23</v>
      </c>
      <c r="J449" s="21">
        <v>2000</v>
      </c>
      <c r="K449" s="20" t="s">
        <v>1475</v>
      </c>
      <c r="L449" s="21" t="s">
        <v>30</v>
      </c>
      <c r="M449" s="21" t="s">
        <v>30</v>
      </c>
      <c r="N449" s="20"/>
      <c r="O449" s="20"/>
    </row>
    <row r="450" spans="1:15" ht="13.5" customHeight="1" x14ac:dyDescent="0.25">
      <c r="A450" s="1"/>
      <c r="B450" s="22">
        <v>438</v>
      </c>
      <c r="C450" s="22">
        <v>2023</v>
      </c>
      <c r="D450" s="22">
        <v>10601</v>
      </c>
      <c r="E450" s="22" t="s">
        <v>1777</v>
      </c>
      <c r="F450" s="22" t="s">
        <v>1778</v>
      </c>
      <c r="G450" s="22" t="s">
        <v>1779</v>
      </c>
      <c r="H450" s="22" t="s">
        <v>1780</v>
      </c>
      <c r="I450" s="22" t="s">
        <v>23</v>
      </c>
      <c r="J450" s="23">
        <v>2000</v>
      </c>
      <c r="K450" s="22" t="s">
        <v>114</v>
      </c>
      <c r="L450" s="23" t="s">
        <v>30</v>
      </c>
      <c r="M450" s="23" t="s">
        <v>30</v>
      </c>
      <c r="N450" s="22"/>
      <c r="O450" s="22"/>
    </row>
    <row r="451" spans="1:15" ht="13.5" customHeight="1" x14ac:dyDescent="0.25">
      <c r="A451" s="1"/>
      <c r="B451" s="20">
        <v>439</v>
      </c>
      <c r="C451" s="20">
        <v>2023</v>
      </c>
      <c r="D451" s="20">
        <v>41693</v>
      </c>
      <c r="E451" s="20" t="s">
        <v>1781</v>
      </c>
      <c r="F451" s="20" t="s">
        <v>1782</v>
      </c>
      <c r="G451" s="20" t="s">
        <v>1783</v>
      </c>
      <c r="H451" s="20" t="s">
        <v>1784</v>
      </c>
      <c r="I451" s="20" t="s">
        <v>23</v>
      </c>
      <c r="J451" s="21">
        <v>2017</v>
      </c>
      <c r="K451" s="20" t="s">
        <v>67</v>
      </c>
      <c r="L451" s="21" t="s">
        <v>30</v>
      </c>
      <c r="M451" s="21"/>
      <c r="N451" s="20" t="s">
        <v>265</v>
      </c>
      <c r="O451" s="20"/>
    </row>
    <row r="452" spans="1:15" ht="13.5" customHeight="1" x14ac:dyDescent="0.25">
      <c r="A452" s="1"/>
      <c r="B452" s="22">
        <v>440</v>
      </c>
      <c r="C452" s="22">
        <v>2023</v>
      </c>
      <c r="D452" s="22">
        <v>365</v>
      </c>
      <c r="E452" s="22" t="s">
        <v>1785</v>
      </c>
      <c r="F452" s="22" t="s">
        <v>1786</v>
      </c>
      <c r="G452" s="22" t="s">
        <v>1787</v>
      </c>
      <c r="H452" s="22" t="s">
        <v>1788</v>
      </c>
      <c r="I452" s="22" t="s">
        <v>23</v>
      </c>
      <c r="J452" s="23">
        <v>2000</v>
      </c>
      <c r="K452" s="22" t="s">
        <v>44</v>
      </c>
      <c r="L452" s="23" t="s">
        <v>30</v>
      </c>
      <c r="M452" s="23" t="s">
        <v>30</v>
      </c>
      <c r="N452" s="22"/>
      <c r="O452" s="22"/>
    </row>
    <row r="453" spans="1:15" ht="13.5" customHeight="1" x14ac:dyDescent="0.25">
      <c r="A453" s="1"/>
      <c r="B453" s="20">
        <v>441</v>
      </c>
      <c r="C453" s="20">
        <v>2023</v>
      </c>
      <c r="D453" s="20">
        <v>10591</v>
      </c>
      <c r="E453" s="20" t="s">
        <v>1789</v>
      </c>
      <c r="F453" s="20" t="s">
        <v>1790</v>
      </c>
      <c r="G453" s="20" t="s">
        <v>1791</v>
      </c>
      <c r="H453" s="20" t="s">
        <v>1792</v>
      </c>
      <c r="I453" s="20" t="s">
        <v>23</v>
      </c>
      <c r="J453" s="21">
        <v>2000</v>
      </c>
      <c r="K453" s="20" t="s">
        <v>203</v>
      </c>
      <c r="L453" s="21" t="s">
        <v>30</v>
      </c>
      <c r="M453" s="21" t="s">
        <v>30</v>
      </c>
      <c r="N453" s="20"/>
      <c r="O453" s="20"/>
    </row>
    <row r="454" spans="1:15" ht="13.5" customHeight="1" x14ac:dyDescent="0.25">
      <c r="A454" s="1"/>
      <c r="B454" s="22">
        <v>442</v>
      </c>
      <c r="C454" s="22">
        <v>2023</v>
      </c>
      <c r="D454" s="22">
        <v>11562</v>
      </c>
      <c r="E454" s="22" t="s">
        <v>1793</v>
      </c>
      <c r="F454" s="22" t="s">
        <v>1794</v>
      </c>
      <c r="G454" s="22" t="s">
        <v>1795</v>
      </c>
      <c r="H454" s="22" t="s">
        <v>1796</v>
      </c>
      <c r="I454" s="22" t="s">
        <v>23</v>
      </c>
      <c r="J454" s="23">
        <v>2007</v>
      </c>
      <c r="K454" s="22" t="s">
        <v>184</v>
      </c>
      <c r="L454" s="23" t="s">
        <v>30</v>
      </c>
      <c r="M454" s="23" t="s">
        <v>30</v>
      </c>
      <c r="N454" s="22" t="s">
        <v>245</v>
      </c>
      <c r="O454" s="22"/>
    </row>
    <row r="455" spans="1:15" ht="13.5" customHeight="1" x14ac:dyDescent="0.25">
      <c r="A455" s="1"/>
      <c r="B455" s="20">
        <v>443</v>
      </c>
      <c r="C455" s="20">
        <v>2023</v>
      </c>
      <c r="D455" s="20">
        <v>12397</v>
      </c>
      <c r="E455" s="20" t="s">
        <v>1797</v>
      </c>
      <c r="F455" s="20" t="s">
        <v>1798</v>
      </c>
      <c r="G455" s="20" t="s">
        <v>1799</v>
      </c>
      <c r="H455" s="20" t="s">
        <v>1800</v>
      </c>
      <c r="I455" s="20" t="s">
        <v>23</v>
      </c>
      <c r="J455" s="21">
        <v>2000</v>
      </c>
      <c r="K455" s="20" t="s">
        <v>184</v>
      </c>
      <c r="L455" s="21" t="s">
        <v>30</v>
      </c>
      <c r="M455" s="21"/>
      <c r="N455" s="20" t="s">
        <v>431</v>
      </c>
      <c r="O455" s="20"/>
    </row>
    <row r="456" spans="1:15" ht="13.5" customHeight="1" x14ac:dyDescent="0.25">
      <c r="A456" s="1"/>
      <c r="B456" s="22">
        <v>444</v>
      </c>
      <c r="C456" s="22">
        <v>2023</v>
      </c>
      <c r="D456" s="22">
        <v>12259</v>
      </c>
      <c r="E456" s="22" t="s">
        <v>1801</v>
      </c>
      <c r="F456" s="22" t="s">
        <v>1802</v>
      </c>
      <c r="G456" s="22" t="s">
        <v>1803</v>
      </c>
      <c r="H456" s="22" t="s">
        <v>1804</v>
      </c>
      <c r="I456" s="22" t="s">
        <v>62</v>
      </c>
      <c r="J456" s="23">
        <v>2008</v>
      </c>
      <c r="K456" s="22" t="s">
        <v>34</v>
      </c>
      <c r="L456" s="23" t="s">
        <v>30</v>
      </c>
      <c r="M456" s="23" t="s">
        <v>30</v>
      </c>
      <c r="N456" s="22" t="s">
        <v>352</v>
      </c>
      <c r="O456" s="22"/>
    </row>
    <row r="457" spans="1:15" ht="13.5" customHeight="1" x14ac:dyDescent="0.25">
      <c r="A457" s="1"/>
      <c r="B457" s="20">
        <v>445</v>
      </c>
      <c r="C457" s="20">
        <v>2023</v>
      </c>
      <c r="D457" s="20">
        <v>40688</v>
      </c>
      <c r="E457" s="20" t="s">
        <v>1805</v>
      </c>
      <c r="F457" s="20" t="s">
        <v>1806</v>
      </c>
      <c r="G457" s="20" t="s">
        <v>1807</v>
      </c>
      <c r="H457" s="20" t="s">
        <v>1808</v>
      </c>
      <c r="I457" s="20" t="s">
        <v>23</v>
      </c>
      <c r="J457" s="21">
        <v>2000</v>
      </c>
      <c r="K457" s="20" t="s">
        <v>203</v>
      </c>
      <c r="L457" s="21" t="s">
        <v>30</v>
      </c>
      <c r="M457" s="21"/>
      <c r="N457" s="20" t="s">
        <v>53</v>
      </c>
      <c r="O457" s="20"/>
    </row>
    <row r="458" spans="1:15" ht="13.5" customHeight="1" x14ac:dyDescent="0.25">
      <c r="A458" s="1"/>
      <c r="B458" s="22">
        <v>446</v>
      </c>
      <c r="C458" s="22">
        <v>2023</v>
      </c>
      <c r="D458" s="22">
        <v>11007</v>
      </c>
      <c r="E458" s="22" t="s">
        <v>1809</v>
      </c>
      <c r="F458" s="22" t="s">
        <v>1810</v>
      </c>
      <c r="G458" s="22" t="s">
        <v>1811</v>
      </c>
      <c r="H458" s="22" t="s">
        <v>1812</v>
      </c>
      <c r="I458" s="22" t="s">
        <v>23</v>
      </c>
      <c r="J458" s="23">
        <v>2000</v>
      </c>
      <c r="K458" s="22" t="s">
        <v>73</v>
      </c>
      <c r="L458" s="23" t="s">
        <v>30</v>
      </c>
      <c r="M458" s="23" t="s">
        <v>30</v>
      </c>
      <c r="N458" s="22"/>
      <c r="O458" s="22"/>
    </row>
    <row r="459" spans="1:15" ht="13.5" customHeight="1" x14ac:dyDescent="0.25">
      <c r="A459" s="1"/>
      <c r="B459" s="20">
        <v>447</v>
      </c>
      <c r="C459" s="20">
        <v>2023</v>
      </c>
      <c r="D459" s="20">
        <v>161</v>
      </c>
      <c r="E459" s="20" t="s">
        <v>1813</v>
      </c>
      <c r="F459" s="20" t="s">
        <v>1814</v>
      </c>
      <c r="G459" s="20" t="s">
        <v>1815</v>
      </c>
      <c r="H459" s="20" t="s">
        <v>1816</v>
      </c>
      <c r="I459" s="20" t="s">
        <v>23</v>
      </c>
      <c r="J459" s="21">
        <v>2000</v>
      </c>
      <c r="K459" s="20" t="s">
        <v>63</v>
      </c>
      <c r="L459" s="21" t="s">
        <v>30</v>
      </c>
      <c r="M459" s="21" t="s">
        <v>30</v>
      </c>
      <c r="N459" s="20"/>
      <c r="O459" s="20"/>
    </row>
    <row r="460" spans="1:15" ht="13.5" customHeight="1" x14ac:dyDescent="0.25">
      <c r="A460" s="1"/>
      <c r="B460" s="22">
        <v>448</v>
      </c>
      <c r="C460" s="22">
        <v>2023</v>
      </c>
      <c r="D460" s="22">
        <v>410</v>
      </c>
      <c r="E460" s="22" t="s">
        <v>1817</v>
      </c>
      <c r="F460" s="22" t="s">
        <v>1818</v>
      </c>
      <c r="G460" s="22" t="s">
        <v>1819</v>
      </c>
      <c r="H460" s="22" t="s">
        <v>1820</v>
      </c>
      <c r="I460" s="22" t="s">
        <v>23</v>
      </c>
      <c r="J460" s="23">
        <v>2000</v>
      </c>
      <c r="K460" s="22" t="s">
        <v>95</v>
      </c>
      <c r="L460" s="23" t="s">
        <v>30</v>
      </c>
      <c r="M460" s="23" t="s">
        <v>30</v>
      </c>
      <c r="N460" s="22"/>
      <c r="O460" s="22"/>
    </row>
    <row r="461" spans="1:15" ht="13.5" customHeight="1" x14ac:dyDescent="0.25">
      <c r="A461" s="1"/>
      <c r="B461" s="20">
        <v>449</v>
      </c>
      <c r="C461" s="20">
        <v>2023</v>
      </c>
      <c r="D461" s="20">
        <v>11768</v>
      </c>
      <c r="E461" s="20" t="s">
        <v>1821</v>
      </c>
      <c r="F461" s="20" t="s">
        <v>1822</v>
      </c>
      <c r="G461" s="20" t="s">
        <v>1823</v>
      </c>
      <c r="H461" s="20" t="s">
        <v>1824</v>
      </c>
      <c r="I461" s="20" t="s">
        <v>1825</v>
      </c>
      <c r="J461" s="21">
        <v>2003</v>
      </c>
      <c r="K461" s="20" t="s">
        <v>67</v>
      </c>
      <c r="L461" s="21" t="s">
        <v>30</v>
      </c>
      <c r="M461" s="21" t="s">
        <v>30</v>
      </c>
      <c r="N461" s="20" t="s">
        <v>74</v>
      </c>
      <c r="O461" s="20"/>
    </row>
    <row r="462" spans="1:15" ht="13.5" customHeight="1" x14ac:dyDescent="0.25">
      <c r="A462" s="1"/>
      <c r="B462" s="22">
        <v>450</v>
      </c>
      <c r="C462" s="22">
        <v>2023</v>
      </c>
      <c r="D462" s="22">
        <v>12176</v>
      </c>
      <c r="E462" s="22" t="s">
        <v>1826</v>
      </c>
      <c r="F462" s="22" t="s">
        <v>1827</v>
      </c>
      <c r="G462" s="22" t="s">
        <v>1828</v>
      </c>
      <c r="H462" s="22" t="s">
        <v>1829</v>
      </c>
      <c r="I462" s="22" t="s">
        <v>1246</v>
      </c>
      <c r="J462" s="23">
        <v>2000</v>
      </c>
      <c r="K462" s="22" t="s">
        <v>29</v>
      </c>
      <c r="L462" s="23" t="s">
        <v>30</v>
      </c>
      <c r="M462" s="23" t="s">
        <v>30</v>
      </c>
      <c r="N462" s="22" t="s">
        <v>245</v>
      </c>
      <c r="O462" s="22"/>
    </row>
    <row r="463" spans="1:15" ht="13.5" customHeight="1" x14ac:dyDescent="0.25">
      <c r="A463" s="1"/>
      <c r="B463" s="20">
        <v>451</v>
      </c>
      <c r="C463" s="20">
        <v>2023</v>
      </c>
      <c r="D463" s="20">
        <v>338</v>
      </c>
      <c r="E463" s="20" t="s">
        <v>1830</v>
      </c>
      <c r="F463" s="20" t="s">
        <v>1831</v>
      </c>
      <c r="G463" s="20" t="s">
        <v>1832</v>
      </c>
      <c r="H463" s="20" t="s">
        <v>1833</v>
      </c>
      <c r="I463" s="20" t="s">
        <v>23</v>
      </c>
      <c r="J463" s="21">
        <v>2000</v>
      </c>
      <c r="K463" s="20" t="s">
        <v>34</v>
      </c>
      <c r="L463" s="21" t="s">
        <v>30</v>
      </c>
      <c r="M463" s="21" t="s">
        <v>30</v>
      </c>
      <c r="N463" s="20"/>
      <c r="O463" s="20"/>
    </row>
    <row r="464" spans="1:15" ht="13.5" customHeight="1" x14ac:dyDescent="0.25">
      <c r="A464" s="1"/>
      <c r="B464" s="22">
        <v>452</v>
      </c>
      <c r="C464" s="22">
        <v>2023</v>
      </c>
      <c r="D464" s="22">
        <v>41701</v>
      </c>
      <c r="E464" s="22" t="s">
        <v>1834</v>
      </c>
      <c r="F464" s="22" t="s">
        <v>1835</v>
      </c>
      <c r="G464" s="22" t="s">
        <v>1836</v>
      </c>
      <c r="H464" s="22" t="s">
        <v>1837</v>
      </c>
      <c r="I464" s="22" t="s">
        <v>23</v>
      </c>
      <c r="J464" s="23">
        <v>2017</v>
      </c>
      <c r="K464" s="22" t="s">
        <v>184</v>
      </c>
      <c r="L464" s="23" t="s">
        <v>30</v>
      </c>
      <c r="M464" s="23"/>
      <c r="N464" s="22" t="s">
        <v>265</v>
      </c>
      <c r="O464" s="22"/>
    </row>
    <row r="465" spans="1:15" ht="13.5" customHeight="1" x14ac:dyDescent="0.25">
      <c r="A465" s="1"/>
      <c r="B465" s="20">
        <v>453</v>
      </c>
      <c r="C465" s="20">
        <v>2023</v>
      </c>
      <c r="D465" s="20">
        <v>10604</v>
      </c>
      <c r="E465" s="20" t="s">
        <v>1838</v>
      </c>
      <c r="F465" s="20" t="s">
        <v>1839</v>
      </c>
      <c r="G465" s="20" t="s">
        <v>1840</v>
      </c>
      <c r="H465" s="20" t="s">
        <v>1841</v>
      </c>
      <c r="I465" s="20" t="s">
        <v>62</v>
      </c>
      <c r="J465" s="21">
        <v>2000</v>
      </c>
      <c r="K465" s="20" t="s">
        <v>63</v>
      </c>
      <c r="L465" s="21" t="s">
        <v>30</v>
      </c>
      <c r="M465" s="21" t="s">
        <v>30</v>
      </c>
      <c r="N465" s="20"/>
      <c r="O465" s="20"/>
    </row>
    <row r="466" spans="1:15" ht="13.5" customHeight="1" x14ac:dyDescent="0.25">
      <c r="A466" s="1"/>
      <c r="B466" s="22">
        <v>454</v>
      </c>
      <c r="C466" s="22">
        <v>2023</v>
      </c>
      <c r="D466" s="22">
        <v>10611</v>
      </c>
      <c r="E466" s="22" t="s">
        <v>1842</v>
      </c>
      <c r="F466" s="22" t="s">
        <v>1843</v>
      </c>
      <c r="G466" s="22" t="s">
        <v>1844</v>
      </c>
      <c r="H466" s="22" t="s">
        <v>1845</v>
      </c>
      <c r="I466" s="22" t="s">
        <v>23</v>
      </c>
      <c r="J466" s="23">
        <v>2000</v>
      </c>
      <c r="K466" s="22" t="s">
        <v>394</v>
      </c>
      <c r="L466" s="23" t="s">
        <v>30</v>
      </c>
      <c r="M466" s="23" t="s">
        <v>30</v>
      </c>
      <c r="N466" s="22"/>
      <c r="O466" s="22"/>
    </row>
    <row r="467" spans="1:15" ht="13.5" customHeight="1" x14ac:dyDescent="0.25">
      <c r="A467" s="1"/>
      <c r="B467" s="20">
        <v>455</v>
      </c>
      <c r="C467" s="20">
        <v>2023</v>
      </c>
      <c r="D467" s="20">
        <v>11572</v>
      </c>
      <c r="E467" s="20" t="s">
        <v>1846</v>
      </c>
      <c r="F467" s="20" t="s">
        <v>1847</v>
      </c>
      <c r="G467" s="20" t="s">
        <v>1848</v>
      </c>
      <c r="H467" s="20" t="s">
        <v>1849</v>
      </c>
      <c r="I467" s="20" t="s">
        <v>23</v>
      </c>
      <c r="J467" s="21">
        <v>2007</v>
      </c>
      <c r="K467" s="20" t="s">
        <v>394</v>
      </c>
      <c r="L467" s="21" t="s">
        <v>30</v>
      </c>
      <c r="M467" s="21" t="s">
        <v>30</v>
      </c>
      <c r="N467" s="20" t="s">
        <v>245</v>
      </c>
      <c r="O467" s="20"/>
    </row>
    <row r="468" spans="1:15" ht="13.5" customHeight="1" x14ac:dyDescent="0.25">
      <c r="A468" s="1"/>
      <c r="B468" s="22">
        <v>456</v>
      </c>
      <c r="C468" s="22">
        <v>2023</v>
      </c>
      <c r="D468" s="22">
        <v>10609</v>
      </c>
      <c r="E468" s="22" t="s">
        <v>1850</v>
      </c>
      <c r="F468" s="22" t="s">
        <v>1851</v>
      </c>
      <c r="G468" s="22" t="s">
        <v>1852</v>
      </c>
      <c r="H468" s="22" t="s">
        <v>1853</v>
      </c>
      <c r="I468" s="22" t="s">
        <v>23</v>
      </c>
      <c r="J468" s="23">
        <v>2000</v>
      </c>
      <c r="K468" s="22" t="s">
        <v>394</v>
      </c>
      <c r="L468" s="23" t="s">
        <v>30</v>
      </c>
      <c r="M468" s="23" t="s">
        <v>30</v>
      </c>
      <c r="N468" s="22"/>
      <c r="O468" s="22"/>
    </row>
    <row r="469" spans="1:15" ht="13.5" customHeight="1" x14ac:dyDescent="0.25">
      <c r="A469" s="1"/>
      <c r="B469" s="20">
        <v>457</v>
      </c>
      <c r="C469" s="20">
        <v>2023</v>
      </c>
      <c r="D469" s="20">
        <v>10612</v>
      </c>
      <c r="E469" s="20" t="s">
        <v>1854</v>
      </c>
      <c r="F469" s="20" t="s">
        <v>1855</v>
      </c>
      <c r="G469" s="20" t="s">
        <v>1856</v>
      </c>
      <c r="H469" s="20" t="s">
        <v>1857</v>
      </c>
      <c r="I469" s="20" t="s">
        <v>23</v>
      </c>
      <c r="J469" s="21">
        <v>2000</v>
      </c>
      <c r="K469" s="20" t="s">
        <v>394</v>
      </c>
      <c r="L469" s="21" t="s">
        <v>30</v>
      </c>
      <c r="M469" s="21" t="s">
        <v>30</v>
      </c>
      <c r="N469" s="20"/>
      <c r="O469" s="20"/>
    </row>
    <row r="470" spans="1:15" ht="13.5" customHeight="1" x14ac:dyDescent="0.25">
      <c r="A470" s="1"/>
      <c r="B470" s="22">
        <v>458</v>
      </c>
      <c r="C470" s="22">
        <v>2023</v>
      </c>
      <c r="D470" s="22">
        <v>12095</v>
      </c>
      <c r="E470" s="22" t="s">
        <v>1858</v>
      </c>
      <c r="F470" s="22" t="s">
        <v>1859</v>
      </c>
      <c r="G470" s="22"/>
      <c r="H470" s="22" t="s">
        <v>1860</v>
      </c>
      <c r="I470" s="22" t="s">
        <v>23</v>
      </c>
      <c r="J470" s="23">
        <v>2009</v>
      </c>
      <c r="K470" s="22" t="s">
        <v>114</v>
      </c>
      <c r="L470" s="23"/>
      <c r="M470" s="23" t="s">
        <v>30</v>
      </c>
      <c r="N470" s="22" t="s">
        <v>1103</v>
      </c>
      <c r="O470" s="22"/>
    </row>
    <row r="471" spans="1:15" ht="13.5" customHeight="1" x14ac:dyDescent="0.25">
      <c r="A471" s="1"/>
      <c r="B471" s="20">
        <v>459</v>
      </c>
      <c r="C471" s="20">
        <v>2023</v>
      </c>
      <c r="D471" s="20">
        <v>11445</v>
      </c>
      <c r="E471" s="20" t="s">
        <v>1861</v>
      </c>
      <c r="F471" s="20" t="s">
        <v>1862</v>
      </c>
      <c r="G471" s="20" t="s">
        <v>1863</v>
      </c>
      <c r="H471" s="20" t="s">
        <v>1864</v>
      </c>
      <c r="I471" s="20" t="s">
        <v>62</v>
      </c>
      <c r="J471" s="21">
        <v>2000</v>
      </c>
      <c r="K471" s="20" t="s">
        <v>63</v>
      </c>
      <c r="L471" s="21" t="s">
        <v>30</v>
      </c>
      <c r="M471" s="21" t="s">
        <v>30</v>
      </c>
      <c r="N471" s="20"/>
      <c r="O471" s="20"/>
    </row>
    <row r="472" spans="1:15" ht="13.5" customHeight="1" x14ac:dyDescent="0.25">
      <c r="A472" s="1"/>
      <c r="B472" s="22">
        <v>460</v>
      </c>
      <c r="C472" s="22">
        <v>2023</v>
      </c>
      <c r="D472" s="22">
        <v>40012</v>
      </c>
      <c r="E472" s="22" t="s">
        <v>1865</v>
      </c>
      <c r="F472" s="22" t="s">
        <v>1866</v>
      </c>
      <c r="G472" s="22" t="s">
        <v>1867</v>
      </c>
      <c r="H472" s="22" t="s">
        <v>1868</v>
      </c>
      <c r="I472" s="22" t="s">
        <v>23</v>
      </c>
      <c r="J472" s="23">
        <v>2013</v>
      </c>
      <c r="K472" s="22" t="s">
        <v>114</v>
      </c>
      <c r="L472" s="23" t="s">
        <v>30</v>
      </c>
      <c r="M472" s="23"/>
      <c r="N472" s="22" t="s">
        <v>260</v>
      </c>
      <c r="O472" s="22"/>
    </row>
    <row r="473" spans="1:15" ht="13.5" customHeight="1" x14ac:dyDescent="0.25">
      <c r="A473" s="1"/>
      <c r="B473" s="20">
        <v>461</v>
      </c>
      <c r="C473" s="20">
        <v>2023</v>
      </c>
      <c r="D473" s="20">
        <v>43638</v>
      </c>
      <c r="E473" s="20" t="s">
        <v>1869</v>
      </c>
      <c r="F473" s="20" t="s">
        <v>1870</v>
      </c>
      <c r="G473" s="20"/>
      <c r="H473" s="20" t="s">
        <v>1871</v>
      </c>
      <c r="I473" s="20" t="s">
        <v>23</v>
      </c>
      <c r="J473" s="21">
        <v>2020</v>
      </c>
      <c r="K473" s="20" t="s">
        <v>184</v>
      </c>
      <c r="L473" s="21"/>
      <c r="M473" s="21"/>
      <c r="N473" s="20" t="s">
        <v>48</v>
      </c>
      <c r="O473" s="20"/>
    </row>
    <row r="474" spans="1:15" ht="13.5" customHeight="1" x14ac:dyDescent="0.25">
      <c r="A474" s="1"/>
      <c r="B474" s="22">
        <v>462</v>
      </c>
      <c r="C474" s="22">
        <v>2023</v>
      </c>
      <c r="D474" s="22">
        <v>11422</v>
      </c>
      <c r="E474" s="22" t="s">
        <v>1872</v>
      </c>
      <c r="F474" s="22" t="s">
        <v>1873</v>
      </c>
      <c r="G474" s="22"/>
      <c r="H474" s="22" t="s">
        <v>1874</v>
      </c>
      <c r="I474" s="22" t="s">
        <v>23</v>
      </c>
      <c r="J474" s="23">
        <v>2006</v>
      </c>
      <c r="K474" s="22" t="s">
        <v>73</v>
      </c>
      <c r="L474" s="23"/>
      <c r="M474" s="23" t="s">
        <v>30</v>
      </c>
      <c r="N474" s="22"/>
      <c r="O474" s="22"/>
    </row>
    <row r="475" spans="1:15" ht="13.5" customHeight="1" x14ac:dyDescent="0.25">
      <c r="A475" s="1"/>
      <c r="B475" s="20">
        <v>463</v>
      </c>
      <c r="C475" s="20">
        <v>2023</v>
      </c>
      <c r="D475" s="20">
        <v>11013</v>
      </c>
      <c r="E475" s="20" t="s">
        <v>1875</v>
      </c>
      <c r="F475" s="20" t="s">
        <v>1876</v>
      </c>
      <c r="G475" s="20" t="s">
        <v>1877</v>
      </c>
      <c r="H475" s="20" t="s">
        <v>1878</v>
      </c>
      <c r="I475" s="20" t="s">
        <v>23</v>
      </c>
      <c r="J475" s="21">
        <v>2000</v>
      </c>
      <c r="K475" s="20" t="s">
        <v>184</v>
      </c>
      <c r="L475" s="21" t="s">
        <v>30</v>
      </c>
      <c r="M475" s="21" t="s">
        <v>30</v>
      </c>
      <c r="N475" s="20"/>
      <c r="O475" s="20"/>
    </row>
    <row r="476" spans="1:15" ht="13.5" customHeight="1" x14ac:dyDescent="0.25">
      <c r="A476" s="1"/>
      <c r="B476" s="22">
        <v>464</v>
      </c>
      <c r="C476" s="22">
        <v>2023</v>
      </c>
      <c r="D476" s="22">
        <v>40429</v>
      </c>
      <c r="E476" s="22" t="s">
        <v>1879</v>
      </c>
      <c r="F476" s="22" t="s">
        <v>1880</v>
      </c>
      <c r="G476" s="22"/>
      <c r="H476" s="22" t="s">
        <v>1881</v>
      </c>
      <c r="I476" s="22" t="s">
        <v>23</v>
      </c>
      <c r="J476" s="23">
        <v>2014</v>
      </c>
      <c r="K476" s="22" t="s">
        <v>39</v>
      </c>
      <c r="L476" s="23"/>
      <c r="M476" s="23"/>
      <c r="N476" s="22" t="s">
        <v>381</v>
      </c>
      <c r="O476" s="22"/>
    </row>
    <row r="477" spans="1:15" ht="13.5" customHeight="1" x14ac:dyDescent="0.25">
      <c r="A477" s="1"/>
      <c r="B477" s="20">
        <v>465</v>
      </c>
      <c r="C477" s="20">
        <v>2023</v>
      </c>
      <c r="D477" s="20">
        <v>11882</v>
      </c>
      <c r="E477" s="20" t="s">
        <v>1882</v>
      </c>
      <c r="F477" s="20" t="s">
        <v>1883</v>
      </c>
      <c r="G477" s="20"/>
      <c r="H477" s="20" t="s">
        <v>1884</v>
      </c>
      <c r="I477" s="20" t="s">
        <v>23</v>
      </c>
      <c r="J477" s="21">
        <v>2001</v>
      </c>
      <c r="K477" s="20" t="s">
        <v>39</v>
      </c>
      <c r="L477" s="21"/>
      <c r="M477" s="21" t="s">
        <v>30</v>
      </c>
      <c r="N477" s="20" t="s">
        <v>35</v>
      </c>
      <c r="O477" s="20"/>
    </row>
    <row r="478" spans="1:15" ht="13.5" customHeight="1" x14ac:dyDescent="0.25">
      <c r="A478" s="1"/>
      <c r="B478" s="22">
        <v>466</v>
      </c>
      <c r="C478" s="22">
        <v>2023</v>
      </c>
      <c r="D478" s="22">
        <v>40140</v>
      </c>
      <c r="E478" s="22" t="s">
        <v>1885</v>
      </c>
      <c r="F478" s="22" t="s">
        <v>1886</v>
      </c>
      <c r="G478" s="22"/>
      <c r="H478" s="22" t="s">
        <v>1887</v>
      </c>
      <c r="I478" s="22" t="s">
        <v>23</v>
      </c>
      <c r="J478" s="23">
        <v>2013</v>
      </c>
      <c r="K478" s="22" t="s">
        <v>39</v>
      </c>
      <c r="L478" s="23"/>
      <c r="M478" s="23"/>
      <c r="N478" s="22" t="s">
        <v>260</v>
      </c>
      <c r="O478" s="22"/>
    </row>
    <row r="479" spans="1:15" ht="13.5" customHeight="1" x14ac:dyDescent="0.25">
      <c r="A479" s="1"/>
      <c r="B479" s="20">
        <v>467</v>
      </c>
      <c r="C479" s="20">
        <v>2023</v>
      </c>
      <c r="D479" s="20">
        <v>11883</v>
      </c>
      <c r="E479" s="20" t="s">
        <v>1888</v>
      </c>
      <c r="F479" s="20" t="s">
        <v>1889</v>
      </c>
      <c r="G479" s="20"/>
      <c r="H479" s="20" t="s">
        <v>1890</v>
      </c>
      <c r="I479" s="20" t="s">
        <v>23</v>
      </c>
      <c r="J479" s="21">
        <v>2000</v>
      </c>
      <c r="K479" s="20" t="s">
        <v>39</v>
      </c>
      <c r="L479" s="21"/>
      <c r="M479" s="21" t="s">
        <v>30</v>
      </c>
      <c r="N479" s="20" t="s">
        <v>35</v>
      </c>
      <c r="O479" s="20"/>
    </row>
    <row r="480" spans="1:15" ht="13.5" customHeight="1" x14ac:dyDescent="0.25">
      <c r="A480" s="1"/>
      <c r="B480" s="22">
        <v>468</v>
      </c>
      <c r="C480" s="22">
        <v>2023</v>
      </c>
      <c r="D480" s="22">
        <v>40473</v>
      </c>
      <c r="E480" s="22" t="s">
        <v>1891</v>
      </c>
      <c r="F480" s="22" t="s">
        <v>1892</v>
      </c>
      <c r="G480" s="22"/>
      <c r="H480" s="22" t="s">
        <v>1893</v>
      </c>
      <c r="I480" s="22" t="s">
        <v>23</v>
      </c>
      <c r="J480" s="23">
        <v>2014</v>
      </c>
      <c r="K480" s="22" t="s">
        <v>39</v>
      </c>
      <c r="L480" s="23"/>
      <c r="M480" s="23"/>
      <c r="N480" s="22" t="s">
        <v>381</v>
      </c>
      <c r="O480" s="22"/>
    </row>
    <row r="481" spans="1:15" ht="13.5" customHeight="1" x14ac:dyDescent="0.25">
      <c r="A481" s="1"/>
      <c r="B481" s="20">
        <v>469</v>
      </c>
      <c r="C481" s="20">
        <v>2023</v>
      </c>
      <c r="D481" s="20">
        <v>11884</v>
      </c>
      <c r="E481" s="20" t="s">
        <v>1894</v>
      </c>
      <c r="F481" s="20" t="s">
        <v>1895</v>
      </c>
      <c r="G481" s="20"/>
      <c r="H481" s="20" t="s">
        <v>1896</v>
      </c>
      <c r="I481" s="20" t="s">
        <v>23</v>
      </c>
      <c r="J481" s="21">
        <v>2006</v>
      </c>
      <c r="K481" s="20" t="s">
        <v>39</v>
      </c>
      <c r="L481" s="21"/>
      <c r="M481" s="21" t="s">
        <v>30</v>
      </c>
      <c r="N481" s="20" t="s">
        <v>35</v>
      </c>
      <c r="O481" s="20"/>
    </row>
    <row r="482" spans="1:15" ht="13.5" customHeight="1" x14ac:dyDescent="0.25">
      <c r="A482" s="1"/>
      <c r="B482" s="22">
        <v>470</v>
      </c>
      <c r="C482" s="22">
        <v>2023</v>
      </c>
      <c r="D482" s="22">
        <v>12609</v>
      </c>
      <c r="E482" s="22" t="s">
        <v>1897</v>
      </c>
      <c r="F482" s="22" t="s">
        <v>1898</v>
      </c>
      <c r="G482" s="22"/>
      <c r="H482" s="22" t="s">
        <v>1899</v>
      </c>
      <c r="I482" s="22" t="s">
        <v>23</v>
      </c>
      <c r="J482" s="23">
        <v>2009</v>
      </c>
      <c r="K482" s="22" t="s">
        <v>39</v>
      </c>
      <c r="L482" s="23"/>
      <c r="M482" s="23" t="s">
        <v>30</v>
      </c>
      <c r="N482" s="22" t="s">
        <v>1103</v>
      </c>
      <c r="O482" s="22"/>
    </row>
    <row r="483" spans="1:15" ht="13.5" customHeight="1" x14ac:dyDescent="0.25">
      <c r="A483" s="1"/>
      <c r="B483" s="20">
        <v>471</v>
      </c>
      <c r="C483" s="20">
        <v>2023</v>
      </c>
      <c r="D483" s="20">
        <v>11886</v>
      </c>
      <c r="E483" s="20" t="s">
        <v>1900</v>
      </c>
      <c r="F483" s="20" t="s">
        <v>1901</v>
      </c>
      <c r="G483" s="20"/>
      <c r="H483" s="20" t="s">
        <v>1902</v>
      </c>
      <c r="I483" s="20" t="s">
        <v>23</v>
      </c>
      <c r="J483" s="21">
        <v>2000</v>
      </c>
      <c r="K483" s="20" t="s">
        <v>39</v>
      </c>
      <c r="L483" s="21"/>
      <c r="M483" s="21" t="s">
        <v>30</v>
      </c>
      <c r="N483" s="20" t="s">
        <v>35</v>
      </c>
      <c r="O483" s="20"/>
    </row>
    <row r="484" spans="1:15" ht="13.5" customHeight="1" x14ac:dyDescent="0.25">
      <c r="A484" s="1"/>
      <c r="B484" s="22">
        <v>472</v>
      </c>
      <c r="C484" s="22">
        <v>2023</v>
      </c>
      <c r="D484" s="22">
        <v>12410</v>
      </c>
      <c r="E484" s="22" t="s">
        <v>1903</v>
      </c>
      <c r="F484" s="22" t="s">
        <v>1904</v>
      </c>
      <c r="G484" s="22"/>
      <c r="H484" s="22" t="s">
        <v>1905</v>
      </c>
      <c r="I484" s="22" t="s">
        <v>23</v>
      </c>
      <c r="J484" s="23">
        <v>2008</v>
      </c>
      <c r="K484" s="22" t="s">
        <v>39</v>
      </c>
      <c r="L484" s="23"/>
      <c r="M484" s="23" t="s">
        <v>30</v>
      </c>
      <c r="N484" s="22" t="s">
        <v>352</v>
      </c>
      <c r="O484" s="22"/>
    </row>
    <row r="485" spans="1:15" ht="13.5" customHeight="1" x14ac:dyDescent="0.25">
      <c r="A485" s="1"/>
      <c r="B485" s="20">
        <v>473</v>
      </c>
      <c r="C485" s="20">
        <v>2023</v>
      </c>
      <c r="D485" s="20">
        <v>12170</v>
      </c>
      <c r="E485" s="20" t="s">
        <v>1906</v>
      </c>
      <c r="F485" s="20" t="s">
        <v>1907</v>
      </c>
      <c r="G485" s="20"/>
      <c r="H485" s="20" t="s">
        <v>1908</v>
      </c>
      <c r="I485" s="20" t="s">
        <v>23</v>
      </c>
      <c r="J485" s="21">
        <v>2007</v>
      </c>
      <c r="K485" s="20" t="s">
        <v>39</v>
      </c>
      <c r="L485" s="21"/>
      <c r="M485" s="21" t="s">
        <v>30</v>
      </c>
      <c r="N485" s="20" t="s">
        <v>35</v>
      </c>
      <c r="O485" s="20"/>
    </row>
    <row r="486" spans="1:15" ht="13.5" customHeight="1" x14ac:dyDescent="0.25">
      <c r="A486" s="1"/>
      <c r="B486" s="22">
        <v>474</v>
      </c>
      <c r="C486" s="22">
        <v>2023</v>
      </c>
      <c r="D486" s="22">
        <v>40641</v>
      </c>
      <c r="E486" s="22" t="s">
        <v>1909</v>
      </c>
      <c r="F486" s="22" t="s">
        <v>1910</v>
      </c>
      <c r="G486" s="22"/>
      <c r="H486" s="22" t="s">
        <v>1911</v>
      </c>
      <c r="I486" s="22" t="s">
        <v>23</v>
      </c>
      <c r="J486" s="23">
        <v>2015</v>
      </c>
      <c r="K486" s="22" t="s">
        <v>95</v>
      </c>
      <c r="L486" s="23"/>
      <c r="M486" s="23"/>
      <c r="N486" s="22" t="s">
        <v>185</v>
      </c>
      <c r="O486" s="22"/>
    </row>
    <row r="487" spans="1:15" ht="13.5" customHeight="1" x14ac:dyDescent="0.25">
      <c r="A487" s="1"/>
      <c r="B487" s="20">
        <v>475</v>
      </c>
      <c r="C487" s="20">
        <v>2023</v>
      </c>
      <c r="D487" s="20">
        <v>40588</v>
      </c>
      <c r="E487" s="20" t="s">
        <v>1912</v>
      </c>
      <c r="F487" s="20" t="s">
        <v>1913</v>
      </c>
      <c r="G487" s="20"/>
      <c r="H487" s="20" t="s">
        <v>1914</v>
      </c>
      <c r="I487" s="20" t="s">
        <v>23</v>
      </c>
      <c r="J487" s="21">
        <v>2014</v>
      </c>
      <c r="K487" s="20" t="s">
        <v>34</v>
      </c>
      <c r="L487" s="21"/>
      <c r="M487" s="21"/>
      <c r="N487" s="20" t="s">
        <v>381</v>
      </c>
      <c r="O487" s="20"/>
    </row>
    <row r="488" spans="1:15" ht="13.5" customHeight="1" x14ac:dyDescent="0.25">
      <c r="A488" s="1"/>
      <c r="B488" s="22">
        <v>476</v>
      </c>
      <c r="C488" s="22">
        <v>2023</v>
      </c>
      <c r="D488" s="22">
        <v>11888</v>
      </c>
      <c r="E488" s="22" t="s">
        <v>1915</v>
      </c>
      <c r="F488" s="22" t="s">
        <v>1916</v>
      </c>
      <c r="G488" s="22"/>
      <c r="H488" s="22" t="s">
        <v>1917</v>
      </c>
      <c r="I488" s="22" t="s">
        <v>23</v>
      </c>
      <c r="J488" s="23">
        <v>2005</v>
      </c>
      <c r="K488" s="22" t="s">
        <v>39</v>
      </c>
      <c r="L488" s="23"/>
      <c r="M488" s="23" t="s">
        <v>30</v>
      </c>
      <c r="N488" s="22" t="s">
        <v>35</v>
      </c>
      <c r="O488" s="22"/>
    </row>
    <row r="489" spans="1:15" ht="13.5" customHeight="1" x14ac:dyDescent="0.25">
      <c r="A489" s="1"/>
      <c r="B489" s="20">
        <v>477</v>
      </c>
      <c r="C489" s="20">
        <v>2023</v>
      </c>
      <c r="D489" s="20">
        <v>13671</v>
      </c>
      <c r="E489" s="20" t="s">
        <v>1918</v>
      </c>
      <c r="F489" s="20" t="s">
        <v>1919</v>
      </c>
      <c r="G489" s="20"/>
      <c r="H489" s="20" t="s">
        <v>1920</v>
      </c>
      <c r="I489" s="20" t="s">
        <v>23</v>
      </c>
      <c r="J489" s="21">
        <v>2012</v>
      </c>
      <c r="K489" s="20" t="s">
        <v>39</v>
      </c>
      <c r="L489" s="21"/>
      <c r="M489" s="21"/>
      <c r="N489" s="20" t="s">
        <v>324</v>
      </c>
      <c r="O489" s="20"/>
    </row>
    <row r="490" spans="1:15" ht="13.5" customHeight="1" x14ac:dyDescent="0.25">
      <c r="A490" s="1"/>
      <c r="B490" s="22">
        <v>478</v>
      </c>
      <c r="C490" s="22">
        <v>2023</v>
      </c>
      <c r="D490" s="22">
        <v>40474</v>
      </c>
      <c r="E490" s="22" t="s">
        <v>1921</v>
      </c>
      <c r="F490" s="22" t="s">
        <v>1922</v>
      </c>
      <c r="G490" s="22"/>
      <c r="H490" s="22" t="s">
        <v>1923</v>
      </c>
      <c r="I490" s="22" t="s">
        <v>23</v>
      </c>
      <c r="J490" s="23">
        <v>2014</v>
      </c>
      <c r="K490" s="22" t="s">
        <v>39</v>
      </c>
      <c r="L490" s="23"/>
      <c r="M490" s="23"/>
      <c r="N490" s="22" t="s">
        <v>381</v>
      </c>
      <c r="O490" s="22"/>
    </row>
    <row r="491" spans="1:15" ht="13.5" customHeight="1" x14ac:dyDescent="0.25">
      <c r="A491" s="1"/>
      <c r="B491" s="20">
        <v>479</v>
      </c>
      <c r="C491" s="20">
        <v>2023</v>
      </c>
      <c r="D491" s="20">
        <v>11892</v>
      </c>
      <c r="E491" s="20" t="s">
        <v>1924</v>
      </c>
      <c r="F491" s="20" t="s">
        <v>1925</v>
      </c>
      <c r="G491" s="20"/>
      <c r="H491" s="20" t="s">
        <v>1926</v>
      </c>
      <c r="I491" s="20" t="s">
        <v>23</v>
      </c>
      <c r="J491" s="21">
        <v>2001</v>
      </c>
      <c r="K491" s="20" t="s">
        <v>39</v>
      </c>
      <c r="L491" s="21"/>
      <c r="M491" s="21" t="s">
        <v>30</v>
      </c>
      <c r="N491" s="20" t="s">
        <v>35</v>
      </c>
      <c r="O491" s="20"/>
    </row>
    <row r="492" spans="1:15" ht="13.5" customHeight="1" x14ac:dyDescent="0.25">
      <c r="A492" s="1"/>
      <c r="B492" s="22">
        <v>480</v>
      </c>
      <c r="C492" s="22">
        <v>2023</v>
      </c>
      <c r="D492" s="22">
        <v>40138</v>
      </c>
      <c r="E492" s="22" t="s">
        <v>1927</v>
      </c>
      <c r="F492" s="22" t="s">
        <v>1928</v>
      </c>
      <c r="G492" s="22"/>
      <c r="H492" s="22" t="s">
        <v>1929</v>
      </c>
      <c r="I492" s="22" t="s">
        <v>23</v>
      </c>
      <c r="J492" s="23">
        <v>2013</v>
      </c>
      <c r="K492" s="22" t="s">
        <v>39</v>
      </c>
      <c r="L492" s="23"/>
      <c r="M492" s="23"/>
      <c r="N492" s="22" t="s">
        <v>260</v>
      </c>
      <c r="O492" s="22"/>
    </row>
    <row r="493" spans="1:15" ht="13.5" customHeight="1" x14ac:dyDescent="0.25">
      <c r="A493" s="1"/>
      <c r="B493" s="20">
        <v>481</v>
      </c>
      <c r="C493" s="20">
        <v>2023</v>
      </c>
      <c r="D493" s="20">
        <v>40572</v>
      </c>
      <c r="E493" s="20" t="s">
        <v>1930</v>
      </c>
      <c r="F493" s="20" t="s">
        <v>1931</v>
      </c>
      <c r="G493" s="20"/>
      <c r="H493" s="20" t="s">
        <v>1932</v>
      </c>
      <c r="I493" s="20" t="s">
        <v>23</v>
      </c>
      <c r="J493" s="21">
        <v>2014</v>
      </c>
      <c r="K493" s="20" t="s">
        <v>34</v>
      </c>
      <c r="L493" s="21"/>
      <c r="M493" s="21"/>
      <c r="N493" s="20" t="s">
        <v>381</v>
      </c>
      <c r="O493" s="20"/>
    </row>
    <row r="494" spans="1:15" ht="13.5" customHeight="1" x14ac:dyDescent="0.25">
      <c r="A494" s="1"/>
      <c r="B494" s="22">
        <v>482</v>
      </c>
      <c r="C494" s="22">
        <v>2023</v>
      </c>
      <c r="D494" s="22">
        <v>40471</v>
      </c>
      <c r="E494" s="22" t="s">
        <v>1933</v>
      </c>
      <c r="F494" s="22" t="s">
        <v>1934</v>
      </c>
      <c r="G494" s="22"/>
      <c r="H494" s="22" t="s">
        <v>1935</v>
      </c>
      <c r="I494" s="22" t="s">
        <v>23</v>
      </c>
      <c r="J494" s="23">
        <v>2014</v>
      </c>
      <c r="K494" s="22" t="s">
        <v>39</v>
      </c>
      <c r="L494" s="23"/>
      <c r="M494" s="23"/>
      <c r="N494" s="22" t="s">
        <v>381</v>
      </c>
      <c r="O494" s="22"/>
    </row>
    <row r="495" spans="1:15" ht="13.5" customHeight="1" x14ac:dyDescent="0.25">
      <c r="A495" s="1"/>
      <c r="B495" s="20">
        <v>483</v>
      </c>
      <c r="C495" s="20">
        <v>2023</v>
      </c>
      <c r="D495" s="20">
        <v>40725</v>
      </c>
      <c r="E495" s="20" t="s">
        <v>1936</v>
      </c>
      <c r="F495" s="20" t="s">
        <v>1937</v>
      </c>
      <c r="G495" s="20"/>
      <c r="H495" s="20" t="s">
        <v>1938</v>
      </c>
      <c r="I495" s="20" t="s">
        <v>23</v>
      </c>
      <c r="J495" s="21">
        <v>2015</v>
      </c>
      <c r="K495" s="20" t="s">
        <v>95</v>
      </c>
      <c r="L495" s="21"/>
      <c r="M495" s="21"/>
      <c r="N495" s="20" t="s">
        <v>185</v>
      </c>
      <c r="O495" s="20"/>
    </row>
    <row r="496" spans="1:15" ht="13.5" customHeight="1" x14ac:dyDescent="0.25">
      <c r="A496" s="1"/>
      <c r="B496" s="22">
        <v>484</v>
      </c>
      <c r="C496" s="22">
        <v>2023</v>
      </c>
      <c r="D496" s="22">
        <v>12281</v>
      </c>
      <c r="E496" s="22" t="s">
        <v>1939</v>
      </c>
      <c r="F496" s="22" t="s">
        <v>1940</v>
      </c>
      <c r="G496" s="22"/>
      <c r="H496" s="22" t="s">
        <v>1941</v>
      </c>
      <c r="I496" s="22" t="s">
        <v>23</v>
      </c>
      <c r="J496" s="23">
        <v>2007</v>
      </c>
      <c r="K496" s="22" t="s">
        <v>39</v>
      </c>
      <c r="L496" s="23"/>
      <c r="M496" s="23" t="s">
        <v>30</v>
      </c>
      <c r="N496" s="22" t="s">
        <v>35</v>
      </c>
      <c r="O496" s="22"/>
    </row>
    <row r="497" spans="1:15" ht="13.5" customHeight="1" x14ac:dyDescent="0.25">
      <c r="A497" s="1"/>
      <c r="B497" s="20">
        <v>485</v>
      </c>
      <c r="C497" s="20">
        <v>2023</v>
      </c>
      <c r="D497" s="20">
        <v>11894</v>
      </c>
      <c r="E497" s="20" t="s">
        <v>1942</v>
      </c>
      <c r="F497" s="20" t="s">
        <v>1943</v>
      </c>
      <c r="G497" s="20"/>
      <c r="H497" s="20" t="s">
        <v>1944</v>
      </c>
      <c r="I497" s="20" t="s">
        <v>23</v>
      </c>
      <c r="J497" s="21">
        <v>2000</v>
      </c>
      <c r="K497" s="20" t="s">
        <v>39</v>
      </c>
      <c r="L497" s="21"/>
      <c r="M497" s="21" t="s">
        <v>30</v>
      </c>
      <c r="N497" s="20" t="s">
        <v>35</v>
      </c>
      <c r="O497" s="20"/>
    </row>
    <row r="498" spans="1:15" ht="13.5" customHeight="1" x14ac:dyDescent="0.25">
      <c r="A498" s="1"/>
      <c r="B498" s="22">
        <v>486</v>
      </c>
      <c r="C498" s="22">
        <v>2023</v>
      </c>
      <c r="D498" s="22">
        <v>40142</v>
      </c>
      <c r="E498" s="22" t="s">
        <v>1945</v>
      </c>
      <c r="F498" s="22" t="s">
        <v>1946</v>
      </c>
      <c r="G498" s="22"/>
      <c r="H498" s="22" t="s">
        <v>1947</v>
      </c>
      <c r="I498" s="22" t="s">
        <v>23</v>
      </c>
      <c r="J498" s="23">
        <v>2013</v>
      </c>
      <c r="K498" s="22" t="s">
        <v>39</v>
      </c>
      <c r="L498" s="23"/>
      <c r="M498" s="23"/>
      <c r="N498" s="22" t="s">
        <v>260</v>
      </c>
      <c r="O498" s="22"/>
    </row>
    <row r="499" spans="1:15" ht="13.5" customHeight="1" x14ac:dyDescent="0.25">
      <c r="A499" s="1"/>
      <c r="B499" s="20">
        <v>487</v>
      </c>
      <c r="C499" s="20">
        <v>2023</v>
      </c>
      <c r="D499" s="20">
        <v>294</v>
      </c>
      <c r="E499" s="20" t="s">
        <v>1948</v>
      </c>
      <c r="F499" s="20" t="s">
        <v>1949</v>
      </c>
      <c r="G499" s="20" t="s">
        <v>1950</v>
      </c>
      <c r="H499" s="20" t="s">
        <v>1951</v>
      </c>
      <c r="I499" s="20" t="s">
        <v>23</v>
      </c>
      <c r="J499" s="21">
        <v>2000</v>
      </c>
      <c r="K499" s="20" t="s">
        <v>34</v>
      </c>
      <c r="L499" s="21" t="s">
        <v>30</v>
      </c>
      <c r="M499" s="21" t="s">
        <v>30</v>
      </c>
      <c r="N499" s="20"/>
      <c r="O499" s="20"/>
    </row>
    <row r="500" spans="1:15" ht="13.5" customHeight="1" x14ac:dyDescent="0.25">
      <c r="A500" s="1"/>
      <c r="B500" s="22">
        <v>488</v>
      </c>
      <c r="C500" s="22">
        <v>2023</v>
      </c>
      <c r="D500" s="22">
        <v>13670</v>
      </c>
      <c r="E500" s="22" t="s">
        <v>1952</v>
      </c>
      <c r="F500" s="22" t="s">
        <v>1953</v>
      </c>
      <c r="G500" s="22"/>
      <c r="H500" s="22" t="s">
        <v>1954</v>
      </c>
      <c r="I500" s="22" t="s">
        <v>23</v>
      </c>
      <c r="J500" s="23">
        <v>2012</v>
      </c>
      <c r="K500" s="22" t="s">
        <v>39</v>
      </c>
      <c r="L500" s="23"/>
      <c r="M500" s="23"/>
      <c r="N500" s="22" t="s">
        <v>324</v>
      </c>
      <c r="O500" s="22"/>
    </row>
    <row r="501" spans="1:15" ht="13.5" customHeight="1" x14ac:dyDescent="0.25">
      <c r="A501" s="1"/>
      <c r="B501" s="20">
        <v>489</v>
      </c>
      <c r="C501" s="20">
        <v>2023</v>
      </c>
      <c r="D501" s="20">
        <v>11897</v>
      </c>
      <c r="E501" s="20" t="s">
        <v>1955</v>
      </c>
      <c r="F501" s="20" t="s">
        <v>1956</v>
      </c>
      <c r="G501" s="20"/>
      <c r="H501" s="20" t="s">
        <v>1957</v>
      </c>
      <c r="I501" s="20" t="s">
        <v>23</v>
      </c>
      <c r="J501" s="21">
        <v>2004</v>
      </c>
      <c r="K501" s="20" t="s">
        <v>39</v>
      </c>
      <c r="L501" s="21"/>
      <c r="M501" s="21" t="s">
        <v>30</v>
      </c>
      <c r="N501" s="20" t="s">
        <v>35</v>
      </c>
      <c r="O501" s="20"/>
    </row>
    <row r="502" spans="1:15" ht="13.5" customHeight="1" x14ac:dyDescent="0.25">
      <c r="A502" s="1"/>
      <c r="B502" s="22">
        <v>490</v>
      </c>
      <c r="C502" s="22">
        <v>2023</v>
      </c>
      <c r="D502" s="22">
        <v>11899</v>
      </c>
      <c r="E502" s="22" t="s">
        <v>1958</v>
      </c>
      <c r="F502" s="22" t="s">
        <v>1959</v>
      </c>
      <c r="G502" s="22"/>
      <c r="H502" s="22" t="s">
        <v>1960</v>
      </c>
      <c r="I502" s="22" t="s">
        <v>23</v>
      </c>
      <c r="J502" s="23">
        <v>2006</v>
      </c>
      <c r="K502" s="22" t="s">
        <v>39</v>
      </c>
      <c r="L502" s="23"/>
      <c r="M502" s="23" t="s">
        <v>30</v>
      </c>
      <c r="N502" s="22" t="s">
        <v>35</v>
      </c>
      <c r="O502" s="22"/>
    </row>
    <row r="503" spans="1:15" ht="13.5" customHeight="1" x14ac:dyDescent="0.25">
      <c r="A503" s="1"/>
      <c r="B503" s="20">
        <v>491</v>
      </c>
      <c r="C503" s="20">
        <v>2023</v>
      </c>
      <c r="D503" s="20">
        <v>11901</v>
      </c>
      <c r="E503" s="20" t="s">
        <v>1961</v>
      </c>
      <c r="F503" s="20" t="s">
        <v>1962</v>
      </c>
      <c r="G503" s="20"/>
      <c r="H503" s="20" t="s">
        <v>1963</v>
      </c>
      <c r="I503" s="20" t="s">
        <v>23</v>
      </c>
      <c r="J503" s="21">
        <v>2002</v>
      </c>
      <c r="K503" s="20" t="s">
        <v>39</v>
      </c>
      <c r="L503" s="21"/>
      <c r="M503" s="21" t="s">
        <v>30</v>
      </c>
      <c r="N503" s="20" t="s">
        <v>35</v>
      </c>
      <c r="O503" s="20"/>
    </row>
    <row r="504" spans="1:15" ht="13.5" customHeight="1" x14ac:dyDescent="0.25">
      <c r="A504" s="1"/>
      <c r="B504" s="22">
        <v>492</v>
      </c>
      <c r="C504" s="22">
        <v>2023</v>
      </c>
      <c r="D504" s="22">
        <v>11904</v>
      </c>
      <c r="E504" s="22" t="s">
        <v>1964</v>
      </c>
      <c r="F504" s="22" t="s">
        <v>1965</v>
      </c>
      <c r="G504" s="22"/>
      <c r="H504" s="22" t="s">
        <v>1966</v>
      </c>
      <c r="I504" s="22" t="s">
        <v>23</v>
      </c>
      <c r="J504" s="23">
        <v>2004</v>
      </c>
      <c r="K504" s="22" t="s">
        <v>39</v>
      </c>
      <c r="L504" s="23"/>
      <c r="M504" s="23" t="s">
        <v>30</v>
      </c>
      <c r="N504" s="22" t="s">
        <v>35</v>
      </c>
      <c r="O504" s="22"/>
    </row>
    <row r="505" spans="1:15" ht="13.5" customHeight="1" x14ac:dyDescent="0.25">
      <c r="A505" s="1"/>
      <c r="B505" s="20">
        <v>493</v>
      </c>
      <c r="C505" s="20">
        <v>2023</v>
      </c>
      <c r="D505" s="20">
        <v>11906</v>
      </c>
      <c r="E505" s="20" t="s">
        <v>1967</v>
      </c>
      <c r="F505" s="20" t="s">
        <v>1968</v>
      </c>
      <c r="G505" s="20"/>
      <c r="H505" s="20" t="s">
        <v>1969</v>
      </c>
      <c r="I505" s="20" t="s">
        <v>23</v>
      </c>
      <c r="J505" s="21">
        <v>2000</v>
      </c>
      <c r="K505" s="20" t="s">
        <v>39</v>
      </c>
      <c r="L505" s="21"/>
      <c r="M505" s="21" t="s">
        <v>30</v>
      </c>
      <c r="N505" s="20" t="s">
        <v>35</v>
      </c>
      <c r="O505" s="20"/>
    </row>
    <row r="506" spans="1:15" ht="13.5" customHeight="1" x14ac:dyDescent="0.25">
      <c r="A506" s="1"/>
      <c r="B506" s="22">
        <v>494</v>
      </c>
      <c r="C506" s="22">
        <v>2023</v>
      </c>
      <c r="D506" s="22">
        <v>11908</v>
      </c>
      <c r="E506" s="22" t="s">
        <v>1970</v>
      </c>
      <c r="F506" s="22" t="s">
        <v>1971</v>
      </c>
      <c r="G506" s="22"/>
      <c r="H506" s="22" t="s">
        <v>1972</v>
      </c>
      <c r="I506" s="22" t="s">
        <v>23</v>
      </c>
      <c r="J506" s="23">
        <v>2000</v>
      </c>
      <c r="K506" s="22" t="s">
        <v>39</v>
      </c>
      <c r="L506" s="23"/>
      <c r="M506" s="23" t="s">
        <v>30</v>
      </c>
      <c r="N506" s="22" t="s">
        <v>35</v>
      </c>
      <c r="O506" s="22"/>
    </row>
    <row r="507" spans="1:15" ht="13.5" customHeight="1" x14ac:dyDescent="0.25">
      <c r="A507" s="1"/>
      <c r="B507" s="20">
        <v>495</v>
      </c>
      <c r="C507" s="20">
        <v>2023</v>
      </c>
      <c r="D507" s="20">
        <v>40823</v>
      </c>
      <c r="E507" s="20" t="s">
        <v>1973</v>
      </c>
      <c r="F507" s="20" t="s">
        <v>1974</v>
      </c>
      <c r="G507" s="20"/>
      <c r="H507" s="20" t="s">
        <v>1975</v>
      </c>
      <c r="I507" s="20" t="s">
        <v>23</v>
      </c>
      <c r="J507" s="21">
        <v>2016</v>
      </c>
      <c r="K507" s="20" t="s">
        <v>34</v>
      </c>
      <c r="L507" s="21"/>
      <c r="M507" s="21"/>
      <c r="N507" s="20" t="s">
        <v>204</v>
      </c>
      <c r="O507" s="20"/>
    </row>
    <row r="508" spans="1:15" ht="13.5" customHeight="1" x14ac:dyDescent="0.25">
      <c r="A508" s="1"/>
      <c r="B508" s="22">
        <v>496</v>
      </c>
      <c r="C508" s="22">
        <v>2023</v>
      </c>
      <c r="D508" s="22">
        <v>11596</v>
      </c>
      <c r="E508" s="22" t="s">
        <v>1976</v>
      </c>
      <c r="F508" s="22" t="s">
        <v>1977</v>
      </c>
      <c r="G508" s="22" t="s">
        <v>1978</v>
      </c>
      <c r="H508" s="22" t="s">
        <v>1979</v>
      </c>
      <c r="I508" s="22" t="s">
        <v>1980</v>
      </c>
      <c r="J508" s="23">
        <v>2000</v>
      </c>
      <c r="K508" s="22" t="s">
        <v>39</v>
      </c>
      <c r="L508" s="23" t="s">
        <v>30</v>
      </c>
      <c r="M508" s="23" t="s">
        <v>30</v>
      </c>
      <c r="N508" s="22" t="s">
        <v>74</v>
      </c>
      <c r="O508" s="22"/>
    </row>
    <row r="509" spans="1:15" ht="13.5" customHeight="1" x14ac:dyDescent="0.25">
      <c r="A509" s="1"/>
      <c r="B509" s="20">
        <v>497</v>
      </c>
      <c r="C509" s="20">
        <v>2023</v>
      </c>
      <c r="D509" s="20">
        <v>284</v>
      </c>
      <c r="E509" s="20" t="s">
        <v>1981</v>
      </c>
      <c r="F509" s="20" t="s">
        <v>1982</v>
      </c>
      <c r="G509" s="20" t="s">
        <v>1983</v>
      </c>
      <c r="H509" s="20" t="s">
        <v>1984</v>
      </c>
      <c r="I509" s="20" t="s">
        <v>23</v>
      </c>
      <c r="J509" s="21">
        <v>2000</v>
      </c>
      <c r="K509" s="20" t="s">
        <v>34</v>
      </c>
      <c r="L509" s="21" t="s">
        <v>30</v>
      </c>
      <c r="M509" s="21" t="s">
        <v>30</v>
      </c>
      <c r="N509" s="20"/>
      <c r="O509" s="20"/>
    </row>
    <row r="510" spans="1:15" ht="13.5" customHeight="1" x14ac:dyDescent="0.25">
      <c r="A510" s="1"/>
      <c r="B510" s="22">
        <v>498</v>
      </c>
      <c r="C510" s="22">
        <v>2023</v>
      </c>
      <c r="D510" s="22">
        <v>40610</v>
      </c>
      <c r="E510" s="22" t="s">
        <v>1985</v>
      </c>
      <c r="F510" s="22" t="s">
        <v>1986</v>
      </c>
      <c r="G510" s="22"/>
      <c r="H510" s="22" t="s">
        <v>1987</v>
      </c>
      <c r="I510" s="22" t="s">
        <v>23</v>
      </c>
      <c r="J510" s="23">
        <v>2015</v>
      </c>
      <c r="K510" s="22" t="s">
        <v>34</v>
      </c>
      <c r="L510" s="23"/>
      <c r="M510" s="23"/>
      <c r="N510" s="22" t="s">
        <v>185</v>
      </c>
      <c r="O510" s="22"/>
    </row>
    <row r="511" spans="1:15" ht="13.5" customHeight="1" x14ac:dyDescent="0.25">
      <c r="A511" s="1"/>
      <c r="B511" s="20">
        <v>499</v>
      </c>
      <c r="C511" s="20">
        <v>2023</v>
      </c>
      <c r="D511" s="20">
        <v>11910</v>
      </c>
      <c r="E511" s="20" t="s">
        <v>1988</v>
      </c>
      <c r="F511" s="20" t="s">
        <v>1989</v>
      </c>
      <c r="G511" s="20"/>
      <c r="H511" s="20" t="s">
        <v>1990</v>
      </c>
      <c r="I511" s="20" t="s">
        <v>23</v>
      </c>
      <c r="J511" s="21">
        <v>2001</v>
      </c>
      <c r="K511" s="20" t="s">
        <v>39</v>
      </c>
      <c r="L511" s="21"/>
      <c r="M511" s="21" t="s">
        <v>30</v>
      </c>
      <c r="N511" s="20" t="s">
        <v>35</v>
      </c>
      <c r="O511" s="20"/>
    </row>
    <row r="512" spans="1:15" ht="13.5" customHeight="1" x14ac:dyDescent="0.25">
      <c r="A512" s="1"/>
      <c r="B512" s="22">
        <v>500</v>
      </c>
      <c r="C512" s="22">
        <v>2023</v>
      </c>
      <c r="D512" s="22">
        <v>13668</v>
      </c>
      <c r="E512" s="22" t="s">
        <v>1991</v>
      </c>
      <c r="F512" s="22" t="s">
        <v>1992</v>
      </c>
      <c r="G512" s="22"/>
      <c r="H512" s="22" t="s">
        <v>1993</v>
      </c>
      <c r="I512" s="22" t="s">
        <v>23</v>
      </c>
      <c r="J512" s="23">
        <v>2012</v>
      </c>
      <c r="K512" s="22" t="s">
        <v>39</v>
      </c>
      <c r="L512" s="23"/>
      <c r="M512" s="23"/>
      <c r="N512" s="22" t="s">
        <v>324</v>
      </c>
      <c r="O512" s="22"/>
    </row>
    <row r="513" spans="1:15" ht="13.5" customHeight="1" x14ac:dyDescent="0.25">
      <c r="A513" s="1"/>
      <c r="B513" s="20">
        <v>501</v>
      </c>
      <c r="C513" s="20">
        <v>2023</v>
      </c>
      <c r="D513" s="20">
        <v>13679</v>
      </c>
      <c r="E513" s="20" t="s">
        <v>1994</v>
      </c>
      <c r="F513" s="20" t="s">
        <v>1995</v>
      </c>
      <c r="G513" s="20"/>
      <c r="H513" s="20" t="s">
        <v>1996</v>
      </c>
      <c r="I513" s="20" t="s">
        <v>23</v>
      </c>
      <c r="J513" s="21">
        <v>2012</v>
      </c>
      <c r="K513" s="20" t="s">
        <v>39</v>
      </c>
      <c r="L513" s="21"/>
      <c r="M513" s="21"/>
      <c r="N513" s="20" t="s">
        <v>324</v>
      </c>
      <c r="O513" s="20"/>
    </row>
    <row r="514" spans="1:15" ht="13.5" customHeight="1" x14ac:dyDescent="0.25">
      <c r="A514" s="1"/>
      <c r="B514" s="22">
        <v>502</v>
      </c>
      <c r="C514" s="22">
        <v>2023</v>
      </c>
      <c r="D514" s="22">
        <v>13669</v>
      </c>
      <c r="E514" s="22" t="s">
        <v>1997</v>
      </c>
      <c r="F514" s="22" t="s">
        <v>1998</v>
      </c>
      <c r="G514" s="22"/>
      <c r="H514" s="22" t="s">
        <v>1999</v>
      </c>
      <c r="I514" s="22" t="s">
        <v>23</v>
      </c>
      <c r="J514" s="23">
        <v>2012</v>
      </c>
      <c r="K514" s="22" t="s">
        <v>39</v>
      </c>
      <c r="L514" s="23"/>
      <c r="M514" s="23"/>
      <c r="N514" s="22" t="s">
        <v>324</v>
      </c>
      <c r="O514" s="22"/>
    </row>
    <row r="515" spans="1:15" ht="13.5" customHeight="1" x14ac:dyDescent="0.25">
      <c r="A515" s="1"/>
      <c r="B515" s="20">
        <v>503</v>
      </c>
      <c r="C515" s="20">
        <v>2023</v>
      </c>
      <c r="D515" s="20">
        <v>11912</v>
      </c>
      <c r="E515" s="20" t="s">
        <v>2000</v>
      </c>
      <c r="F515" s="20" t="s">
        <v>2001</v>
      </c>
      <c r="G515" s="20"/>
      <c r="H515" s="20" t="s">
        <v>2002</v>
      </c>
      <c r="I515" s="20" t="s">
        <v>23</v>
      </c>
      <c r="J515" s="21">
        <v>2000</v>
      </c>
      <c r="K515" s="20" t="s">
        <v>39</v>
      </c>
      <c r="L515" s="21"/>
      <c r="M515" s="21" t="s">
        <v>30</v>
      </c>
      <c r="N515" s="20" t="s">
        <v>35</v>
      </c>
      <c r="O515" s="20"/>
    </row>
    <row r="516" spans="1:15" ht="13.5" customHeight="1" x14ac:dyDescent="0.25">
      <c r="A516" s="1"/>
      <c r="B516" s="22">
        <v>504</v>
      </c>
      <c r="C516" s="22">
        <v>2023</v>
      </c>
      <c r="D516" s="22">
        <v>40135</v>
      </c>
      <c r="E516" s="22" t="s">
        <v>2003</v>
      </c>
      <c r="F516" s="22" t="s">
        <v>2004</v>
      </c>
      <c r="G516" s="22"/>
      <c r="H516" s="22" t="s">
        <v>2005</v>
      </c>
      <c r="I516" s="22" t="s">
        <v>23</v>
      </c>
      <c r="J516" s="23">
        <v>2013</v>
      </c>
      <c r="K516" s="22" t="s">
        <v>39</v>
      </c>
      <c r="L516" s="23"/>
      <c r="M516" s="23"/>
      <c r="N516" s="22" t="s">
        <v>260</v>
      </c>
      <c r="O516" s="22"/>
    </row>
    <row r="517" spans="1:15" ht="13.5" customHeight="1" x14ac:dyDescent="0.25">
      <c r="A517" s="1"/>
      <c r="B517" s="20">
        <v>505</v>
      </c>
      <c r="C517" s="20">
        <v>2023</v>
      </c>
      <c r="D517" s="20">
        <v>40496</v>
      </c>
      <c r="E517" s="20" t="s">
        <v>2006</v>
      </c>
      <c r="F517" s="20" t="s">
        <v>2007</v>
      </c>
      <c r="G517" s="20"/>
      <c r="H517" s="20" t="s">
        <v>2008</v>
      </c>
      <c r="I517" s="20" t="s">
        <v>23</v>
      </c>
      <c r="J517" s="21">
        <v>2014</v>
      </c>
      <c r="K517" s="20" t="s">
        <v>39</v>
      </c>
      <c r="L517" s="21"/>
      <c r="M517" s="21"/>
      <c r="N517" s="20" t="s">
        <v>381</v>
      </c>
      <c r="O517" s="20"/>
    </row>
    <row r="518" spans="1:15" ht="13.5" customHeight="1" x14ac:dyDescent="0.25">
      <c r="A518" s="1"/>
      <c r="B518" s="22">
        <v>506</v>
      </c>
      <c r="C518" s="22">
        <v>2023</v>
      </c>
      <c r="D518" s="22">
        <v>11914</v>
      </c>
      <c r="E518" s="22" t="s">
        <v>2009</v>
      </c>
      <c r="F518" s="22" t="s">
        <v>2010</v>
      </c>
      <c r="G518" s="22"/>
      <c r="H518" s="22" t="s">
        <v>2011</v>
      </c>
      <c r="I518" s="22" t="s">
        <v>23</v>
      </c>
      <c r="J518" s="23">
        <v>2003</v>
      </c>
      <c r="K518" s="22" t="s">
        <v>39</v>
      </c>
      <c r="L518" s="23"/>
      <c r="M518" s="23" t="s">
        <v>30</v>
      </c>
      <c r="N518" s="22" t="s">
        <v>35</v>
      </c>
      <c r="O518" s="22"/>
    </row>
    <row r="519" spans="1:15" ht="13.5" customHeight="1" x14ac:dyDescent="0.25">
      <c r="A519" s="1"/>
      <c r="B519" s="20">
        <v>507</v>
      </c>
      <c r="C519" s="20">
        <v>2023</v>
      </c>
      <c r="D519" s="20">
        <v>40136</v>
      </c>
      <c r="E519" s="20" t="s">
        <v>2012</v>
      </c>
      <c r="F519" s="20" t="s">
        <v>2013</v>
      </c>
      <c r="G519" s="20"/>
      <c r="H519" s="20" t="s">
        <v>2014</v>
      </c>
      <c r="I519" s="20" t="s">
        <v>23</v>
      </c>
      <c r="J519" s="21">
        <v>2013</v>
      </c>
      <c r="K519" s="20" t="s">
        <v>39</v>
      </c>
      <c r="L519" s="21"/>
      <c r="M519" s="21"/>
      <c r="N519" s="20" t="s">
        <v>260</v>
      </c>
      <c r="O519" s="20"/>
    </row>
    <row r="520" spans="1:15" ht="13.5" customHeight="1" x14ac:dyDescent="0.25">
      <c r="A520" s="1"/>
      <c r="B520" s="22">
        <v>508</v>
      </c>
      <c r="C520" s="22">
        <v>2023</v>
      </c>
      <c r="D520" s="22">
        <v>11916</v>
      </c>
      <c r="E520" s="22" t="s">
        <v>2015</v>
      </c>
      <c r="F520" s="22" t="s">
        <v>2016</v>
      </c>
      <c r="G520" s="22"/>
      <c r="H520" s="22" t="s">
        <v>2017</v>
      </c>
      <c r="I520" s="22" t="s">
        <v>23</v>
      </c>
      <c r="J520" s="23">
        <v>2000</v>
      </c>
      <c r="K520" s="22" t="s">
        <v>39</v>
      </c>
      <c r="L520" s="23"/>
      <c r="M520" s="23" t="s">
        <v>30</v>
      </c>
      <c r="N520" s="22" t="s">
        <v>35</v>
      </c>
      <c r="O520" s="22"/>
    </row>
    <row r="521" spans="1:15" ht="13.5" customHeight="1" x14ac:dyDescent="0.25">
      <c r="A521" s="1"/>
      <c r="B521" s="20">
        <v>509</v>
      </c>
      <c r="C521" s="20">
        <v>2023</v>
      </c>
      <c r="D521" s="20">
        <v>40139</v>
      </c>
      <c r="E521" s="20" t="s">
        <v>2018</v>
      </c>
      <c r="F521" s="20" t="s">
        <v>2019</v>
      </c>
      <c r="G521" s="20"/>
      <c r="H521" s="20" t="s">
        <v>2020</v>
      </c>
      <c r="I521" s="20" t="s">
        <v>23</v>
      </c>
      <c r="J521" s="21">
        <v>2013</v>
      </c>
      <c r="K521" s="20" t="s">
        <v>39</v>
      </c>
      <c r="L521" s="21"/>
      <c r="M521" s="21"/>
      <c r="N521" s="20" t="s">
        <v>260</v>
      </c>
      <c r="O521" s="20"/>
    </row>
    <row r="522" spans="1:15" ht="13.5" customHeight="1" x14ac:dyDescent="0.25">
      <c r="A522" s="1"/>
      <c r="B522" s="22">
        <v>510</v>
      </c>
      <c r="C522" s="22">
        <v>2023</v>
      </c>
      <c r="D522" s="22">
        <v>40124</v>
      </c>
      <c r="E522" s="22" t="s">
        <v>2021</v>
      </c>
      <c r="F522" s="22" t="s">
        <v>2022</v>
      </c>
      <c r="G522" s="22"/>
      <c r="H522" s="22" t="s">
        <v>2023</v>
      </c>
      <c r="I522" s="22" t="s">
        <v>23</v>
      </c>
      <c r="J522" s="23">
        <v>2013</v>
      </c>
      <c r="K522" s="22" t="s">
        <v>39</v>
      </c>
      <c r="L522" s="23"/>
      <c r="M522" s="23"/>
      <c r="N522" s="22" t="s">
        <v>260</v>
      </c>
      <c r="O522" s="22"/>
    </row>
    <row r="523" spans="1:15" ht="13.5" customHeight="1" x14ac:dyDescent="0.25">
      <c r="A523" s="1"/>
      <c r="B523" s="20">
        <v>511</v>
      </c>
      <c r="C523" s="20">
        <v>2023</v>
      </c>
      <c r="D523" s="20">
        <v>40495</v>
      </c>
      <c r="E523" s="20" t="s">
        <v>2024</v>
      </c>
      <c r="F523" s="20" t="s">
        <v>2025</v>
      </c>
      <c r="G523" s="20"/>
      <c r="H523" s="20" t="s">
        <v>2026</v>
      </c>
      <c r="I523" s="20" t="s">
        <v>23</v>
      </c>
      <c r="J523" s="21">
        <v>2015</v>
      </c>
      <c r="K523" s="20" t="s">
        <v>34</v>
      </c>
      <c r="L523" s="21"/>
      <c r="M523" s="21"/>
      <c r="N523" s="20" t="s">
        <v>185</v>
      </c>
      <c r="O523" s="20"/>
    </row>
    <row r="524" spans="1:15" ht="13.5" customHeight="1" x14ac:dyDescent="0.25">
      <c r="A524" s="1"/>
      <c r="B524" s="22">
        <v>512</v>
      </c>
      <c r="C524" s="22">
        <v>2023</v>
      </c>
      <c r="D524" s="22">
        <v>40141</v>
      </c>
      <c r="E524" s="22" t="s">
        <v>2027</v>
      </c>
      <c r="F524" s="22" t="s">
        <v>2028</v>
      </c>
      <c r="G524" s="22"/>
      <c r="H524" s="22" t="s">
        <v>2029</v>
      </c>
      <c r="I524" s="22" t="s">
        <v>23</v>
      </c>
      <c r="J524" s="23">
        <v>2013</v>
      </c>
      <c r="K524" s="22" t="s">
        <v>39</v>
      </c>
      <c r="L524" s="23"/>
      <c r="M524" s="23"/>
      <c r="N524" s="22" t="s">
        <v>260</v>
      </c>
      <c r="O524" s="22"/>
    </row>
    <row r="525" spans="1:15" ht="13.5" customHeight="1" x14ac:dyDescent="0.25">
      <c r="A525" s="1"/>
      <c r="B525" s="20">
        <v>513</v>
      </c>
      <c r="C525" s="20">
        <v>2023</v>
      </c>
      <c r="D525" s="20">
        <v>40726</v>
      </c>
      <c r="E525" s="20" t="s">
        <v>2030</v>
      </c>
      <c r="F525" s="20" t="s">
        <v>2031</v>
      </c>
      <c r="G525" s="20"/>
      <c r="H525" s="20" t="s">
        <v>2032</v>
      </c>
      <c r="I525" s="20" t="s">
        <v>23</v>
      </c>
      <c r="J525" s="21">
        <v>2015</v>
      </c>
      <c r="K525" s="20" t="s">
        <v>95</v>
      </c>
      <c r="L525" s="21"/>
      <c r="M525" s="21"/>
      <c r="N525" s="20" t="s">
        <v>185</v>
      </c>
      <c r="O525" s="20"/>
    </row>
    <row r="526" spans="1:15" ht="13.5" customHeight="1" x14ac:dyDescent="0.25">
      <c r="A526" s="1"/>
      <c r="B526" s="22">
        <v>514</v>
      </c>
      <c r="C526" s="22">
        <v>2023</v>
      </c>
      <c r="D526" s="22">
        <v>11920</v>
      </c>
      <c r="E526" s="22" t="s">
        <v>2033</v>
      </c>
      <c r="F526" s="22" t="s">
        <v>2034</v>
      </c>
      <c r="G526" s="22"/>
      <c r="H526" s="22" t="s">
        <v>2035</v>
      </c>
      <c r="I526" s="22" t="s">
        <v>23</v>
      </c>
      <c r="J526" s="23">
        <v>2000</v>
      </c>
      <c r="K526" s="22" t="s">
        <v>39</v>
      </c>
      <c r="L526" s="23"/>
      <c r="M526" s="23" t="s">
        <v>30</v>
      </c>
      <c r="N526" s="22" t="s">
        <v>35</v>
      </c>
      <c r="O526" s="22"/>
    </row>
    <row r="527" spans="1:15" ht="13.5" customHeight="1" x14ac:dyDescent="0.25">
      <c r="A527" s="1"/>
      <c r="B527" s="20">
        <v>515</v>
      </c>
      <c r="C527" s="20">
        <v>2023</v>
      </c>
      <c r="D527" s="20">
        <v>12144</v>
      </c>
      <c r="E527" s="20" t="s">
        <v>2036</v>
      </c>
      <c r="F527" s="20" t="s">
        <v>2037</v>
      </c>
      <c r="G527" s="20" t="s">
        <v>2038</v>
      </c>
      <c r="H527" s="20" t="s">
        <v>2039</v>
      </c>
      <c r="I527" s="20" t="s">
        <v>2040</v>
      </c>
      <c r="J527" s="21">
        <v>2000</v>
      </c>
      <c r="K527" s="20" t="s">
        <v>203</v>
      </c>
      <c r="L527" s="21" t="s">
        <v>30</v>
      </c>
      <c r="M527" s="21" t="s">
        <v>30</v>
      </c>
      <c r="N527" s="20" t="s">
        <v>74</v>
      </c>
      <c r="O527" s="20"/>
    </row>
    <row r="528" spans="1:15" ht="13.5" customHeight="1" x14ac:dyDescent="0.25">
      <c r="A528" s="1"/>
      <c r="B528" s="22">
        <v>516</v>
      </c>
      <c r="C528" s="22">
        <v>2023</v>
      </c>
      <c r="D528" s="22">
        <v>13665</v>
      </c>
      <c r="E528" s="22" t="s">
        <v>2041</v>
      </c>
      <c r="F528" s="22" t="s">
        <v>2042</v>
      </c>
      <c r="G528" s="22"/>
      <c r="H528" s="22" t="s">
        <v>2043</v>
      </c>
      <c r="I528" s="22" t="s">
        <v>23</v>
      </c>
      <c r="J528" s="23">
        <v>2012</v>
      </c>
      <c r="K528" s="22" t="s">
        <v>39</v>
      </c>
      <c r="L528" s="23"/>
      <c r="M528" s="23"/>
      <c r="N528" s="22" t="s">
        <v>324</v>
      </c>
      <c r="O528" s="22"/>
    </row>
    <row r="529" spans="1:15" ht="13.5" customHeight="1" x14ac:dyDescent="0.25">
      <c r="A529" s="1"/>
      <c r="B529" s="20">
        <v>517</v>
      </c>
      <c r="C529" s="20">
        <v>2023</v>
      </c>
      <c r="D529" s="20">
        <v>40134</v>
      </c>
      <c r="E529" s="20" t="s">
        <v>2044</v>
      </c>
      <c r="F529" s="20" t="s">
        <v>2045</v>
      </c>
      <c r="G529" s="20"/>
      <c r="H529" s="20" t="s">
        <v>2046</v>
      </c>
      <c r="I529" s="20" t="s">
        <v>23</v>
      </c>
      <c r="J529" s="21">
        <v>2013</v>
      </c>
      <c r="K529" s="20" t="s">
        <v>39</v>
      </c>
      <c r="L529" s="21"/>
      <c r="M529" s="21"/>
      <c r="N529" s="20" t="s">
        <v>260</v>
      </c>
      <c r="O529" s="20"/>
    </row>
    <row r="530" spans="1:15" ht="13.5" customHeight="1" x14ac:dyDescent="0.25">
      <c r="A530" s="1"/>
      <c r="B530" s="22">
        <v>518</v>
      </c>
      <c r="C530" s="22">
        <v>2023</v>
      </c>
      <c r="D530" s="22">
        <v>12178</v>
      </c>
      <c r="E530" s="22" t="s">
        <v>2047</v>
      </c>
      <c r="F530" s="22" t="s">
        <v>2048</v>
      </c>
      <c r="G530" s="22"/>
      <c r="H530" s="22" t="s">
        <v>2049</v>
      </c>
      <c r="I530" s="22" t="s">
        <v>23</v>
      </c>
      <c r="J530" s="23">
        <v>2008</v>
      </c>
      <c r="K530" s="22" t="s">
        <v>39</v>
      </c>
      <c r="L530" s="23"/>
      <c r="M530" s="23" t="s">
        <v>30</v>
      </c>
      <c r="N530" s="22"/>
      <c r="O530" s="22"/>
    </row>
    <row r="531" spans="1:15" ht="13.5" customHeight="1" x14ac:dyDescent="0.25">
      <c r="A531" s="1"/>
      <c r="B531" s="20">
        <v>519</v>
      </c>
      <c r="C531" s="20">
        <v>2023</v>
      </c>
      <c r="D531" s="20">
        <v>11926</v>
      </c>
      <c r="E531" s="20" t="s">
        <v>2050</v>
      </c>
      <c r="F531" s="20" t="s">
        <v>2051</v>
      </c>
      <c r="G531" s="20"/>
      <c r="H531" s="20" t="s">
        <v>2052</v>
      </c>
      <c r="I531" s="20" t="s">
        <v>23</v>
      </c>
      <c r="J531" s="21">
        <v>2000</v>
      </c>
      <c r="K531" s="20" t="s">
        <v>39</v>
      </c>
      <c r="L531" s="21"/>
      <c r="M531" s="21" t="s">
        <v>30</v>
      </c>
      <c r="N531" s="20" t="s">
        <v>35</v>
      </c>
      <c r="O531" s="20"/>
    </row>
    <row r="532" spans="1:15" ht="13.5" customHeight="1" x14ac:dyDescent="0.25">
      <c r="A532" s="1"/>
      <c r="B532" s="22">
        <v>520</v>
      </c>
      <c r="C532" s="22">
        <v>2023</v>
      </c>
      <c r="D532" s="22">
        <v>43154</v>
      </c>
      <c r="E532" s="22" t="s">
        <v>2053</v>
      </c>
      <c r="F532" s="22" t="s">
        <v>2054</v>
      </c>
      <c r="G532" s="22"/>
      <c r="H532" s="22" t="s">
        <v>2055</v>
      </c>
      <c r="I532" s="22" t="s">
        <v>23</v>
      </c>
      <c r="J532" s="23">
        <v>2020</v>
      </c>
      <c r="K532" s="22" t="s">
        <v>67</v>
      </c>
      <c r="L532" s="23"/>
      <c r="M532" s="23"/>
      <c r="N532" s="22" t="s">
        <v>48</v>
      </c>
      <c r="O532" s="22"/>
    </row>
    <row r="533" spans="1:15" ht="13.5" customHeight="1" x14ac:dyDescent="0.25">
      <c r="A533" s="1"/>
      <c r="B533" s="20">
        <v>521</v>
      </c>
      <c r="C533" s="20">
        <v>2023</v>
      </c>
      <c r="D533" s="20">
        <v>11930</v>
      </c>
      <c r="E533" s="20" t="s">
        <v>2056</v>
      </c>
      <c r="F533" s="20" t="s">
        <v>2057</v>
      </c>
      <c r="G533" s="20"/>
      <c r="H533" s="20" t="s">
        <v>2058</v>
      </c>
      <c r="I533" s="20" t="s">
        <v>23</v>
      </c>
      <c r="J533" s="21">
        <v>2004</v>
      </c>
      <c r="K533" s="20" t="s">
        <v>39</v>
      </c>
      <c r="L533" s="21"/>
      <c r="M533" s="21"/>
      <c r="N533" s="20"/>
      <c r="O533" s="20"/>
    </row>
    <row r="534" spans="1:15" ht="13.5" customHeight="1" x14ac:dyDescent="0.25">
      <c r="A534" s="1"/>
      <c r="B534" s="22">
        <v>522</v>
      </c>
      <c r="C534" s="22">
        <v>2023</v>
      </c>
      <c r="D534" s="22">
        <v>40675</v>
      </c>
      <c r="E534" s="22" t="s">
        <v>2059</v>
      </c>
      <c r="F534" s="22" t="s">
        <v>2060</v>
      </c>
      <c r="G534" s="22"/>
      <c r="H534" s="22" t="s">
        <v>2061</v>
      </c>
      <c r="I534" s="22" t="s">
        <v>23</v>
      </c>
      <c r="J534" s="23">
        <v>2015</v>
      </c>
      <c r="K534" s="22" t="s">
        <v>39</v>
      </c>
      <c r="L534" s="23"/>
      <c r="M534" s="23"/>
      <c r="N534" s="22" t="s">
        <v>185</v>
      </c>
      <c r="O534" s="22"/>
    </row>
    <row r="535" spans="1:15" ht="13.5" customHeight="1" x14ac:dyDescent="0.25">
      <c r="A535" s="1"/>
      <c r="B535" s="20">
        <v>523</v>
      </c>
      <c r="C535" s="20">
        <v>2023</v>
      </c>
      <c r="D535" s="20">
        <v>40778</v>
      </c>
      <c r="E535" s="20" t="s">
        <v>2062</v>
      </c>
      <c r="F535" s="20" t="s">
        <v>2063</v>
      </c>
      <c r="G535" s="20"/>
      <c r="H535" s="20" t="s">
        <v>2064</v>
      </c>
      <c r="I535" s="20" t="s">
        <v>23</v>
      </c>
      <c r="J535" s="21">
        <v>2015</v>
      </c>
      <c r="K535" s="20" t="s">
        <v>34</v>
      </c>
      <c r="L535" s="21"/>
      <c r="M535" s="21"/>
      <c r="N535" s="20" t="s">
        <v>185</v>
      </c>
      <c r="O535" s="20"/>
    </row>
    <row r="536" spans="1:15" ht="13.5" customHeight="1" x14ac:dyDescent="0.25">
      <c r="A536" s="1"/>
      <c r="B536" s="22">
        <v>524</v>
      </c>
      <c r="C536" s="22">
        <v>2023</v>
      </c>
      <c r="D536" s="22">
        <v>40137</v>
      </c>
      <c r="E536" s="22" t="s">
        <v>2065</v>
      </c>
      <c r="F536" s="22" t="s">
        <v>2066</v>
      </c>
      <c r="G536" s="22"/>
      <c r="H536" s="22" t="s">
        <v>2067</v>
      </c>
      <c r="I536" s="22" t="s">
        <v>23</v>
      </c>
      <c r="J536" s="23">
        <v>2013</v>
      </c>
      <c r="K536" s="22" t="s">
        <v>39</v>
      </c>
      <c r="L536" s="23"/>
      <c r="M536" s="23"/>
      <c r="N536" s="22" t="s">
        <v>260</v>
      </c>
      <c r="O536" s="22"/>
    </row>
    <row r="537" spans="1:15" ht="13.5" customHeight="1" x14ac:dyDescent="0.25">
      <c r="A537" s="1"/>
      <c r="B537" s="20">
        <v>525</v>
      </c>
      <c r="C537" s="20">
        <v>2023</v>
      </c>
      <c r="D537" s="20">
        <v>40518</v>
      </c>
      <c r="E537" s="20" t="s">
        <v>2068</v>
      </c>
      <c r="F537" s="20" t="s">
        <v>2069</v>
      </c>
      <c r="G537" s="20"/>
      <c r="H537" s="20" t="s">
        <v>2070</v>
      </c>
      <c r="I537" s="20" t="s">
        <v>23</v>
      </c>
      <c r="J537" s="21">
        <v>2014</v>
      </c>
      <c r="K537" s="20" t="s">
        <v>1059</v>
      </c>
      <c r="L537" s="21"/>
      <c r="M537" s="21"/>
      <c r="N537" s="20" t="s">
        <v>381</v>
      </c>
      <c r="O537" s="20"/>
    </row>
    <row r="538" spans="1:15" ht="13.5" customHeight="1" x14ac:dyDescent="0.25">
      <c r="A538" s="1"/>
      <c r="B538" s="22">
        <v>526</v>
      </c>
      <c r="C538" s="22">
        <v>2023</v>
      </c>
      <c r="D538" s="22">
        <v>43152</v>
      </c>
      <c r="E538" s="22" t="s">
        <v>2071</v>
      </c>
      <c r="F538" s="22" t="s">
        <v>2072</v>
      </c>
      <c r="G538" s="22"/>
      <c r="H538" s="22" t="s">
        <v>2073</v>
      </c>
      <c r="I538" s="22" t="s">
        <v>23</v>
      </c>
      <c r="J538" s="23">
        <v>2020</v>
      </c>
      <c r="K538" s="22" t="s">
        <v>34</v>
      </c>
      <c r="L538" s="23"/>
      <c r="M538" s="23"/>
      <c r="N538" s="22" t="s">
        <v>48</v>
      </c>
      <c r="O538" s="22"/>
    </row>
    <row r="539" spans="1:15" ht="13.5" customHeight="1" x14ac:dyDescent="0.25">
      <c r="A539" s="1"/>
      <c r="B539" s="20">
        <v>527</v>
      </c>
      <c r="C539" s="20">
        <v>2023</v>
      </c>
      <c r="D539" s="20">
        <v>40472</v>
      </c>
      <c r="E539" s="20" t="s">
        <v>2074</v>
      </c>
      <c r="F539" s="20" t="s">
        <v>2075</v>
      </c>
      <c r="G539" s="20"/>
      <c r="H539" s="20" t="s">
        <v>2076</v>
      </c>
      <c r="I539" s="20" t="s">
        <v>23</v>
      </c>
      <c r="J539" s="21">
        <v>2014</v>
      </c>
      <c r="K539" s="20" t="s">
        <v>39</v>
      </c>
      <c r="L539" s="21"/>
      <c r="M539" s="21"/>
      <c r="N539" s="20" t="s">
        <v>381</v>
      </c>
      <c r="O539" s="20"/>
    </row>
    <row r="540" spans="1:15" ht="13.5" customHeight="1" x14ac:dyDescent="0.25">
      <c r="A540" s="1"/>
      <c r="B540" s="22">
        <v>528</v>
      </c>
      <c r="C540" s="22">
        <v>2023</v>
      </c>
      <c r="D540" s="22">
        <v>40719</v>
      </c>
      <c r="E540" s="22" t="s">
        <v>2077</v>
      </c>
      <c r="F540" s="22" t="s">
        <v>2078</v>
      </c>
      <c r="G540" s="22"/>
      <c r="H540" s="22" t="s">
        <v>2079</v>
      </c>
      <c r="I540" s="22" t="s">
        <v>23</v>
      </c>
      <c r="J540" s="23">
        <v>2015</v>
      </c>
      <c r="K540" s="22" t="s">
        <v>39</v>
      </c>
      <c r="L540" s="23"/>
      <c r="M540" s="23"/>
      <c r="N540" s="22" t="s">
        <v>185</v>
      </c>
      <c r="O540" s="22"/>
    </row>
    <row r="541" spans="1:15" ht="13.5" customHeight="1" x14ac:dyDescent="0.25">
      <c r="A541" s="1"/>
      <c r="B541" s="20">
        <v>529</v>
      </c>
      <c r="C541" s="20">
        <v>2023</v>
      </c>
      <c r="D541" s="20">
        <v>40521</v>
      </c>
      <c r="E541" s="20" t="s">
        <v>2080</v>
      </c>
      <c r="F541" s="20" t="s">
        <v>2081</v>
      </c>
      <c r="G541" s="20"/>
      <c r="H541" s="20" t="s">
        <v>2082</v>
      </c>
      <c r="I541" s="20" t="s">
        <v>23</v>
      </c>
      <c r="J541" s="21">
        <v>2014</v>
      </c>
      <c r="K541" s="20" t="s">
        <v>39</v>
      </c>
      <c r="L541" s="21"/>
      <c r="M541" s="21"/>
      <c r="N541" s="20" t="s">
        <v>381</v>
      </c>
      <c r="O541" s="20"/>
    </row>
    <row r="542" spans="1:15" ht="13.5" customHeight="1" x14ac:dyDescent="0.25">
      <c r="A542" s="1"/>
      <c r="B542" s="22">
        <v>530</v>
      </c>
      <c r="C542" s="22">
        <v>2023</v>
      </c>
      <c r="D542" s="22">
        <v>11936</v>
      </c>
      <c r="E542" s="22" t="s">
        <v>2083</v>
      </c>
      <c r="F542" s="22" t="s">
        <v>2084</v>
      </c>
      <c r="G542" s="22"/>
      <c r="H542" s="22" t="s">
        <v>2085</v>
      </c>
      <c r="I542" s="22" t="s">
        <v>23</v>
      </c>
      <c r="J542" s="23">
        <v>2000</v>
      </c>
      <c r="K542" s="22" t="s">
        <v>39</v>
      </c>
      <c r="L542" s="23"/>
      <c r="M542" s="23" t="s">
        <v>30</v>
      </c>
      <c r="N542" s="22" t="s">
        <v>35</v>
      </c>
      <c r="O542" s="22"/>
    </row>
    <row r="543" spans="1:15" ht="13.5" customHeight="1" x14ac:dyDescent="0.25">
      <c r="A543" s="1"/>
      <c r="B543" s="20">
        <v>531</v>
      </c>
      <c r="C543" s="20">
        <v>2023</v>
      </c>
      <c r="D543" s="20">
        <v>11938</v>
      </c>
      <c r="E543" s="20" t="s">
        <v>2086</v>
      </c>
      <c r="F543" s="20" t="s">
        <v>2087</v>
      </c>
      <c r="G543" s="20"/>
      <c r="H543" s="20" t="s">
        <v>2088</v>
      </c>
      <c r="I543" s="20" t="s">
        <v>23</v>
      </c>
      <c r="J543" s="21">
        <v>2000</v>
      </c>
      <c r="K543" s="20" t="s">
        <v>39</v>
      </c>
      <c r="L543" s="21"/>
      <c r="M543" s="21"/>
      <c r="N543" s="20"/>
      <c r="O543" s="20"/>
    </row>
    <row r="544" spans="1:15" ht="13.5" customHeight="1" x14ac:dyDescent="0.25">
      <c r="A544" s="1"/>
      <c r="B544" s="22">
        <v>532</v>
      </c>
      <c r="C544" s="22">
        <v>2023</v>
      </c>
      <c r="D544" s="22">
        <v>40506</v>
      </c>
      <c r="E544" s="22" t="s">
        <v>2089</v>
      </c>
      <c r="F544" s="22" t="s">
        <v>2090</v>
      </c>
      <c r="G544" s="22"/>
      <c r="H544" s="22" t="s">
        <v>2091</v>
      </c>
      <c r="I544" s="22" t="s">
        <v>23</v>
      </c>
      <c r="J544" s="23">
        <v>2014</v>
      </c>
      <c r="K544" s="22" t="s">
        <v>39</v>
      </c>
      <c r="L544" s="23"/>
      <c r="M544" s="23"/>
      <c r="N544" s="22"/>
      <c r="O544" s="22"/>
    </row>
    <row r="545" spans="1:15" ht="13.5" customHeight="1" x14ac:dyDescent="0.25">
      <c r="A545" s="1"/>
      <c r="B545" s="20">
        <v>533</v>
      </c>
      <c r="C545" s="20">
        <v>2023</v>
      </c>
      <c r="D545" s="20">
        <v>11940</v>
      </c>
      <c r="E545" s="20" t="s">
        <v>2092</v>
      </c>
      <c r="F545" s="20" t="s">
        <v>2093</v>
      </c>
      <c r="G545" s="20"/>
      <c r="H545" s="20" t="s">
        <v>2094</v>
      </c>
      <c r="I545" s="20" t="s">
        <v>23</v>
      </c>
      <c r="J545" s="21">
        <v>2000</v>
      </c>
      <c r="K545" s="20" t="s">
        <v>39</v>
      </c>
      <c r="L545" s="21"/>
      <c r="M545" s="21" t="s">
        <v>30</v>
      </c>
      <c r="N545" s="20" t="s">
        <v>35</v>
      </c>
      <c r="O545" s="20"/>
    </row>
    <row r="546" spans="1:15" ht="13.5" customHeight="1" x14ac:dyDescent="0.25">
      <c r="A546" s="1"/>
      <c r="B546" s="22">
        <v>534</v>
      </c>
      <c r="C546" s="22">
        <v>2023</v>
      </c>
      <c r="D546" s="22">
        <v>11864</v>
      </c>
      <c r="E546" s="22" t="s">
        <v>2095</v>
      </c>
      <c r="F546" s="22" t="s">
        <v>2096</v>
      </c>
      <c r="G546" s="22"/>
      <c r="H546" s="22" t="s">
        <v>2097</v>
      </c>
      <c r="I546" s="22" t="s">
        <v>23</v>
      </c>
      <c r="J546" s="23">
        <v>2000</v>
      </c>
      <c r="K546" s="22" t="s">
        <v>39</v>
      </c>
      <c r="L546" s="23"/>
      <c r="M546" s="23" t="s">
        <v>30</v>
      </c>
      <c r="N546" s="22" t="s">
        <v>74</v>
      </c>
      <c r="O546" s="22"/>
    </row>
    <row r="547" spans="1:15" ht="13.5" customHeight="1" x14ac:dyDescent="0.25">
      <c r="A547" s="1"/>
      <c r="B547" s="20">
        <v>535</v>
      </c>
      <c r="C547" s="20">
        <v>2023</v>
      </c>
      <c r="D547" s="20">
        <v>40746</v>
      </c>
      <c r="E547" s="20" t="s">
        <v>2098</v>
      </c>
      <c r="F547" s="20" t="s">
        <v>2099</v>
      </c>
      <c r="G547" s="20"/>
      <c r="H547" s="20" t="s">
        <v>2100</v>
      </c>
      <c r="I547" s="20" t="s">
        <v>23</v>
      </c>
      <c r="J547" s="21">
        <v>2015</v>
      </c>
      <c r="K547" s="20" t="s">
        <v>39</v>
      </c>
      <c r="L547" s="21"/>
      <c r="M547" s="21"/>
      <c r="N547" s="20" t="s">
        <v>185</v>
      </c>
      <c r="O547" s="20"/>
    </row>
    <row r="548" spans="1:15" ht="13.5" customHeight="1" x14ac:dyDescent="0.25">
      <c r="A548" s="1"/>
      <c r="B548" s="22">
        <v>536</v>
      </c>
      <c r="C548" s="22">
        <v>2023</v>
      </c>
      <c r="D548" s="22">
        <v>40501</v>
      </c>
      <c r="E548" s="22" t="s">
        <v>2101</v>
      </c>
      <c r="F548" s="22" t="s">
        <v>2102</v>
      </c>
      <c r="G548" s="22"/>
      <c r="H548" s="22" t="s">
        <v>2103</v>
      </c>
      <c r="I548" s="22" t="s">
        <v>23</v>
      </c>
      <c r="J548" s="23">
        <v>2014</v>
      </c>
      <c r="K548" s="22" t="s">
        <v>39</v>
      </c>
      <c r="L548" s="23"/>
      <c r="M548" s="23"/>
      <c r="N548" s="22" t="s">
        <v>381</v>
      </c>
      <c r="O548" s="22"/>
    </row>
    <row r="549" spans="1:15" ht="13.5" customHeight="1" x14ac:dyDescent="0.25">
      <c r="A549" s="1"/>
      <c r="B549" s="20">
        <v>537</v>
      </c>
      <c r="C549" s="20">
        <v>2023</v>
      </c>
      <c r="D549" s="20">
        <v>40674</v>
      </c>
      <c r="E549" s="20" t="s">
        <v>2104</v>
      </c>
      <c r="F549" s="20" t="s">
        <v>2105</v>
      </c>
      <c r="G549" s="20"/>
      <c r="H549" s="20" t="s">
        <v>2106</v>
      </c>
      <c r="I549" s="20" t="s">
        <v>23</v>
      </c>
      <c r="J549" s="21">
        <v>2015</v>
      </c>
      <c r="K549" s="20" t="s">
        <v>39</v>
      </c>
      <c r="L549" s="21"/>
      <c r="M549" s="21"/>
      <c r="N549" s="20" t="s">
        <v>185</v>
      </c>
      <c r="O549" s="20"/>
    </row>
    <row r="550" spans="1:15" ht="13.5" customHeight="1" x14ac:dyDescent="0.25">
      <c r="A550" s="1"/>
      <c r="B550" s="22">
        <v>538</v>
      </c>
      <c r="C550" s="22">
        <v>2023</v>
      </c>
      <c r="D550" s="22">
        <v>40475</v>
      </c>
      <c r="E550" s="22" t="s">
        <v>2107</v>
      </c>
      <c r="F550" s="22" t="s">
        <v>2108</v>
      </c>
      <c r="G550" s="22"/>
      <c r="H550" s="22" t="s">
        <v>2109</v>
      </c>
      <c r="I550" s="22" t="s">
        <v>23</v>
      </c>
      <c r="J550" s="23">
        <v>2014</v>
      </c>
      <c r="K550" s="22" t="s">
        <v>39</v>
      </c>
      <c r="L550" s="23"/>
      <c r="M550" s="23"/>
      <c r="N550" s="22" t="s">
        <v>381</v>
      </c>
      <c r="O550" s="22"/>
    </row>
    <row r="551" spans="1:15" ht="13.5" customHeight="1" x14ac:dyDescent="0.25">
      <c r="A551" s="1"/>
      <c r="B551" s="20">
        <v>539</v>
      </c>
      <c r="C551" s="20">
        <v>2023</v>
      </c>
      <c r="D551" s="20">
        <v>11934</v>
      </c>
      <c r="E551" s="20" t="s">
        <v>2110</v>
      </c>
      <c r="F551" s="20" t="s">
        <v>2111</v>
      </c>
      <c r="G551" s="20"/>
      <c r="H551" s="20" t="s">
        <v>2112</v>
      </c>
      <c r="I551" s="20" t="s">
        <v>23</v>
      </c>
      <c r="J551" s="21">
        <v>2000</v>
      </c>
      <c r="K551" s="20" t="s">
        <v>39</v>
      </c>
      <c r="L551" s="21"/>
      <c r="M551" s="21" t="s">
        <v>30</v>
      </c>
      <c r="N551" s="20" t="s">
        <v>35</v>
      </c>
      <c r="O551" s="20"/>
    </row>
    <row r="552" spans="1:15" ht="13.5" customHeight="1" x14ac:dyDescent="0.25">
      <c r="A552" s="1"/>
      <c r="B552" s="22">
        <v>540</v>
      </c>
      <c r="C552" s="22">
        <v>2023</v>
      </c>
      <c r="D552" s="22">
        <v>41297</v>
      </c>
      <c r="E552" s="22" t="s">
        <v>2113</v>
      </c>
      <c r="F552" s="22" t="s">
        <v>2114</v>
      </c>
      <c r="G552" s="22" t="s">
        <v>2115</v>
      </c>
      <c r="H552" s="22" t="s">
        <v>2116</v>
      </c>
      <c r="I552" s="22" t="s">
        <v>23</v>
      </c>
      <c r="J552" s="23">
        <v>2017</v>
      </c>
      <c r="K552" s="22" t="s">
        <v>73</v>
      </c>
      <c r="L552" s="23" t="s">
        <v>30</v>
      </c>
      <c r="M552" s="23"/>
      <c r="N552" s="22" t="s">
        <v>105</v>
      </c>
      <c r="O552" s="22"/>
    </row>
    <row r="553" spans="1:15" ht="13.5" customHeight="1" x14ac:dyDescent="0.25">
      <c r="A553" s="1"/>
      <c r="B553" s="20">
        <v>541</v>
      </c>
      <c r="C553" s="20">
        <v>2023</v>
      </c>
      <c r="D553" s="20">
        <v>40547</v>
      </c>
      <c r="E553" s="20" t="s">
        <v>2117</v>
      </c>
      <c r="F553" s="20" t="s">
        <v>2118</v>
      </c>
      <c r="G553" s="20" t="s">
        <v>2119</v>
      </c>
      <c r="H553" s="20" t="s">
        <v>2120</v>
      </c>
      <c r="I553" s="20" t="s">
        <v>23</v>
      </c>
      <c r="J553" s="21">
        <v>2014</v>
      </c>
      <c r="K553" s="20" t="s">
        <v>29</v>
      </c>
      <c r="L553" s="21" t="s">
        <v>30</v>
      </c>
      <c r="M553" s="21"/>
      <c r="N553" s="20" t="s">
        <v>381</v>
      </c>
      <c r="O553" s="20"/>
    </row>
    <row r="554" spans="1:15" ht="13.5" customHeight="1" x14ac:dyDescent="0.25">
      <c r="A554" s="1"/>
      <c r="B554" s="22">
        <v>542</v>
      </c>
      <c r="C554" s="22">
        <v>2023</v>
      </c>
      <c r="D554" s="22">
        <v>10559</v>
      </c>
      <c r="E554" s="22" t="s">
        <v>2121</v>
      </c>
      <c r="F554" s="22" t="s">
        <v>2122</v>
      </c>
      <c r="G554" s="22" t="s">
        <v>2123</v>
      </c>
      <c r="H554" s="22" t="s">
        <v>2124</v>
      </c>
      <c r="I554" s="22" t="s">
        <v>23</v>
      </c>
      <c r="J554" s="23">
        <v>2000</v>
      </c>
      <c r="K554" s="22" t="s">
        <v>44</v>
      </c>
      <c r="L554" s="23" t="s">
        <v>30</v>
      </c>
      <c r="M554" s="23" t="s">
        <v>30</v>
      </c>
      <c r="N554" s="22"/>
      <c r="O554" s="22"/>
    </row>
    <row r="555" spans="1:15" ht="13.5" customHeight="1" x14ac:dyDescent="0.25">
      <c r="A555" s="1"/>
      <c r="B555" s="20">
        <v>543</v>
      </c>
      <c r="C555" s="20">
        <v>2023</v>
      </c>
      <c r="D555" s="20">
        <v>11956</v>
      </c>
      <c r="E555" s="20" t="s">
        <v>2125</v>
      </c>
      <c r="F555" s="20" t="s">
        <v>2126</v>
      </c>
      <c r="G555" s="20" t="s">
        <v>2127</v>
      </c>
      <c r="H555" s="20" t="s">
        <v>2128</v>
      </c>
      <c r="I555" s="20" t="s">
        <v>62</v>
      </c>
      <c r="J555" s="21">
        <v>2007</v>
      </c>
      <c r="K555" s="20" t="s">
        <v>34</v>
      </c>
      <c r="L555" s="21" t="s">
        <v>30</v>
      </c>
      <c r="M555" s="21" t="s">
        <v>30</v>
      </c>
      <c r="N555" s="20" t="s">
        <v>74</v>
      </c>
      <c r="O555" s="20"/>
    </row>
    <row r="556" spans="1:15" ht="13.5" customHeight="1" x14ac:dyDescent="0.25">
      <c r="A556" s="1"/>
      <c r="B556" s="22">
        <v>544</v>
      </c>
      <c r="C556" s="22">
        <v>2023</v>
      </c>
      <c r="D556" s="22">
        <v>10616</v>
      </c>
      <c r="E556" s="22" t="s">
        <v>2129</v>
      </c>
      <c r="F556" s="22" t="s">
        <v>2130</v>
      </c>
      <c r="G556" s="22" t="s">
        <v>2131</v>
      </c>
      <c r="H556" s="22" t="s">
        <v>2132</v>
      </c>
      <c r="I556" s="22" t="s">
        <v>23</v>
      </c>
      <c r="J556" s="23">
        <v>2000</v>
      </c>
      <c r="K556" s="22" t="s">
        <v>24</v>
      </c>
      <c r="L556" s="23" t="s">
        <v>30</v>
      </c>
      <c r="M556" s="23" t="s">
        <v>30</v>
      </c>
      <c r="N556" s="22"/>
      <c r="O556" s="22"/>
    </row>
    <row r="557" spans="1:15" ht="13.5" customHeight="1" x14ac:dyDescent="0.25">
      <c r="A557" s="1"/>
      <c r="B557" s="20">
        <v>545</v>
      </c>
      <c r="C557" s="20">
        <v>2023</v>
      </c>
      <c r="D557" s="20">
        <v>10587</v>
      </c>
      <c r="E557" s="20" t="s">
        <v>2133</v>
      </c>
      <c r="F557" s="20" t="s">
        <v>2134</v>
      </c>
      <c r="G557" s="20" t="s">
        <v>2135</v>
      </c>
      <c r="H557" s="20" t="s">
        <v>2136</v>
      </c>
      <c r="I557" s="20" t="s">
        <v>23</v>
      </c>
      <c r="J557" s="21">
        <v>2000</v>
      </c>
      <c r="K557" s="20" t="s">
        <v>44</v>
      </c>
      <c r="L557" s="21" t="s">
        <v>30</v>
      </c>
      <c r="M557" s="21" t="s">
        <v>30</v>
      </c>
      <c r="N557" s="20"/>
      <c r="O557" s="20"/>
    </row>
    <row r="558" spans="1:15" ht="13.5" customHeight="1" x14ac:dyDescent="0.25">
      <c r="A558" s="1"/>
      <c r="B558" s="22">
        <v>546</v>
      </c>
      <c r="C558" s="22">
        <v>2023</v>
      </c>
      <c r="D558" s="22">
        <v>11712</v>
      </c>
      <c r="E558" s="22" t="s">
        <v>2137</v>
      </c>
      <c r="F558" s="22" t="s">
        <v>2138</v>
      </c>
      <c r="G558" s="22" t="s">
        <v>2139</v>
      </c>
      <c r="H558" s="22" t="s">
        <v>2140</v>
      </c>
      <c r="I558" s="22" t="s">
        <v>23</v>
      </c>
      <c r="J558" s="23">
        <v>2001</v>
      </c>
      <c r="K558" s="22" t="s">
        <v>73</v>
      </c>
      <c r="L558" s="23" t="s">
        <v>30</v>
      </c>
      <c r="M558" s="23" t="s">
        <v>30</v>
      </c>
      <c r="N558" s="22" t="s">
        <v>74</v>
      </c>
      <c r="O558" s="22"/>
    </row>
    <row r="559" spans="1:15" ht="13.5" customHeight="1" x14ac:dyDescent="0.25">
      <c r="A559" s="1"/>
      <c r="B559" s="20">
        <v>547</v>
      </c>
      <c r="C559" s="20">
        <v>2023</v>
      </c>
      <c r="D559" s="20">
        <v>40199</v>
      </c>
      <c r="E559" s="20" t="s">
        <v>2141</v>
      </c>
      <c r="F559" s="20" t="s">
        <v>2142</v>
      </c>
      <c r="G559" s="20"/>
      <c r="H559" s="20" t="s">
        <v>2143</v>
      </c>
      <c r="I559" s="20" t="s">
        <v>23</v>
      </c>
      <c r="J559" s="21">
        <v>2012</v>
      </c>
      <c r="K559" s="20" t="s">
        <v>34</v>
      </c>
      <c r="L559" s="21"/>
      <c r="M559" s="21"/>
      <c r="N559" s="20"/>
      <c r="O559" s="20"/>
    </row>
    <row r="560" spans="1:15" ht="13.5" customHeight="1" x14ac:dyDescent="0.25">
      <c r="A560" s="1"/>
      <c r="B560" s="22">
        <v>548</v>
      </c>
      <c r="C560" s="22">
        <v>2023</v>
      </c>
      <c r="D560" s="22">
        <v>10618</v>
      </c>
      <c r="E560" s="22" t="s">
        <v>2144</v>
      </c>
      <c r="F560" s="22" t="s">
        <v>2145</v>
      </c>
      <c r="G560" s="22" t="s">
        <v>2146</v>
      </c>
      <c r="H560" s="22" t="s">
        <v>2147</v>
      </c>
      <c r="I560" s="22" t="s">
        <v>23</v>
      </c>
      <c r="J560" s="23">
        <v>2000</v>
      </c>
      <c r="K560" s="22" t="s">
        <v>114</v>
      </c>
      <c r="L560" s="23" t="s">
        <v>30</v>
      </c>
      <c r="M560" s="23" t="s">
        <v>30</v>
      </c>
      <c r="N560" s="22"/>
      <c r="O560" s="22"/>
    </row>
    <row r="561" spans="1:15" ht="13.5" customHeight="1" x14ac:dyDescent="0.25">
      <c r="A561" s="1"/>
      <c r="B561" s="20">
        <v>549</v>
      </c>
      <c r="C561" s="20">
        <v>2023</v>
      </c>
      <c r="D561" s="20">
        <v>13222</v>
      </c>
      <c r="E561" s="20" t="s">
        <v>2148</v>
      </c>
      <c r="F561" s="20" t="s">
        <v>2149</v>
      </c>
      <c r="G561" s="20" t="s">
        <v>2150</v>
      </c>
      <c r="H561" s="20" t="s">
        <v>2151</v>
      </c>
      <c r="I561" s="20" t="s">
        <v>23</v>
      </c>
      <c r="J561" s="21">
        <v>2010</v>
      </c>
      <c r="K561" s="20" t="s">
        <v>114</v>
      </c>
      <c r="L561" s="21" t="s">
        <v>30</v>
      </c>
      <c r="M561" s="21"/>
      <c r="N561" s="20" t="s">
        <v>173</v>
      </c>
      <c r="O561" s="20"/>
    </row>
    <row r="562" spans="1:15" ht="13.5" customHeight="1" x14ac:dyDescent="0.25">
      <c r="A562" s="1"/>
      <c r="B562" s="22">
        <v>550</v>
      </c>
      <c r="C562" s="22">
        <v>2023</v>
      </c>
      <c r="D562" s="22">
        <v>11623</v>
      </c>
      <c r="E562" s="22" t="s">
        <v>2152</v>
      </c>
      <c r="F562" s="22" t="s">
        <v>2153</v>
      </c>
      <c r="G562" s="22" t="s">
        <v>2154</v>
      </c>
      <c r="H562" s="22" t="s">
        <v>2155</v>
      </c>
      <c r="I562" s="22" t="s">
        <v>1246</v>
      </c>
      <c r="J562" s="23">
        <v>2006</v>
      </c>
      <c r="K562" s="22" t="s">
        <v>114</v>
      </c>
      <c r="L562" s="23" t="s">
        <v>30</v>
      </c>
      <c r="M562" s="23" t="s">
        <v>30</v>
      </c>
      <c r="N562" s="22" t="s">
        <v>245</v>
      </c>
      <c r="O562" s="22"/>
    </row>
    <row r="563" spans="1:15" ht="13.5" customHeight="1" x14ac:dyDescent="0.25">
      <c r="A563" s="1"/>
      <c r="B563" s="20">
        <v>551</v>
      </c>
      <c r="C563" s="20">
        <v>2023</v>
      </c>
      <c r="D563" s="20">
        <v>10645</v>
      </c>
      <c r="E563" s="20" t="s">
        <v>2156</v>
      </c>
      <c r="F563" s="20" t="s">
        <v>2157</v>
      </c>
      <c r="G563" s="20" t="s">
        <v>2158</v>
      </c>
      <c r="H563" s="20" t="s">
        <v>2159</v>
      </c>
      <c r="I563" s="20" t="s">
        <v>23</v>
      </c>
      <c r="J563" s="21">
        <v>2000</v>
      </c>
      <c r="K563" s="20" t="s">
        <v>475</v>
      </c>
      <c r="L563" s="21" t="s">
        <v>30</v>
      </c>
      <c r="M563" s="21" t="s">
        <v>30</v>
      </c>
      <c r="N563" s="20"/>
      <c r="O563" s="20"/>
    </row>
    <row r="564" spans="1:15" ht="13.5" customHeight="1" x14ac:dyDescent="0.25">
      <c r="A564" s="1"/>
      <c r="B564" s="22">
        <v>552</v>
      </c>
      <c r="C564" s="22">
        <v>2023</v>
      </c>
      <c r="D564" s="22">
        <v>40622</v>
      </c>
      <c r="E564" s="22" t="s">
        <v>2160</v>
      </c>
      <c r="F564" s="22" t="s">
        <v>2161</v>
      </c>
      <c r="G564" s="22" t="s">
        <v>2162</v>
      </c>
      <c r="H564" s="22" t="s">
        <v>2163</v>
      </c>
      <c r="I564" s="22" t="s">
        <v>23</v>
      </c>
      <c r="J564" s="23">
        <v>2013</v>
      </c>
      <c r="K564" s="22" t="s">
        <v>29</v>
      </c>
      <c r="L564" s="23" t="s">
        <v>30</v>
      </c>
      <c r="M564" s="23"/>
      <c r="N564" s="22" t="s">
        <v>101</v>
      </c>
      <c r="O564" s="22"/>
    </row>
    <row r="565" spans="1:15" ht="13.5" customHeight="1" x14ac:dyDescent="0.25">
      <c r="A565" s="1"/>
      <c r="B565" s="20">
        <v>553</v>
      </c>
      <c r="C565" s="20">
        <v>2023</v>
      </c>
      <c r="D565" s="20">
        <v>10203</v>
      </c>
      <c r="E565" s="20" t="s">
        <v>2164</v>
      </c>
      <c r="F565" s="20" t="s">
        <v>2165</v>
      </c>
      <c r="G565" s="20" t="s">
        <v>2166</v>
      </c>
      <c r="H565" s="20" t="s">
        <v>2167</v>
      </c>
      <c r="I565" s="20" t="s">
        <v>23</v>
      </c>
      <c r="J565" s="21">
        <v>2000</v>
      </c>
      <c r="K565" s="20" t="s">
        <v>475</v>
      </c>
      <c r="L565" s="21" t="s">
        <v>30</v>
      </c>
      <c r="M565" s="21" t="s">
        <v>30</v>
      </c>
      <c r="N565" s="20"/>
      <c r="O565" s="20"/>
    </row>
    <row r="566" spans="1:15" ht="13.5" customHeight="1" x14ac:dyDescent="0.25">
      <c r="A566" s="1"/>
      <c r="B566" s="22">
        <v>554</v>
      </c>
      <c r="C566" s="22">
        <v>2023</v>
      </c>
      <c r="D566" s="22">
        <v>101</v>
      </c>
      <c r="E566" s="22" t="s">
        <v>2168</v>
      </c>
      <c r="F566" s="22" t="s">
        <v>2169</v>
      </c>
      <c r="G566" s="22" t="s">
        <v>2170</v>
      </c>
      <c r="H566" s="22" t="s">
        <v>2171</v>
      </c>
      <c r="I566" s="22" t="s">
        <v>357</v>
      </c>
      <c r="J566" s="23">
        <v>2000</v>
      </c>
      <c r="K566" s="22" t="s">
        <v>39</v>
      </c>
      <c r="L566" s="23" t="s">
        <v>30</v>
      </c>
      <c r="M566" s="23" t="s">
        <v>30</v>
      </c>
      <c r="N566" s="22"/>
      <c r="O566" s="22"/>
    </row>
    <row r="567" spans="1:15" ht="13.5" customHeight="1" x14ac:dyDescent="0.25">
      <c r="A567" s="1"/>
      <c r="B567" s="20">
        <v>555</v>
      </c>
      <c r="C567" s="20">
        <v>2023</v>
      </c>
      <c r="D567" s="20">
        <v>104</v>
      </c>
      <c r="E567" s="20" t="s">
        <v>2172</v>
      </c>
      <c r="F567" s="20" t="s">
        <v>2173</v>
      </c>
      <c r="G567" s="20" t="s">
        <v>2174</v>
      </c>
      <c r="H567" s="20" t="s">
        <v>2175</v>
      </c>
      <c r="I567" s="20" t="s">
        <v>357</v>
      </c>
      <c r="J567" s="21">
        <v>2000</v>
      </c>
      <c r="K567" s="20" t="s">
        <v>39</v>
      </c>
      <c r="L567" s="21" t="s">
        <v>30</v>
      </c>
      <c r="M567" s="21" t="s">
        <v>30</v>
      </c>
      <c r="N567" s="20"/>
      <c r="O567" s="20"/>
    </row>
    <row r="568" spans="1:15" ht="13.5" customHeight="1" x14ac:dyDescent="0.25">
      <c r="A568" s="1"/>
      <c r="B568" s="22">
        <v>556</v>
      </c>
      <c r="C568" s="22">
        <v>2023</v>
      </c>
      <c r="D568" s="22">
        <v>11428</v>
      </c>
      <c r="E568" s="22" t="s">
        <v>2176</v>
      </c>
      <c r="F568" s="22" t="s">
        <v>2177</v>
      </c>
      <c r="G568" s="22" t="s">
        <v>2178</v>
      </c>
      <c r="H568" s="22" t="s">
        <v>2179</v>
      </c>
      <c r="I568" s="22" t="s">
        <v>357</v>
      </c>
      <c r="J568" s="23">
        <v>2005</v>
      </c>
      <c r="K568" s="22" t="s">
        <v>39</v>
      </c>
      <c r="L568" s="23" t="s">
        <v>30</v>
      </c>
      <c r="M568" s="23" t="s">
        <v>30</v>
      </c>
      <c r="N568" s="22"/>
      <c r="O568" s="22"/>
    </row>
    <row r="569" spans="1:15" ht="13.5" customHeight="1" x14ac:dyDescent="0.25">
      <c r="A569" s="1"/>
      <c r="B569" s="20">
        <v>557</v>
      </c>
      <c r="C569" s="20">
        <v>2023</v>
      </c>
      <c r="D569" s="20">
        <v>12614</v>
      </c>
      <c r="E569" s="20" t="s">
        <v>2180</v>
      </c>
      <c r="F569" s="20" t="s">
        <v>2181</v>
      </c>
      <c r="G569" s="20" t="s">
        <v>2182</v>
      </c>
      <c r="H569" s="20" t="s">
        <v>2183</v>
      </c>
      <c r="I569" s="20" t="s">
        <v>357</v>
      </c>
      <c r="J569" s="21">
        <v>2010</v>
      </c>
      <c r="K569" s="20" t="s">
        <v>39</v>
      </c>
      <c r="L569" s="21" t="s">
        <v>30</v>
      </c>
      <c r="M569" s="21" t="s">
        <v>30</v>
      </c>
      <c r="N569" s="20"/>
      <c r="O569" s="20"/>
    </row>
    <row r="570" spans="1:15" ht="13.5" customHeight="1" x14ac:dyDescent="0.25">
      <c r="A570" s="1"/>
      <c r="B570" s="22">
        <v>558</v>
      </c>
      <c r="C570" s="22">
        <v>2023</v>
      </c>
      <c r="D570" s="22">
        <v>11377</v>
      </c>
      <c r="E570" s="22" t="s">
        <v>2184</v>
      </c>
      <c r="F570" s="22" t="s">
        <v>2185</v>
      </c>
      <c r="G570" s="22" t="s">
        <v>2186</v>
      </c>
      <c r="H570" s="22" t="s">
        <v>2187</v>
      </c>
      <c r="I570" s="22" t="s">
        <v>357</v>
      </c>
      <c r="J570" s="23">
        <v>2006</v>
      </c>
      <c r="K570" s="22" t="s">
        <v>39</v>
      </c>
      <c r="L570" s="23" t="s">
        <v>30</v>
      </c>
      <c r="M570" s="23" t="s">
        <v>30</v>
      </c>
      <c r="N570" s="22"/>
      <c r="O570" s="22"/>
    </row>
    <row r="571" spans="1:15" ht="13.5" customHeight="1" x14ac:dyDescent="0.25">
      <c r="A571" s="1"/>
      <c r="B571" s="20">
        <v>559</v>
      </c>
      <c r="C571" s="20">
        <v>2023</v>
      </c>
      <c r="D571" s="20">
        <v>129</v>
      </c>
      <c r="E571" s="20" t="s">
        <v>2188</v>
      </c>
      <c r="F571" s="20" t="s">
        <v>2189</v>
      </c>
      <c r="G571" s="20" t="s">
        <v>2190</v>
      </c>
      <c r="H571" s="20" t="s">
        <v>2191</v>
      </c>
      <c r="I571" s="20" t="s">
        <v>357</v>
      </c>
      <c r="J571" s="21">
        <v>2000</v>
      </c>
      <c r="K571" s="20" t="s">
        <v>39</v>
      </c>
      <c r="L571" s="21" t="s">
        <v>30</v>
      </c>
      <c r="M571" s="21" t="s">
        <v>30</v>
      </c>
      <c r="N571" s="20"/>
      <c r="O571" s="20"/>
    </row>
    <row r="572" spans="1:15" ht="13.5" customHeight="1" x14ac:dyDescent="0.25">
      <c r="A572" s="1"/>
      <c r="B572" s="22">
        <v>560</v>
      </c>
      <c r="C572" s="22">
        <v>2023</v>
      </c>
      <c r="D572" s="22">
        <v>105</v>
      </c>
      <c r="E572" s="22" t="s">
        <v>2192</v>
      </c>
      <c r="F572" s="22" t="s">
        <v>2193</v>
      </c>
      <c r="G572" s="22" t="s">
        <v>2194</v>
      </c>
      <c r="H572" s="22" t="s">
        <v>2195</v>
      </c>
      <c r="I572" s="22" t="s">
        <v>357</v>
      </c>
      <c r="J572" s="23">
        <v>2000</v>
      </c>
      <c r="K572" s="22" t="s">
        <v>39</v>
      </c>
      <c r="L572" s="23" t="s">
        <v>30</v>
      </c>
      <c r="M572" s="23" t="s">
        <v>30</v>
      </c>
      <c r="N572" s="22"/>
      <c r="O572" s="22"/>
    </row>
    <row r="573" spans="1:15" ht="13.5" customHeight="1" x14ac:dyDescent="0.25">
      <c r="A573" s="1"/>
      <c r="B573" s="20">
        <v>561</v>
      </c>
      <c r="C573" s="20">
        <v>2023</v>
      </c>
      <c r="D573" s="20">
        <v>108</v>
      </c>
      <c r="E573" s="20" t="s">
        <v>2196</v>
      </c>
      <c r="F573" s="20" t="s">
        <v>2197</v>
      </c>
      <c r="G573" s="20" t="s">
        <v>2198</v>
      </c>
      <c r="H573" s="20" t="s">
        <v>2199</v>
      </c>
      <c r="I573" s="20" t="s">
        <v>357</v>
      </c>
      <c r="J573" s="21">
        <v>2000</v>
      </c>
      <c r="K573" s="20" t="s">
        <v>39</v>
      </c>
      <c r="L573" s="21" t="s">
        <v>30</v>
      </c>
      <c r="M573" s="21" t="s">
        <v>30</v>
      </c>
      <c r="N573" s="20"/>
      <c r="O573" s="20"/>
    </row>
    <row r="574" spans="1:15" ht="13.5" customHeight="1" x14ac:dyDescent="0.25">
      <c r="A574" s="1"/>
      <c r="B574" s="22">
        <v>562</v>
      </c>
      <c r="C574" s="22">
        <v>2023</v>
      </c>
      <c r="D574" s="22">
        <v>13279</v>
      </c>
      <c r="E574" s="22" t="s">
        <v>2200</v>
      </c>
      <c r="F574" s="22" t="s">
        <v>2201</v>
      </c>
      <c r="G574" s="22" t="s">
        <v>2202</v>
      </c>
      <c r="H574" s="22" t="s">
        <v>2203</v>
      </c>
      <c r="I574" s="22" t="s">
        <v>357</v>
      </c>
      <c r="J574" s="23">
        <v>2010</v>
      </c>
      <c r="K574" s="22" t="s">
        <v>39</v>
      </c>
      <c r="L574" s="23" t="s">
        <v>30</v>
      </c>
      <c r="M574" s="23" t="s">
        <v>30</v>
      </c>
      <c r="N574" s="22"/>
      <c r="O574" s="22"/>
    </row>
    <row r="575" spans="1:15" ht="13.5" customHeight="1" x14ac:dyDescent="0.25">
      <c r="A575" s="1"/>
      <c r="B575" s="20">
        <v>563</v>
      </c>
      <c r="C575" s="20">
        <v>2023</v>
      </c>
      <c r="D575" s="20">
        <v>12181</v>
      </c>
      <c r="E575" s="20" t="s">
        <v>2204</v>
      </c>
      <c r="F575" s="20" t="s">
        <v>2205</v>
      </c>
      <c r="G575" s="20" t="s">
        <v>2206</v>
      </c>
      <c r="H575" s="20" t="s">
        <v>2207</v>
      </c>
      <c r="I575" s="20" t="s">
        <v>357</v>
      </c>
      <c r="J575" s="21">
        <v>2007</v>
      </c>
      <c r="K575" s="20" t="s">
        <v>39</v>
      </c>
      <c r="L575" s="21" t="s">
        <v>30</v>
      </c>
      <c r="M575" s="21" t="s">
        <v>30</v>
      </c>
      <c r="N575" s="20" t="s">
        <v>245</v>
      </c>
      <c r="O575" s="20"/>
    </row>
    <row r="576" spans="1:15" ht="13.5" customHeight="1" x14ac:dyDescent="0.25">
      <c r="A576" s="1"/>
      <c r="B576" s="22">
        <v>564</v>
      </c>
      <c r="C576" s="22">
        <v>2023</v>
      </c>
      <c r="D576" s="22">
        <v>12285</v>
      </c>
      <c r="E576" s="22" t="s">
        <v>2208</v>
      </c>
      <c r="F576" s="22" t="s">
        <v>2209</v>
      </c>
      <c r="G576" s="22" t="s">
        <v>2210</v>
      </c>
      <c r="H576" s="22" t="s">
        <v>2211</v>
      </c>
      <c r="I576" s="22" t="s">
        <v>357</v>
      </c>
      <c r="J576" s="23">
        <v>2008</v>
      </c>
      <c r="K576" s="22" t="s">
        <v>39</v>
      </c>
      <c r="L576" s="23" t="s">
        <v>30</v>
      </c>
      <c r="M576" s="23" t="s">
        <v>30</v>
      </c>
      <c r="N576" s="22" t="s">
        <v>352</v>
      </c>
      <c r="O576" s="22"/>
    </row>
    <row r="577" spans="1:15" ht="13.5" customHeight="1" x14ac:dyDescent="0.25">
      <c r="A577" s="1"/>
      <c r="B577" s="20">
        <v>565</v>
      </c>
      <c r="C577" s="20">
        <v>2023</v>
      </c>
      <c r="D577" s="20">
        <v>11560</v>
      </c>
      <c r="E577" s="20" t="s">
        <v>2212</v>
      </c>
      <c r="F577" s="20" t="s">
        <v>2213</v>
      </c>
      <c r="G577" s="20" t="s">
        <v>2214</v>
      </c>
      <c r="H577" s="20" t="s">
        <v>2215</v>
      </c>
      <c r="I577" s="20" t="s">
        <v>357</v>
      </c>
      <c r="J577" s="21">
        <v>2006</v>
      </c>
      <c r="K577" s="20" t="s">
        <v>39</v>
      </c>
      <c r="L577" s="21" t="s">
        <v>30</v>
      </c>
      <c r="M577" s="21" t="s">
        <v>30</v>
      </c>
      <c r="N577" s="20"/>
      <c r="O577" s="20"/>
    </row>
    <row r="578" spans="1:15" ht="13.5" customHeight="1" x14ac:dyDescent="0.25">
      <c r="A578" s="1"/>
      <c r="B578" s="22">
        <v>566</v>
      </c>
      <c r="C578" s="22">
        <v>2023</v>
      </c>
      <c r="D578" s="22">
        <v>115</v>
      </c>
      <c r="E578" s="22" t="s">
        <v>2216</v>
      </c>
      <c r="F578" s="22" t="s">
        <v>2217</v>
      </c>
      <c r="G578" s="22" t="s">
        <v>2218</v>
      </c>
      <c r="H578" s="22" t="s">
        <v>2219</v>
      </c>
      <c r="I578" s="22" t="s">
        <v>357</v>
      </c>
      <c r="J578" s="23">
        <v>2000</v>
      </c>
      <c r="K578" s="22" t="s">
        <v>39</v>
      </c>
      <c r="L578" s="23" t="s">
        <v>30</v>
      </c>
      <c r="M578" s="23" t="s">
        <v>30</v>
      </c>
      <c r="N578" s="22"/>
      <c r="O578" s="22"/>
    </row>
    <row r="579" spans="1:15" ht="13.5" customHeight="1" x14ac:dyDescent="0.25">
      <c r="A579" s="1"/>
      <c r="B579" s="20">
        <v>567</v>
      </c>
      <c r="C579" s="20">
        <v>2023</v>
      </c>
      <c r="D579" s="20">
        <v>761</v>
      </c>
      <c r="E579" s="20" t="s">
        <v>2220</v>
      </c>
      <c r="F579" s="20" t="s">
        <v>2221</v>
      </c>
      <c r="G579" s="20" t="s">
        <v>2222</v>
      </c>
      <c r="H579" s="20" t="s">
        <v>2223</v>
      </c>
      <c r="I579" s="20" t="s">
        <v>357</v>
      </c>
      <c r="J579" s="21">
        <v>2000</v>
      </c>
      <c r="K579" s="20" t="s">
        <v>39</v>
      </c>
      <c r="L579" s="21" t="s">
        <v>30</v>
      </c>
      <c r="M579" s="21" t="s">
        <v>30</v>
      </c>
      <c r="N579" s="20"/>
      <c r="O579" s="20"/>
    </row>
    <row r="580" spans="1:15" ht="13.5" customHeight="1" x14ac:dyDescent="0.25">
      <c r="A580" s="1"/>
      <c r="B580" s="22">
        <v>568</v>
      </c>
      <c r="C580" s="22">
        <v>2023</v>
      </c>
      <c r="D580" s="22">
        <v>347</v>
      </c>
      <c r="E580" s="22" t="s">
        <v>2224</v>
      </c>
      <c r="F580" s="22" t="s">
        <v>2225</v>
      </c>
      <c r="G580" s="22" t="s">
        <v>2226</v>
      </c>
      <c r="H580" s="22" t="s">
        <v>2227</v>
      </c>
      <c r="I580" s="22" t="s">
        <v>357</v>
      </c>
      <c r="J580" s="23">
        <v>2000</v>
      </c>
      <c r="K580" s="22" t="s">
        <v>39</v>
      </c>
      <c r="L580" s="23" t="s">
        <v>30</v>
      </c>
      <c r="M580" s="23" t="s">
        <v>30</v>
      </c>
      <c r="N580" s="22"/>
      <c r="O580" s="22"/>
    </row>
    <row r="581" spans="1:15" ht="13.5" customHeight="1" x14ac:dyDescent="0.25">
      <c r="A581" s="1"/>
      <c r="B581" s="20">
        <v>569</v>
      </c>
      <c r="C581" s="20">
        <v>2023</v>
      </c>
      <c r="D581" s="20">
        <v>132</v>
      </c>
      <c r="E581" s="20" t="s">
        <v>2228</v>
      </c>
      <c r="F581" s="20" t="s">
        <v>2229</v>
      </c>
      <c r="G581" s="20" t="s">
        <v>2230</v>
      </c>
      <c r="H581" s="20" t="s">
        <v>2231</v>
      </c>
      <c r="I581" s="20" t="s">
        <v>357</v>
      </c>
      <c r="J581" s="21">
        <v>2000</v>
      </c>
      <c r="K581" s="20" t="s">
        <v>39</v>
      </c>
      <c r="L581" s="21" t="s">
        <v>30</v>
      </c>
      <c r="M581" s="21" t="s">
        <v>30</v>
      </c>
      <c r="N581" s="20"/>
      <c r="O581" s="20"/>
    </row>
    <row r="582" spans="1:15" ht="13.5" customHeight="1" x14ac:dyDescent="0.25">
      <c r="A582" s="1"/>
      <c r="B582" s="22">
        <v>570</v>
      </c>
      <c r="C582" s="22">
        <v>2023</v>
      </c>
      <c r="D582" s="22">
        <v>292</v>
      </c>
      <c r="E582" s="22" t="s">
        <v>2232</v>
      </c>
      <c r="F582" s="22" t="s">
        <v>2233</v>
      </c>
      <c r="G582" s="22" t="s">
        <v>2234</v>
      </c>
      <c r="H582" s="22" t="s">
        <v>2235</v>
      </c>
      <c r="I582" s="22" t="s">
        <v>357</v>
      </c>
      <c r="J582" s="23">
        <v>2000</v>
      </c>
      <c r="K582" s="22" t="s">
        <v>39</v>
      </c>
      <c r="L582" s="23" t="s">
        <v>30</v>
      </c>
      <c r="M582" s="23" t="s">
        <v>30</v>
      </c>
      <c r="N582" s="22"/>
      <c r="O582" s="22"/>
    </row>
    <row r="583" spans="1:15" ht="13.5" customHeight="1" x14ac:dyDescent="0.25">
      <c r="A583" s="1"/>
      <c r="B583" s="20">
        <v>571</v>
      </c>
      <c r="C583" s="20">
        <v>2023</v>
      </c>
      <c r="D583" s="20">
        <v>10405</v>
      </c>
      <c r="E583" s="20" t="s">
        <v>2236</v>
      </c>
      <c r="F583" s="20" t="s">
        <v>2237</v>
      </c>
      <c r="G583" s="20" t="s">
        <v>2238</v>
      </c>
      <c r="H583" s="20" t="s">
        <v>2239</v>
      </c>
      <c r="I583" s="20" t="s">
        <v>357</v>
      </c>
      <c r="J583" s="21">
        <v>2004</v>
      </c>
      <c r="K583" s="20" t="s">
        <v>39</v>
      </c>
      <c r="L583" s="21" t="s">
        <v>30</v>
      </c>
      <c r="M583" s="21" t="s">
        <v>30</v>
      </c>
      <c r="N583" s="20"/>
      <c r="O583" s="20"/>
    </row>
    <row r="584" spans="1:15" ht="13.5" customHeight="1" x14ac:dyDescent="0.25">
      <c r="A584" s="1"/>
      <c r="B584" s="22">
        <v>572</v>
      </c>
      <c r="C584" s="22">
        <v>2023</v>
      </c>
      <c r="D584" s="22">
        <v>117</v>
      </c>
      <c r="E584" s="22" t="s">
        <v>2240</v>
      </c>
      <c r="F584" s="22" t="s">
        <v>2241</v>
      </c>
      <c r="G584" s="22" t="s">
        <v>2242</v>
      </c>
      <c r="H584" s="22" t="s">
        <v>2243</v>
      </c>
      <c r="I584" s="22" t="s">
        <v>357</v>
      </c>
      <c r="J584" s="23">
        <v>2000</v>
      </c>
      <c r="K584" s="22" t="s">
        <v>39</v>
      </c>
      <c r="L584" s="23" t="s">
        <v>30</v>
      </c>
      <c r="M584" s="23" t="s">
        <v>30</v>
      </c>
      <c r="N584" s="22"/>
      <c r="O584" s="22"/>
    </row>
    <row r="585" spans="1:15" ht="13.5" customHeight="1" x14ac:dyDescent="0.25">
      <c r="A585" s="1"/>
      <c r="B585" s="20">
        <v>573</v>
      </c>
      <c r="C585" s="20">
        <v>2023</v>
      </c>
      <c r="D585" s="20">
        <v>482</v>
      </c>
      <c r="E585" s="20" t="s">
        <v>2244</v>
      </c>
      <c r="F585" s="20" t="s">
        <v>2245</v>
      </c>
      <c r="G585" s="20" t="s">
        <v>2246</v>
      </c>
      <c r="H585" s="20" t="s">
        <v>2247</v>
      </c>
      <c r="I585" s="20" t="s">
        <v>357</v>
      </c>
      <c r="J585" s="21">
        <v>2000</v>
      </c>
      <c r="K585" s="20" t="s">
        <v>39</v>
      </c>
      <c r="L585" s="21" t="s">
        <v>30</v>
      </c>
      <c r="M585" s="21" t="s">
        <v>30</v>
      </c>
      <c r="N585" s="20"/>
      <c r="O585" s="20"/>
    </row>
    <row r="586" spans="1:15" ht="13.5" customHeight="1" x14ac:dyDescent="0.25">
      <c r="A586" s="1"/>
      <c r="B586" s="22">
        <v>574</v>
      </c>
      <c r="C586" s="22">
        <v>2023</v>
      </c>
      <c r="D586" s="22">
        <v>113</v>
      </c>
      <c r="E586" s="22" t="s">
        <v>2248</v>
      </c>
      <c r="F586" s="22" t="s">
        <v>2249</v>
      </c>
      <c r="G586" s="22" t="s">
        <v>2250</v>
      </c>
      <c r="H586" s="22" t="s">
        <v>2251</v>
      </c>
      <c r="I586" s="22" t="s">
        <v>357</v>
      </c>
      <c r="J586" s="23">
        <v>2000</v>
      </c>
      <c r="K586" s="22" t="s">
        <v>39</v>
      </c>
      <c r="L586" s="23" t="s">
        <v>30</v>
      </c>
      <c r="M586" s="23" t="s">
        <v>30</v>
      </c>
      <c r="N586" s="22"/>
      <c r="O586" s="22"/>
    </row>
    <row r="587" spans="1:15" ht="13.5" customHeight="1" x14ac:dyDescent="0.25">
      <c r="A587" s="1"/>
      <c r="B587" s="20">
        <v>575</v>
      </c>
      <c r="C587" s="20">
        <v>2023</v>
      </c>
      <c r="D587" s="20">
        <v>120</v>
      </c>
      <c r="E587" s="20" t="s">
        <v>2252</v>
      </c>
      <c r="F587" s="20" t="s">
        <v>2253</v>
      </c>
      <c r="G587" s="20" t="s">
        <v>2254</v>
      </c>
      <c r="H587" s="20" t="s">
        <v>2255</v>
      </c>
      <c r="I587" s="20" t="s">
        <v>357</v>
      </c>
      <c r="J587" s="21">
        <v>2000</v>
      </c>
      <c r="K587" s="20" t="s">
        <v>39</v>
      </c>
      <c r="L587" s="21" t="s">
        <v>30</v>
      </c>
      <c r="M587" s="21" t="s">
        <v>30</v>
      </c>
      <c r="N587" s="20"/>
      <c r="O587" s="20"/>
    </row>
    <row r="588" spans="1:15" ht="13.5" customHeight="1" x14ac:dyDescent="0.25">
      <c r="A588" s="1"/>
      <c r="B588" s="22">
        <v>576</v>
      </c>
      <c r="C588" s="22">
        <v>2023</v>
      </c>
      <c r="D588" s="22">
        <v>10617</v>
      </c>
      <c r="E588" s="22" t="s">
        <v>2256</v>
      </c>
      <c r="F588" s="22" t="s">
        <v>2257</v>
      </c>
      <c r="G588" s="22" t="s">
        <v>2258</v>
      </c>
      <c r="H588" s="22" t="s">
        <v>2259</v>
      </c>
      <c r="I588" s="22" t="s">
        <v>23</v>
      </c>
      <c r="J588" s="23">
        <v>2000</v>
      </c>
      <c r="K588" s="22" t="s">
        <v>67</v>
      </c>
      <c r="L588" s="23" t="s">
        <v>30</v>
      </c>
      <c r="M588" s="23" t="s">
        <v>30</v>
      </c>
      <c r="N588" s="22"/>
      <c r="O588" s="22"/>
    </row>
    <row r="589" spans="1:15" ht="13.5" customHeight="1" x14ac:dyDescent="0.25">
      <c r="A589" s="1"/>
      <c r="B589" s="20">
        <v>577</v>
      </c>
      <c r="C589" s="20">
        <v>2023</v>
      </c>
      <c r="D589" s="20">
        <v>10623</v>
      </c>
      <c r="E589" s="20" t="s">
        <v>2260</v>
      </c>
      <c r="F589" s="20" t="s">
        <v>2261</v>
      </c>
      <c r="G589" s="20" t="s">
        <v>2262</v>
      </c>
      <c r="H589" s="20" t="s">
        <v>2263</v>
      </c>
      <c r="I589" s="20" t="s">
        <v>23</v>
      </c>
      <c r="J589" s="21">
        <v>2000</v>
      </c>
      <c r="K589" s="20" t="s">
        <v>114</v>
      </c>
      <c r="L589" s="21" t="s">
        <v>30</v>
      </c>
      <c r="M589" s="21" t="s">
        <v>30</v>
      </c>
      <c r="N589" s="20"/>
      <c r="O589" s="20"/>
    </row>
    <row r="590" spans="1:15" ht="13.5" customHeight="1" x14ac:dyDescent="0.25">
      <c r="A590" s="1"/>
      <c r="B590" s="22">
        <v>578</v>
      </c>
      <c r="C590" s="22">
        <v>2023</v>
      </c>
      <c r="D590" s="22">
        <v>41245</v>
      </c>
      <c r="E590" s="22" t="s">
        <v>2264</v>
      </c>
      <c r="F590" s="22" t="s">
        <v>2265</v>
      </c>
      <c r="G590" s="22" t="s">
        <v>2266</v>
      </c>
      <c r="H590" s="22" t="s">
        <v>2267</v>
      </c>
      <c r="I590" s="22" t="s">
        <v>2268</v>
      </c>
      <c r="J590" s="23">
        <v>2000</v>
      </c>
      <c r="K590" s="22" t="s">
        <v>664</v>
      </c>
      <c r="L590" s="23" t="s">
        <v>30</v>
      </c>
      <c r="M590" s="23"/>
      <c r="N590" s="22" t="s">
        <v>1470</v>
      </c>
      <c r="O590" s="22"/>
    </row>
    <row r="591" spans="1:15" ht="13.5" customHeight="1" x14ac:dyDescent="0.25">
      <c r="A591" s="1"/>
      <c r="B591" s="20">
        <v>579</v>
      </c>
      <c r="C591" s="20">
        <v>2023</v>
      </c>
      <c r="D591" s="20">
        <v>42212</v>
      </c>
      <c r="E591" s="20" t="s">
        <v>2269</v>
      </c>
      <c r="F591" s="20" t="s">
        <v>2270</v>
      </c>
      <c r="G591" s="20" t="s">
        <v>2271</v>
      </c>
      <c r="H591" s="20" t="s">
        <v>2272</v>
      </c>
      <c r="I591" s="20" t="s">
        <v>357</v>
      </c>
      <c r="J591" s="21">
        <v>2003</v>
      </c>
      <c r="K591" s="20" t="s">
        <v>39</v>
      </c>
      <c r="L591" s="21" t="s">
        <v>30</v>
      </c>
      <c r="M591" s="21"/>
      <c r="N591" s="20" t="s">
        <v>151</v>
      </c>
      <c r="O591" s="20"/>
    </row>
    <row r="592" spans="1:15" ht="13.5" customHeight="1" x14ac:dyDescent="0.25">
      <c r="A592" s="1"/>
      <c r="B592" s="22">
        <v>580</v>
      </c>
      <c r="C592" s="22">
        <v>2023</v>
      </c>
      <c r="D592" s="22">
        <v>427</v>
      </c>
      <c r="E592" s="22" t="s">
        <v>2273</v>
      </c>
      <c r="F592" s="22" t="s">
        <v>2274</v>
      </c>
      <c r="G592" s="22" t="s">
        <v>2275</v>
      </c>
      <c r="H592" s="22" t="s">
        <v>2276</v>
      </c>
      <c r="I592" s="22" t="s">
        <v>23</v>
      </c>
      <c r="J592" s="23">
        <v>2000</v>
      </c>
      <c r="K592" s="22" t="s">
        <v>34</v>
      </c>
      <c r="L592" s="23" t="s">
        <v>30</v>
      </c>
      <c r="M592" s="23" t="s">
        <v>30</v>
      </c>
      <c r="N592" s="22"/>
      <c r="O592" s="22"/>
    </row>
    <row r="593" spans="1:15" ht="13.5" customHeight="1" x14ac:dyDescent="0.25">
      <c r="A593" s="1"/>
      <c r="B593" s="20">
        <v>581</v>
      </c>
      <c r="C593" s="20">
        <v>2023</v>
      </c>
      <c r="D593" s="20">
        <v>125</v>
      </c>
      <c r="E593" s="20" t="s">
        <v>2277</v>
      </c>
      <c r="F593" s="20" t="s">
        <v>2278</v>
      </c>
      <c r="G593" s="20" t="s">
        <v>2279</v>
      </c>
      <c r="H593" s="20" t="s">
        <v>2280</v>
      </c>
      <c r="I593" s="20" t="s">
        <v>23</v>
      </c>
      <c r="J593" s="21">
        <v>2000</v>
      </c>
      <c r="K593" s="20" t="s">
        <v>39</v>
      </c>
      <c r="L593" s="21" t="s">
        <v>30</v>
      </c>
      <c r="M593" s="21" t="s">
        <v>30</v>
      </c>
      <c r="N593" s="20"/>
      <c r="O593" s="20"/>
    </row>
    <row r="594" spans="1:15" ht="13.5" customHeight="1" x14ac:dyDescent="0.25">
      <c r="A594" s="1"/>
      <c r="B594" s="22">
        <v>582</v>
      </c>
      <c r="C594" s="22">
        <v>2023</v>
      </c>
      <c r="D594" s="22">
        <v>13340</v>
      </c>
      <c r="E594" s="22" t="s">
        <v>2281</v>
      </c>
      <c r="F594" s="22" t="s">
        <v>2282</v>
      </c>
      <c r="G594" s="22" t="s">
        <v>2283</v>
      </c>
      <c r="H594" s="22" t="s">
        <v>2284</v>
      </c>
      <c r="I594" s="22" t="s">
        <v>23</v>
      </c>
      <c r="J594" s="23">
        <v>2010</v>
      </c>
      <c r="K594" s="22" t="s">
        <v>39</v>
      </c>
      <c r="L594" s="23" t="s">
        <v>30</v>
      </c>
      <c r="M594" s="23" t="s">
        <v>30</v>
      </c>
      <c r="N594" s="22" t="s">
        <v>1310</v>
      </c>
      <c r="O594" s="22"/>
    </row>
    <row r="595" spans="1:15" ht="13.5" customHeight="1" x14ac:dyDescent="0.25">
      <c r="A595" s="1"/>
      <c r="B595" s="20">
        <v>583</v>
      </c>
      <c r="C595" s="20">
        <v>2023</v>
      </c>
      <c r="D595" s="20">
        <v>10624</v>
      </c>
      <c r="E595" s="20" t="s">
        <v>2285</v>
      </c>
      <c r="F595" s="20" t="s">
        <v>2286</v>
      </c>
      <c r="G595" s="20" t="s">
        <v>2287</v>
      </c>
      <c r="H595" s="20" t="s">
        <v>2288</v>
      </c>
      <c r="I595" s="20" t="s">
        <v>23</v>
      </c>
      <c r="J595" s="21">
        <v>2000</v>
      </c>
      <c r="K595" s="20" t="s">
        <v>184</v>
      </c>
      <c r="L595" s="21" t="s">
        <v>30</v>
      </c>
      <c r="M595" s="21" t="s">
        <v>30</v>
      </c>
      <c r="N595" s="20"/>
      <c r="O595" s="20"/>
    </row>
    <row r="596" spans="1:15" ht="13.5" customHeight="1" x14ac:dyDescent="0.25">
      <c r="A596" s="1"/>
      <c r="B596" s="22">
        <v>584</v>
      </c>
      <c r="C596" s="22">
        <v>2023</v>
      </c>
      <c r="D596" s="22">
        <v>10625</v>
      </c>
      <c r="E596" s="22" t="s">
        <v>2289</v>
      </c>
      <c r="F596" s="22" t="s">
        <v>2290</v>
      </c>
      <c r="G596" s="22" t="s">
        <v>2291</v>
      </c>
      <c r="H596" s="22" t="s">
        <v>2292</v>
      </c>
      <c r="I596" s="22" t="s">
        <v>62</v>
      </c>
      <c r="J596" s="23">
        <v>2000</v>
      </c>
      <c r="K596" s="22" t="s">
        <v>44</v>
      </c>
      <c r="L596" s="23" t="s">
        <v>30</v>
      </c>
      <c r="M596" s="23" t="s">
        <v>30</v>
      </c>
      <c r="N596" s="22"/>
      <c r="O596" s="22"/>
    </row>
    <row r="597" spans="1:15" ht="13.5" customHeight="1" x14ac:dyDescent="0.25">
      <c r="A597" s="1"/>
      <c r="B597" s="20">
        <v>585</v>
      </c>
      <c r="C597" s="20">
        <v>2023</v>
      </c>
      <c r="D597" s="20">
        <v>12591</v>
      </c>
      <c r="E597" s="20" t="s">
        <v>2293</v>
      </c>
      <c r="F597" s="20" t="s">
        <v>2294</v>
      </c>
      <c r="G597" s="20" t="s">
        <v>2295</v>
      </c>
      <c r="H597" s="20" t="s">
        <v>2296</v>
      </c>
      <c r="I597" s="20" t="s">
        <v>23</v>
      </c>
      <c r="J597" s="21">
        <v>2008</v>
      </c>
      <c r="K597" s="20" t="s">
        <v>44</v>
      </c>
      <c r="L597" s="21" t="s">
        <v>30</v>
      </c>
      <c r="M597" s="21" t="s">
        <v>30</v>
      </c>
      <c r="N597" s="20" t="s">
        <v>35</v>
      </c>
      <c r="O597" s="20"/>
    </row>
    <row r="598" spans="1:15" ht="13.5" customHeight="1" x14ac:dyDescent="0.25">
      <c r="A598" s="1"/>
      <c r="B598" s="22">
        <v>586</v>
      </c>
      <c r="C598" s="22">
        <v>2023</v>
      </c>
      <c r="D598" s="22">
        <v>10620</v>
      </c>
      <c r="E598" s="22" t="s">
        <v>2297</v>
      </c>
      <c r="F598" s="22" t="s">
        <v>2298</v>
      </c>
      <c r="G598" s="22" t="s">
        <v>2299</v>
      </c>
      <c r="H598" s="22" t="s">
        <v>2300</v>
      </c>
      <c r="I598" s="22" t="s">
        <v>23</v>
      </c>
      <c r="J598" s="23">
        <v>2000</v>
      </c>
      <c r="K598" s="22" t="s">
        <v>39</v>
      </c>
      <c r="L598" s="23" t="s">
        <v>30</v>
      </c>
      <c r="M598" s="23" t="s">
        <v>30</v>
      </c>
      <c r="N598" s="22"/>
      <c r="O598" s="22"/>
    </row>
    <row r="599" spans="1:15" ht="13.5" customHeight="1" x14ac:dyDescent="0.25">
      <c r="A599" s="1"/>
      <c r="B599" s="20">
        <v>587</v>
      </c>
      <c r="C599" s="20">
        <v>2023</v>
      </c>
      <c r="D599" s="20">
        <v>40751</v>
      </c>
      <c r="E599" s="20" t="s">
        <v>2301</v>
      </c>
      <c r="F599" s="20" t="s">
        <v>2302</v>
      </c>
      <c r="G599" s="20" t="s">
        <v>2303</v>
      </c>
      <c r="H599" s="20" t="s">
        <v>2304</v>
      </c>
      <c r="I599" s="20" t="s">
        <v>23</v>
      </c>
      <c r="J599" s="21">
        <v>2015</v>
      </c>
      <c r="K599" s="20" t="s">
        <v>73</v>
      </c>
      <c r="L599" s="21" t="s">
        <v>30</v>
      </c>
      <c r="M599" s="21"/>
      <c r="N599" s="20" t="s">
        <v>185</v>
      </c>
      <c r="O599" s="20"/>
    </row>
    <row r="600" spans="1:15" ht="13.5" customHeight="1" x14ac:dyDescent="0.25">
      <c r="A600" s="1"/>
      <c r="B600" s="22">
        <v>588</v>
      </c>
      <c r="C600" s="22">
        <v>2023</v>
      </c>
      <c r="D600" s="22">
        <v>42521</v>
      </c>
      <c r="E600" s="22" t="s">
        <v>2305</v>
      </c>
      <c r="F600" s="22" t="s">
        <v>2306</v>
      </c>
      <c r="G600" s="22"/>
      <c r="H600" s="22" t="s">
        <v>2307</v>
      </c>
      <c r="I600" s="22" t="s">
        <v>23</v>
      </c>
      <c r="J600" s="23">
        <v>2019</v>
      </c>
      <c r="K600" s="22" t="s">
        <v>475</v>
      </c>
      <c r="L600" s="23"/>
      <c r="M600" s="23"/>
      <c r="N600" s="22" t="s">
        <v>218</v>
      </c>
      <c r="O600" s="22"/>
    </row>
    <row r="601" spans="1:15" ht="13.5" customHeight="1" x14ac:dyDescent="0.25">
      <c r="A601" s="1"/>
      <c r="B601" s="20">
        <v>589</v>
      </c>
      <c r="C601" s="20">
        <v>2023</v>
      </c>
      <c r="D601" s="20">
        <v>44206</v>
      </c>
      <c r="E601" s="20" t="s">
        <v>2308</v>
      </c>
      <c r="F601" s="20" t="s">
        <v>2309</v>
      </c>
      <c r="G601" s="20"/>
      <c r="H601" s="20" t="s">
        <v>2310</v>
      </c>
      <c r="I601" s="20" t="s">
        <v>23</v>
      </c>
      <c r="J601" s="21"/>
      <c r="K601" s="20" t="s">
        <v>114</v>
      </c>
      <c r="L601" s="21"/>
      <c r="M601" s="21"/>
      <c r="N601" s="20" t="s">
        <v>518</v>
      </c>
      <c r="O601" s="20"/>
    </row>
    <row r="602" spans="1:15" ht="13.5" customHeight="1" x14ac:dyDescent="0.25">
      <c r="A602" s="1"/>
      <c r="B602" s="22">
        <v>590</v>
      </c>
      <c r="C602" s="22">
        <v>2023</v>
      </c>
      <c r="D602" s="22">
        <v>454</v>
      </c>
      <c r="E602" s="22" t="s">
        <v>2311</v>
      </c>
      <c r="F602" s="22" t="s">
        <v>2312</v>
      </c>
      <c r="G602" s="22" t="s">
        <v>2313</v>
      </c>
      <c r="H602" s="22" t="s">
        <v>2314</v>
      </c>
      <c r="I602" s="22" t="s">
        <v>23</v>
      </c>
      <c r="J602" s="23">
        <v>2000</v>
      </c>
      <c r="K602" s="22" t="s">
        <v>44</v>
      </c>
      <c r="L602" s="23" t="s">
        <v>30</v>
      </c>
      <c r="M602" s="23" t="s">
        <v>30</v>
      </c>
      <c r="N602" s="22"/>
      <c r="O602" s="22"/>
    </row>
    <row r="603" spans="1:15" ht="13.5" customHeight="1" x14ac:dyDescent="0.25">
      <c r="A603" s="1"/>
      <c r="B603" s="20">
        <v>591</v>
      </c>
      <c r="C603" s="20">
        <v>2023</v>
      </c>
      <c r="D603" s="20">
        <v>10626</v>
      </c>
      <c r="E603" s="20" t="s">
        <v>2315</v>
      </c>
      <c r="F603" s="20" t="s">
        <v>2316</v>
      </c>
      <c r="G603" s="20" t="s">
        <v>2317</v>
      </c>
      <c r="H603" s="20" t="s">
        <v>2318</v>
      </c>
      <c r="I603" s="20" t="s">
        <v>23</v>
      </c>
      <c r="J603" s="21">
        <v>2000</v>
      </c>
      <c r="K603" s="20" t="s">
        <v>44</v>
      </c>
      <c r="L603" s="21" t="s">
        <v>30</v>
      </c>
      <c r="M603" s="21" t="s">
        <v>30</v>
      </c>
      <c r="N603" s="20"/>
      <c r="O603" s="20"/>
    </row>
    <row r="604" spans="1:15" ht="13.5" customHeight="1" x14ac:dyDescent="0.25">
      <c r="A604" s="1"/>
      <c r="B604" s="22">
        <v>592</v>
      </c>
      <c r="C604" s="22">
        <v>2023</v>
      </c>
      <c r="D604" s="22">
        <v>10619</v>
      </c>
      <c r="E604" s="22" t="s">
        <v>2319</v>
      </c>
      <c r="F604" s="22" t="s">
        <v>2320</v>
      </c>
      <c r="G604" s="22" t="s">
        <v>2321</v>
      </c>
      <c r="H604" s="22" t="s">
        <v>2322</v>
      </c>
      <c r="I604" s="22" t="s">
        <v>23</v>
      </c>
      <c r="J604" s="23">
        <v>2000</v>
      </c>
      <c r="K604" s="22" t="s">
        <v>114</v>
      </c>
      <c r="L604" s="23" t="s">
        <v>30</v>
      </c>
      <c r="M604" s="23" t="s">
        <v>30</v>
      </c>
      <c r="N604" s="22"/>
      <c r="O604" s="22"/>
    </row>
    <row r="605" spans="1:15" ht="13.5" customHeight="1" x14ac:dyDescent="0.25">
      <c r="A605" s="1"/>
      <c r="B605" s="20">
        <v>593</v>
      </c>
      <c r="C605" s="20">
        <v>2023</v>
      </c>
      <c r="D605" s="20">
        <v>446</v>
      </c>
      <c r="E605" s="20" t="s">
        <v>2323</v>
      </c>
      <c r="F605" s="20" t="s">
        <v>2324</v>
      </c>
      <c r="G605" s="20" t="s">
        <v>2325</v>
      </c>
      <c r="H605" s="20" t="s">
        <v>2326</v>
      </c>
      <c r="I605" s="20" t="s">
        <v>23</v>
      </c>
      <c r="J605" s="21">
        <v>2000</v>
      </c>
      <c r="K605" s="20" t="s">
        <v>114</v>
      </c>
      <c r="L605" s="21" t="s">
        <v>30</v>
      </c>
      <c r="M605" s="21" t="s">
        <v>30</v>
      </c>
      <c r="N605" s="20"/>
      <c r="O605" s="20"/>
    </row>
    <row r="606" spans="1:15" ht="13.5" customHeight="1" x14ac:dyDescent="0.25">
      <c r="A606" s="1"/>
      <c r="B606" s="22">
        <v>594</v>
      </c>
      <c r="C606" s="22">
        <v>2023</v>
      </c>
      <c r="D606" s="22">
        <v>15202</v>
      </c>
      <c r="E606" s="22" t="s">
        <v>2327</v>
      </c>
      <c r="F606" s="22" t="s">
        <v>2328</v>
      </c>
      <c r="G606" s="22" t="s">
        <v>2329</v>
      </c>
      <c r="H606" s="22" t="s">
        <v>2330</v>
      </c>
      <c r="I606" s="22" t="s">
        <v>357</v>
      </c>
      <c r="J606" s="23">
        <v>2012</v>
      </c>
      <c r="K606" s="22" t="s">
        <v>39</v>
      </c>
      <c r="L606" s="23" t="s">
        <v>30</v>
      </c>
      <c r="M606" s="23"/>
      <c r="N606" s="22"/>
      <c r="O606" s="22"/>
    </row>
    <row r="607" spans="1:15" ht="13.5" customHeight="1" x14ac:dyDescent="0.25">
      <c r="A607" s="1"/>
      <c r="B607" s="20">
        <v>595</v>
      </c>
      <c r="C607" s="20">
        <v>2023</v>
      </c>
      <c r="D607" s="20">
        <v>10633</v>
      </c>
      <c r="E607" s="20" t="s">
        <v>2331</v>
      </c>
      <c r="F607" s="20" t="s">
        <v>2332</v>
      </c>
      <c r="G607" s="20" t="s">
        <v>2333</v>
      </c>
      <c r="H607" s="20" t="s">
        <v>2334</v>
      </c>
      <c r="I607" s="20" t="s">
        <v>23</v>
      </c>
      <c r="J607" s="21">
        <v>2000</v>
      </c>
      <c r="K607" s="20" t="s">
        <v>39</v>
      </c>
      <c r="L607" s="21" t="s">
        <v>30</v>
      </c>
      <c r="M607" s="21" t="s">
        <v>30</v>
      </c>
      <c r="N607" s="20"/>
      <c r="O607" s="20"/>
    </row>
    <row r="608" spans="1:15" ht="13.5" customHeight="1" x14ac:dyDescent="0.25">
      <c r="A608" s="1"/>
      <c r="B608" s="22">
        <v>596</v>
      </c>
      <c r="C608" s="22">
        <v>2023</v>
      </c>
      <c r="D608" s="22">
        <v>10628</v>
      </c>
      <c r="E608" s="22" t="s">
        <v>2335</v>
      </c>
      <c r="F608" s="22" t="s">
        <v>2336</v>
      </c>
      <c r="G608" s="22" t="s">
        <v>2337</v>
      </c>
      <c r="H608" s="22" t="s">
        <v>2338</v>
      </c>
      <c r="I608" s="22" t="s">
        <v>62</v>
      </c>
      <c r="J608" s="23">
        <v>2000</v>
      </c>
      <c r="K608" s="22" t="s">
        <v>34</v>
      </c>
      <c r="L608" s="23" t="s">
        <v>30</v>
      </c>
      <c r="M608" s="23" t="s">
        <v>30</v>
      </c>
      <c r="N608" s="22"/>
      <c r="O608" s="22"/>
    </row>
    <row r="609" spans="1:15" ht="13.5" customHeight="1" x14ac:dyDescent="0.25">
      <c r="A609" s="1"/>
      <c r="B609" s="20">
        <v>597</v>
      </c>
      <c r="C609" s="20">
        <v>2023</v>
      </c>
      <c r="D609" s="20">
        <v>10630</v>
      </c>
      <c r="E609" s="20" t="s">
        <v>2339</v>
      </c>
      <c r="F609" s="20" t="s">
        <v>2340</v>
      </c>
      <c r="G609" s="20" t="s">
        <v>2341</v>
      </c>
      <c r="H609" s="20" t="s">
        <v>2342</v>
      </c>
      <c r="I609" s="20" t="s">
        <v>62</v>
      </c>
      <c r="J609" s="21">
        <v>2000</v>
      </c>
      <c r="K609" s="20" t="s">
        <v>34</v>
      </c>
      <c r="L609" s="21" t="s">
        <v>30</v>
      </c>
      <c r="M609" s="21" t="s">
        <v>30</v>
      </c>
      <c r="N609" s="20"/>
      <c r="O609" s="20"/>
    </row>
    <row r="610" spans="1:15" ht="13.5" customHeight="1" x14ac:dyDescent="0.25">
      <c r="A610" s="1"/>
      <c r="B610" s="22">
        <v>598</v>
      </c>
      <c r="C610" s="22">
        <v>2023</v>
      </c>
      <c r="D610" s="22">
        <v>10631</v>
      </c>
      <c r="E610" s="22" t="s">
        <v>2343</v>
      </c>
      <c r="F610" s="22" t="s">
        <v>2344</v>
      </c>
      <c r="G610" s="22" t="s">
        <v>2345</v>
      </c>
      <c r="H610" s="22" t="s">
        <v>2346</v>
      </c>
      <c r="I610" s="22" t="s">
        <v>62</v>
      </c>
      <c r="J610" s="23">
        <v>2000</v>
      </c>
      <c r="K610" s="22" t="s">
        <v>24</v>
      </c>
      <c r="L610" s="23" t="s">
        <v>30</v>
      </c>
      <c r="M610" s="23" t="s">
        <v>30</v>
      </c>
      <c r="N610" s="22"/>
      <c r="O610" s="22"/>
    </row>
    <row r="611" spans="1:15" ht="13.5" customHeight="1" x14ac:dyDescent="0.25">
      <c r="A611" s="1"/>
      <c r="B611" s="20">
        <v>599</v>
      </c>
      <c r="C611" s="20">
        <v>2023</v>
      </c>
      <c r="D611" s="20">
        <v>11471</v>
      </c>
      <c r="E611" s="20" t="s">
        <v>2347</v>
      </c>
      <c r="F611" s="20" t="s">
        <v>2348</v>
      </c>
      <c r="G611" s="20" t="s">
        <v>2349</v>
      </c>
      <c r="H611" s="20" t="s">
        <v>2350</v>
      </c>
      <c r="I611" s="20" t="s">
        <v>62</v>
      </c>
      <c r="J611" s="21">
        <v>2006</v>
      </c>
      <c r="K611" s="20" t="s">
        <v>95</v>
      </c>
      <c r="L611" s="21" t="s">
        <v>30</v>
      </c>
      <c r="M611" s="21" t="s">
        <v>30</v>
      </c>
      <c r="N611" s="20"/>
      <c r="O611" s="20"/>
    </row>
    <row r="612" spans="1:15" ht="13.5" customHeight="1" x14ac:dyDescent="0.25">
      <c r="A612" s="1"/>
      <c r="B612" s="22">
        <v>600</v>
      </c>
      <c r="C612" s="22">
        <v>2023</v>
      </c>
      <c r="D612" s="22">
        <v>11472</v>
      </c>
      <c r="E612" s="22" t="s">
        <v>2351</v>
      </c>
      <c r="F612" s="22" t="s">
        <v>2352</v>
      </c>
      <c r="G612" s="22" t="s">
        <v>2353</v>
      </c>
      <c r="H612" s="22" t="s">
        <v>2354</v>
      </c>
      <c r="I612" s="22" t="s">
        <v>62</v>
      </c>
      <c r="J612" s="23">
        <v>2006</v>
      </c>
      <c r="K612" s="22" t="s">
        <v>44</v>
      </c>
      <c r="L612" s="23" t="s">
        <v>30</v>
      </c>
      <c r="M612" s="23" t="s">
        <v>30</v>
      </c>
      <c r="N612" s="22"/>
      <c r="O612" s="22"/>
    </row>
    <row r="613" spans="1:15" ht="13.5" customHeight="1" x14ac:dyDescent="0.25">
      <c r="A613" s="1"/>
      <c r="B613" s="20">
        <v>601</v>
      </c>
      <c r="C613" s="20">
        <v>2023</v>
      </c>
      <c r="D613" s="20">
        <v>10634</v>
      </c>
      <c r="E613" s="20" t="s">
        <v>2355</v>
      </c>
      <c r="F613" s="20" t="s">
        <v>2356</v>
      </c>
      <c r="G613" s="20" t="s">
        <v>2357</v>
      </c>
      <c r="H613" s="20" t="s">
        <v>2358</v>
      </c>
      <c r="I613" s="20" t="s">
        <v>62</v>
      </c>
      <c r="J613" s="21">
        <v>2000</v>
      </c>
      <c r="K613" s="20" t="s">
        <v>24</v>
      </c>
      <c r="L613" s="21" t="s">
        <v>30</v>
      </c>
      <c r="M613" s="21" t="s">
        <v>30</v>
      </c>
      <c r="N613" s="20"/>
      <c r="O613" s="20"/>
    </row>
    <row r="614" spans="1:15" ht="13.5" customHeight="1" x14ac:dyDescent="0.25">
      <c r="A614" s="1"/>
      <c r="B614" s="22">
        <v>602</v>
      </c>
      <c r="C614" s="22">
        <v>2023</v>
      </c>
      <c r="D614" s="22">
        <v>11446</v>
      </c>
      <c r="E614" s="22" t="s">
        <v>2359</v>
      </c>
      <c r="F614" s="22" t="s">
        <v>2360</v>
      </c>
      <c r="G614" s="22" t="s">
        <v>2361</v>
      </c>
      <c r="H614" s="22" t="s">
        <v>2362</v>
      </c>
      <c r="I614" s="22" t="s">
        <v>62</v>
      </c>
      <c r="J614" s="23">
        <v>2000</v>
      </c>
      <c r="K614" s="22" t="s">
        <v>63</v>
      </c>
      <c r="L614" s="23" t="s">
        <v>30</v>
      </c>
      <c r="M614" s="23" t="s">
        <v>30</v>
      </c>
      <c r="N614" s="22"/>
      <c r="O614" s="22"/>
    </row>
    <row r="615" spans="1:15" ht="13.5" customHeight="1" x14ac:dyDescent="0.25">
      <c r="A615" s="1"/>
      <c r="B615" s="20">
        <v>603</v>
      </c>
      <c r="C615" s="20">
        <v>2023</v>
      </c>
      <c r="D615" s="20">
        <v>13346</v>
      </c>
      <c r="E615" s="20" t="s">
        <v>2363</v>
      </c>
      <c r="F615" s="20" t="s">
        <v>2364</v>
      </c>
      <c r="G615" s="20" t="s">
        <v>2365</v>
      </c>
      <c r="H615" s="20" t="s">
        <v>2366</v>
      </c>
      <c r="I615" s="20" t="s">
        <v>23</v>
      </c>
      <c r="J615" s="21">
        <v>2011</v>
      </c>
      <c r="K615" s="20" t="s">
        <v>34</v>
      </c>
      <c r="L615" s="21" t="s">
        <v>30</v>
      </c>
      <c r="M615" s="21"/>
      <c r="N615" s="20" t="s">
        <v>250</v>
      </c>
      <c r="O615" s="20"/>
    </row>
    <row r="616" spans="1:15" ht="13.5" customHeight="1" x14ac:dyDescent="0.25">
      <c r="A616" s="1"/>
      <c r="B616" s="22">
        <v>604</v>
      </c>
      <c r="C616" s="22">
        <v>2023</v>
      </c>
      <c r="D616" s="22">
        <v>13235</v>
      </c>
      <c r="E616" s="22" t="s">
        <v>2367</v>
      </c>
      <c r="F616" s="22" t="s">
        <v>2368</v>
      </c>
      <c r="G616" s="22" t="s">
        <v>2369</v>
      </c>
      <c r="H616" s="22" t="s">
        <v>2370</v>
      </c>
      <c r="I616" s="22" t="s">
        <v>223</v>
      </c>
      <c r="J616" s="23">
        <v>2011</v>
      </c>
      <c r="K616" s="22" t="s">
        <v>44</v>
      </c>
      <c r="L616" s="23" t="s">
        <v>30</v>
      </c>
      <c r="M616" s="23"/>
      <c r="N616" s="22" t="s">
        <v>250</v>
      </c>
      <c r="O616" s="22"/>
    </row>
    <row r="617" spans="1:15" ht="13.5" customHeight="1" x14ac:dyDescent="0.25">
      <c r="A617" s="1"/>
      <c r="B617" s="20">
        <v>605</v>
      </c>
      <c r="C617" s="20">
        <v>2023</v>
      </c>
      <c r="D617" s="20">
        <v>455</v>
      </c>
      <c r="E617" s="20" t="s">
        <v>2371</v>
      </c>
      <c r="F617" s="20" t="s">
        <v>2372</v>
      </c>
      <c r="G617" s="20" t="s">
        <v>2373</v>
      </c>
      <c r="H617" s="20" t="s">
        <v>2374</v>
      </c>
      <c r="I617" s="20" t="s">
        <v>23</v>
      </c>
      <c r="J617" s="21">
        <v>2000</v>
      </c>
      <c r="K617" s="20" t="s">
        <v>39</v>
      </c>
      <c r="L617" s="21" t="s">
        <v>30</v>
      </c>
      <c r="M617" s="21" t="s">
        <v>30</v>
      </c>
      <c r="N617" s="20"/>
      <c r="O617" s="20"/>
    </row>
    <row r="618" spans="1:15" ht="13.5" customHeight="1" x14ac:dyDescent="0.25">
      <c r="A618" s="1"/>
      <c r="B618" s="22">
        <v>606</v>
      </c>
      <c r="C618" s="22">
        <v>2023</v>
      </c>
      <c r="D618" s="22">
        <v>502</v>
      </c>
      <c r="E618" s="22" t="s">
        <v>2375</v>
      </c>
      <c r="F618" s="22" t="s">
        <v>2376</v>
      </c>
      <c r="G618" s="22" t="s">
        <v>2377</v>
      </c>
      <c r="H618" s="22" t="s">
        <v>2378</v>
      </c>
      <c r="I618" s="22" t="s">
        <v>23</v>
      </c>
      <c r="J618" s="23">
        <v>2000</v>
      </c>
      <c r="K618" s="22" t="s">
        <v>67</v>
      </c>
      <c r="L618" s="23" t="s">
        <v>30</v>
      </c>
      <c r="M618" s="23" t="s">
        <v>30</v>
      </c>
      <c r="N618" s="22"/>
      <c r="O618" s="22"/>
    </row>
    <row r="619" spans="1:15" ht="13.5" customHeight="1" x14ac:dyDescent="0.25">
      <c r="A619" s="1"/>
      <c r="B619" s="20">
        <v>607</v>
      </c>
      <c r="C619" s="20">
        <v>2023</v>
      </c>
      <c r="D619" s="20">
        <v>10643</v>
      </c>
      <c r="E619" s="20" t="s">
        <v>2379</v>
      </c>
      <c r="F619" s="20" t="s">
        <v>2380</v>
      </c>
      <c r="G619" s="20" t="s">
        <v>2381</v>
      </c>
      <c r="H619" s="20" t="s">
        <v>2382</v>
      </c>
      <c r="I619" s="20" t="s">
        <v>23</v>
      </c>
      <c r="J619" s="21">
        <v>2000</v>
      </c>
      <c r="K619" s="20" t="s">
        <v>73</v>
      </c>
      <c r="L619" s="21" t="s">
        <v>30</v>
      </c>
      <c r="M619" s="21" t="s">
        <v>30</v>
      </c>
      <c r="N619" s="20"/>
      <c r="O619" s="20"/>
    </row>
    <row r="620" spans="1:15" ht="13.5" customHeight="1" x14ac:dyDescent="0.25">
      <c r="A620" s="1"/>
      <c r="B620" s="22">
        <v>608</v>
      </c>
      <c r="C620" s="22">
        <v>2023</v>
      </c>
      <c r="D620" s="22">
        <v>12145</v>
      </c>
      <c r="E620" s="22" t="s">
        <v>2383</v>
      </c>
      <c r="F620" s="22" t="s">
        <v>2384</v>
      </c>
      <c r="G620" s="22" t="s">
        <v>2385</v>
      </c>
      <c r="H620" s="22" t="s">
        <v>2386</v>
      </c>
      <c r="I620" s="22" t="s">
        <v>23</v>
      </c>
      <c r="J620" s="23">
        <v>2008</v>
      </c>
      <c r="K620" s="22" t="s">
        <v>95</v>
      </c>
      <c r="L620" s="23" t="s">
        <v>30</v>
      </c>
      <c r="M620" s="23" t="s">
        <v>30</v>
      </c>
      <c r="N620" s="22" t="s">
        <v>352</v>
      </c>
      <c r="O620" s="22"/>
    </row>
    <row r="621" spans="1:15" ht="13.5" customHeight="1" x14ac:dyDescent="0.25">
      <c r="A621" s="1"/>
      <c r="B621" s="20">
        <v>609</v>
      </c>
      <c r="C621" s="20">
        <v>2023</v>
      </c>
      <c r="D621" s="20">
        <v>41748</v>
      </c>
      <c r="E621" s="20" t="s">
        <v>2387</v>
      </c>
      <c r="F621" s="20" t="s">
        <v>2388</v>
      </c>
      <c r="G621" s="20" t="s">
        <v>2389</v>
      </c>
      <c r="H621" s="20" t="s">
        <v>2390</v>
      </c>
      <c r="I621" s="20" t="s">
        <v>23</v>
      </c>
      <c r="J621" s="21">
        <v>2017</v>
      </c>
      <c r="K621" s="20" t="s">
        <v>95</v>
      </c>
      <c r="L621" s="21" t="s">
        <v>30</v>
      </c>
      <c r="M621" s="21"/>
      <c r="N621" s="20" t="s">
        <v>265</v>
      </c>
      <c r="O621" s="20"/>
    </row>
    <row r="622" spans="1:15" ht="13.5" customHeight="1" x14ac:dyDescent="0.25">
      <c r="A622" s="1"/>
      <c r="B622" s="22">
        <v>610</v>
      </c>
      <c r="C622" s="22">
        <v>2023</v>
      </c>
      <c r="D622" s="22">
        <v>11038</v>
      </c>
      <c r="E622" s="22" t="s">
        <v>2391</v>
      </c>
      <c r="F622" s="22" t="s">
        <v>2392</v>
      </c>
      <c r="G622" s="22" t="s">
        <v>2393</v>
      </c>
      <c r="H622" s="22" t="s">
        <v>2394</v>
      </c>
      <c r="I622" s="22" t="s">
        <v>23</v>
      </c>
      <c r="J622" s="23">
        <v>2000</v>
      </c>
      <c r="K622" s="22" t="s">
        <v>63</v>
      </c>
      <c r="L622" s="23" t="s">
        <v>30</v>
      </c>
      <c r="M622" s="23" t="s">
        <v>30</v>
      </c>
      <c r="N622" s="22"/>
      <c r="O622" s="22"/>
    </row>
    <row r="623" spans="1:15" ht="13.5" customHeight="1" x14ac:dyDescent="0.25">
      <c r="A623" s="1"/>
      <c r="B623" s="20">
        <v>611</v>
      </c>
      <c r="C623" s="20">
        <v>2023</v>
      </c>
      <c r="D623" s="20">
        <v>11803</v>
      </c>
      <c r="E623" s="20" t="s">
        <v>2395</v>
      </c>
      <c r="F623" s="20" t="s">
        <v>2396</v>
      </c>
      <c r="G623" s="20" t="s">
        <v>2397</v>
      </c>
      <c r="H623" s="20" t="s">
        <v>2398</v>
      </c>
      <c r="I623" s="20" t="s">
        <v>2399</v>
      </c>
      <c r="J623" s="21">
        <v>2002</v>
      </c>
      <c r="K623" s="20" t="s">
        <v>95</v>
      </c>
      <c r="L623" s="21" t="s">
        <v>30</v>
      </c>
      <c r="M623" s="21" t="s">
        <v>30</v>
      </c>
      <c r="N623" s="20" t="s">
        <v>74</v>
      </c>
      <c r="O623" s="20"/>
    </row>
    <row r="624" spans="1:15" ht="13.5" customHeight="1" x14ac:dyDescent="0.25">
      <c r="A624" s="1"/>
      <c r="B624" s="22">
        <v>612</v>
      </c>
      <c r="C624" s="22">
        <v>2023</v>
      </c>
      <c r="D624" s="22">
        <v>12140</v>
      </c>
      <c r="E624" s="22" t="s">
        <v>2400</v>
      </c>
      <c r="F624" s="22" t="s">
        <v>2401</v>
      </c>
      <c r="G624" s="22" t="s">
        <v>2402</v>
      </c>
      <c r="H624" s="22" t="s">
        <v>2403</v>
      </c>
      <c r="I624" s="22" t="s">
        <v>23</v>
      </c>
      <c r="J624" s="23">
        <v>2000</v>
      </c>
      <c r="K624" s="22" t="s">
        <v>1475</v>
      </c>
      <c r="L624" s="23" t="s">
        <v>30</v>
      </c>
      <c r="M624" s="23" t="s">
        <v>30</v>
      </c>
      <c r="N624" s="22" t="s">
        <v>74</v>
      </c>
      <c r="O624" s="22"/>
    </row>
    <row r="625" spans="1:15" ht="13.5" customHeight="1" x14ac:dyDescent="0.25">
      <c r="A625" s="1"/>
      <c r="B625" s="20">
        <v>613</v>
      </c>
      <c r="C625" s="20">
        <v>2023</v>
      </c>
      <c r="D625" s="20">
        <v>10393</v>
      </c>
      <c r="E625" s="20" t="s">
        <v>2404</v>
      </c>
      <c r="F625" s="20" t="s">
        <v>2405</v>
      </c>
      <c r="G625" s="20" t="s">
        <v>2406</v>
      </c>
      <c r="H625" s="20" t="s">
        <v>2407</v>
      </c>
      <c r="I625" s="20" t="s">
        <v>23</v>
      </c>
      <c r="J625" s="21">
        <v>2004</v>
      </c>
      <c r="K625" s="20" t="s">
        <v>39</v>
      </c>
      <c r="L625" s="21" t="s">
        <v>30</v>
      </c>
      <c r="M625" s="21" t="s">
        <v>30</v>
      </c>
      <c r="N625" s="20"/>
      <c r="O625" s="20"/>
    </row>
    <row r="626" spans="1:15" ht="13.5" customHeight="1" x14ac:dyDescent="0.25">
      <c r="A626" s="1"/>
      <c r="B626" s="22">
        <v>614</v>
      </c>
      <c r="C626" s="22">
        <v>2023</v>
      </c>
      <c r="D626" s="22">
        <v>40888</v>
      </c>
      <c r="E626" s="22" t="s">
        <v>2408</v>
      </c>
      <c r="F626" s="22" t="s">
        <v>2409</v>
      </c>
      <c r="G626" s="22" t="s">
        <v>2410</v>
      </c>
      <c r="H626" s="22" t="s">
        <v>2411</v>
      </c>
      <c r="I626" s="22" t="s">
        <v>23</v>
      </c>
      <c r="J626" s="23">
        <v>2015</v>
      </c>
      <c r="K626" s="22" t="s">
        <v>475</v>
      </c>
      <c r="L626" s="23" t="s">
        <v>30</v>
      </c>
      <c r="M626" s="23"/>
      <c r="N626" s="22" t="s">
        <v>68</v>
      </c>
      <c r="O626" s="22"/>
    </row>
    <row r="627" spans="1:15" ht="13.5" customHeight="1" x14ac:dyDescent="0.25">
      <c r="A627" s="1"/>
      <c r="B627" s="20">
        <v>615</v>
      </c>
      <c r="C627" s="20">
        <v>2023</v>
      </c>
      <c r="D627" s="20">
        <v>12231</v>
      </c>
      <c r="E627" s="20" t="s">
        <v>2412</v>
      </c>
      <c r="F627" s="20" t="s">
        <v>2413</v>
      </c>
      <c r="G627" s="20" t="s">
        <v>2414</v>
      </c>
      <c r="H627" s="20" t="s">
        <v>2415</v>
      </c>
      <c r="I627" s="20" t="s">
        <v>23</v>
      </c>
      <c r="J627" s="21">
        <v>2000</v>
      </c>
      <c r="K627" s="20" t="s">
        <v>34</v>
      </c>
      <c r="L627" s="21" t="s">
        <v>30</v>
      </c>
      <c r="M627" s="21" t="s">
        <v>30</v>
      </c>
      <c r="N627" s="20" t="s">
        <v>35</v>
      </c>
      <c r="O627" s="20"/>
    </row>
    <row r="628" spans="1:15" ht="13.5" customHeight="1" x14ac:dyDescent="0.25">
      <c r="A628" s="1"/>
      <c r="B628" s="22">
        <v>616</v>
      </c>
      <c r="C628" s="22">
        <v>2023</v>
      </c>
      <c r="D628" s="22">
        <v>10644</v>
      </c>
      <c r="E628" s="22" t="s">
        <v>2416</v>
      </c>
      <c r="F628" s="22" t="s">
        <v>2417</v>
      </c>
      <c r="G628" s="22" t="s">
        <v>2418</v>
      </c>
      <c r="H628" s="22" t="s">
        <v>2419</v>
      </c>
      <c r="I628" s="22" t="s">
        <v>23</v>
      </c>
      <c r="J628" s="23">
        <v>2000</v>
      </c>
      <c r="K628" s="22" t="s">
        <v>475</v>
      </c>
      <c r="L628" s="23" t="s">
        <v>30</v>
      </c>
      <c r="M628" s="23" t="s">
        <v>30</v>
      </c>
      <c r="N628" s="22"/>
      <c r="O628" s="22"/>
    </row>
    <row r="629" spans="1:15" ht="13.5" customHeight="1" x14ac:dyDescent="0.25">
      <c r="A629" s="1"/>
      <c r="B629" s="20">
        <v>617</v>
      </c>
      <c r="C629" s="20">
        <v>2023</v>
      </c>
      <c r="D629" s="20">
        <v>199</v>
      </c>
      <c r="E629" s="20" t="s">
        <v>2420</v>
      </c>
      <c r="F629" s="20" t="s">
        <v>2421</v>
      </c>
      <c r="G629" s="20" t="s">
        <v>2422</v>
      </c>
      <c r="H629" s="20" t="s">
        <v>2423</v>
      </c>
      <c r="I629" s="20" t="s">
        <v>23</v>
      </c>
      <c r="J629" s="21">
        <v>2000</v>
      </c>
      <c r="K629" s="20" t="s">
        <v>475</v>
      </c>
      <c r="L629" s="21" t="s">
        <v>30</v>
      </c>
      <c r="M629" s="21" t="s">
        <v>30</v>
      </c>
      <c r="N629" s="20"/>
      <c r="O629" s="20"/>
    </row>
    <row r="630" spans="1:15" ht="13.5" customHeight="1" x14ac:dyDescent="0.25">
      <c r="A630" s="1"/>
      <c r="B630" s="22">
        <v>618</v>
      </c>
      <c r="C630" s="22">
        <v>2023</v>
      </c>
      <c r="D630" s="22">
        <v>40505</v>
      </c>
      <c r="E630" s="22" t="s">
        <v>2424</v>
      </c>
      <c r="F630" s="22" t="s">
        <v>2425</v>
      </c>
      <c r="G630" s="22"/>
      <c r="H630" s="22" t="s">
        <v>2426</v>
      </c>
      <c r="I630" s="22" t="s">
        <v>23</v>
      </c>
      <c r="J630" s="23">
        <v>2013</v>
      </c>
      <c r="K630" s="22" t="s">
        <v>475</v>
      </c>
      <c r="L630" s="23"/>
      <c r="M630" s="23"/>
      <c r="N630" s="22" t="s">
        <v>260</v>
      </c>
      <c r="O630" s="22"/>
    </row>
    <row r="631" spans="1:15" ht="13.5" customHeight="1" x14ac:dyDescent="0.25">
      <c r="A631" s="1"/>
      <c r="B631" s="20">
        <v>619</v>
      </c>
      <c r="C631" s="20">
        <v>2023</v>
      </c>
      <c r="D631" s="20">
        <v>41885</v>
      </c>
      <c r="E631" s="20" t="s">
        <v>2427</v>
      </c>
      <c r="F631" s="20" t="s">
        <v>2428</v>
      </c>
      <c r="G631" s="20" t="s">
        <v>2429</v>
      </c>
      <c r="H631" s="20" t="s">
        <v>2430</v>
      </c>
      <c r="I631" s="20" t="s">
        <v>23</v>
      </c>
      <c r="J631" s="21">
        <v>2017</v>
      </c>
      <c r="K631" s="20" t="s">
        <v>475</v>
      </c>
      <c r="L631" s="21" t="s">
        <v>30</v>
      </c>
      <c r="M631" s="21"/>
      <c r="N631" s="20" t="s">
        <v>265</v>
      </c>
      <c r="O631" s="20"/>
    </row>
    <row r="632" spans="1:15" ht="13.5" customHeight="1" x14ac:dyDescent="0.25">
      <c r="A632" s="1"/>
      <c r="B632" s="22">
        <v>620</v>
      </c>
      <c r="C632" s="22">
        <v>2023</v>
      </c>
      <c r="D632" s="22">
        <v>10101</v>
      </c>
      <c r="E632" s="22" t="s">
        <v>2431</v>
      </c>
      <c r="F632" s="22" t="s">
        <v>2432</v>
      </c>
      <c r="G632" s="22" t="s">
        <v>2433</v>
      </c>
      <c r="H632" s="22" t="s">
        <v>2434</v>
      </c>
      <c r="I632" s="22" t="s">
        <v>23</v>
      </c>
      <c r="J632" s="23">
        <v>2000</v>
      </c>
      <c r="K632" s="22" t="s">
        <v>475</v>
      </c>
      <c r="L632" s="23" t="s">
        <v>30</v>
      </c>
      <c r="M632" s="23" t="s">
        <v>30</v>
      </c>
      <c r="N632" s="22"/>
      <c r="O632" s="22"/>
    </row>
    <row r="633" spans="1:15" ht="13.5" customHeight="1" x14ac:dyDescent="0.25">
      <c r="A633" s="1"/>
      <c r="B633" s="20">
        <v>621</v>
      </c>
      <c r="C633" s="20">
        <v>2023</v>
      </c>
      <c r="D633" s="20">
        <v>10021</v>
      </c>
      <c r="E633" s="20" t="s">
        <v>2435</v>
      </c>
      <c r="F633" s="20" t="s">
        <v>2436</v>
      </c>
      <c r="G633" s="20" t="s">
        <v>2437</v>
      </c>
      <c r="H633" s="20" t="s">
        <v>2438</v>
      </c>
      <c r="I633" s="20" t="s">
        <v>23</v>
      </c>
      <c r="J633" s="21">
        <v>2000</v>
      </c>
      <c r="K633" s="20" t="s">
        <v>34</v>
      </c>
      <c r="L633" s="21" t="s">
        <v>30</v>
      </c>
      <c r="M633" s="21" t="s">
        <v>30</v>
      </c>
      <c r="N633" s="20"/>
      <c r="O633" s="20"/>
    </row>
    <row r="634" spans="1:15" ht="13.5" customHeight="1" x14ac:dyDescent="0.25">
      <c r="A634" s="1"/>
      <c r="B634" s="22">
        <v>622</v>
      </c>
      <c r="C634" s="22">
        <v>2023</v>
      </c>
      <c r="D634" s="22">
        <v>10646</v>
      </c>
      <c r="E634" s="22" t="s">
        <v>2439</v>
      </c>
      <c r="F634" s="22" t="s">
        <v>2440</v>
      </c>
      <c r="G634" s="22" t="s">
        <v>2441</v>
      </c>
      <c r="H634" s="22" t="s">
        <v>2442</v>
      </c>
      <c r="I634" s="22" t="s">
        <v>23</v>
      </c>
      <c r="J634" s="23">
        <v>2000</v>
      </c>
      <c r="K634" s="22" t="s">
        <v>95</v>
      </c>
      <c r="L634" s="23" t="s">
        <v>30</v>
      </c>
      <c r="M634" s="23" t="s">
        <v>30</v>
      </c>
      <c r="N634" s="22"/>
      <c r="O634" s="22"/>
    </row>
    <row r="635" spans="1:15" ht="13.5" customHeight="1" x14ac:dyDescent="0.25">
      <c r="A635" s="1"/>
      <c r="B635" s="20">
        <v>623</v>
      </c>
      <c r="C635" s="20">
        <v>2023</v>
      </c>
      <c r="D635" s="20">
        <v>10639</v>
      </c>
      <c r="E635" s="20" t="s">
        <v>2443</v>
      </c>
      <c r="F635" s="20" t="s">
        <v>2444</v>
      </c>
      <c r="G635" s="20" t="s">
        <v>2445</v>
      </c>
      <c r="H635" s="20" t="s">
        <v>2446</v>
      </c>
      <c r="I635" s="20" t="s">
        <v>23</v>
      </c>
      <c r="J635" s="21">
        <v>2000</v>
      </c>
      <c r="K635" s="20" t="s">
        <v>114</v>
      </c>
      <c r="L635" s="21" t="s">
        <v>30</v>
      </c>
      <c r="M635" s="21" t="s">
        <v>30</v>
      </c>
      <c r="N635" s="20"/>
      <c r="O635" s="20"/>
    </row>
    <row r="636" spans="1:15" ht="13.5" customHeight="1" x14ac:dyDescent="0.25">
      <c r="A636" s="1"/>
      <c r="B636" s="22">
        <v>624</v>
      </c>
      <c r="C636" s="22">
        <v>2023</v>
      </c>
      <c r="D636" s="22">
        <v>43494</v>
      </c>
      <c r="E636" s="22" t="s">
        <v>2447</v>
      </c>
      <c r="F636" s="22" t="s">
        <v>2448</v>
      </c>
      <c r="G636" s="22" t="s">
        <v>2449</v>
      </c>
      <c r="H636" s="22" t="s">
        <v>2450</v>
      </c>
      <c r="I636" s="22" t="s">
        <v>23</v>
      </c>
      <c r="J636" s="23">
        <v>2020</v>
      </c>
      <c r="K636" s="22" t="s">
        <v>203</v>
      </c>
      <c r="L636" s="23" t="s">
        <v>30</v>
      </c>
      <c r="M636" s="23"/>
      <c r="N636" s="22" t="s">
        <v>270</v>
      </c>
      <c r="O636" s="22"/>
    </row>
    <row r="637" spans="1:15" ht="13.5" customHeight="1" x14ac:dyDescent="0.25">
      <c r="A637" s="1"/>
      <c r="B637" s="20">
        <v>625</v>
      </c>
      <c r="C637" s="20">
        <v>2023</v>
      </c>
      <c r="D637" s="20">
        <v>11092</v>
      </c>
      <c r="E637" s="20" t="s">
        <v>2451</v>
      </c>
      <c r="F637" s="20" t="s">
        <v>2452</v>
      </c>
      <c r="G637" s="20" t="s">
        <v>2453</v>
      </c>
      <c r="H637" s="20" t="s">
        <v>2454</v>
      </c>
      <c r="I637" s="20" t="s">
        <v>23</v>
      </c>
      <c r="J637" s="21">
        <v>2000</v>
      </c>
      <c r="K637" s="20" t="s">
        <v>73</v>
      </c>
      <c r="L637" s="21" t="s">
        <v>30</v>
      </c>
      <c r="M637" s="21" t="s">
        <v>30</v>
      </c>
      <c r="N637" s="20"/>
      <c r="O637" s="20"/>
    </row>
    <row r="638" spans="1:15" ht="13.5" customHeight="1" x14ac:dyDescent="0.25">
      <c r="A638" s="1"/>
      <c r="B638" s="22">
        <v>626</v>
      </c>
      <c r="C638" s="22">
        <v>2023</v>
      </c>
      <c r="D638" s="22">
        <v>10648</v>
      </c>
      <c r="E638" s="22" t="s">
        <v>2455</v>
      </c>
      <c r="F638" s="22" t="s">
        <v>2456</v>
      </c>
      <c r="G638" s="22" t="s">
        <v>2457</v>
      </c>
      <c r="H638" s="22" t="s">
        <v>2458</v>
      </c>
      <c r="I638" s="22" t="s">
        <v>23</v>
      </c>
      <c r="J638" s="23">
        <v>2000</v>
      </c>
      <c r="K638" s="22" t="s">
        <v>73</v>
      </c>
      <c r="L638" s="23" t="s">
        <v>30</v>
      </c>
      <c r="M638" s="23" t="s">
        <v>30</v>
      </c>
      <c r="N638" s="22"/>
      <c r="O638" s="22"/>
    </row>
    <row r="639" spans="1:15" ht="13.5" customHeight="1" x14ac:dyDescent="0.25">
      <c r="A639" s="1"/>
      <c r="B639" s="20">
        <v>627</v>
      </c>
      <c r="C639" s="20">
        <v>2023</v>
      </c>
      <c r="D639" s="20">
        <v>10671</v>
      </c>
      <c r="E639" s="20" t="s">
        <v>2459</v>
      </c>
      <c r="F639" s="20" t="s">
        <v>2460</v>
      </c>
      <c r="G639" s="20" t="s">
        <v>2461</v>
      </c>
      <c r="H639" s="20" t="s">
        <v>2462</v>
      </c>
      <c r="I639" s="20" t="s">
        <v>23</v>
      </c>
      <c r="J639" s="21">
        <v>2002</v>
      </c>
      <c r="K639" s="20" t="s">
        <v>73</v>
      </c>
      <c r="L639" s="21" t="s">
        <v>30</v>
      </c>
      <c r="M639" s="21" t="s">
        <v>30</v>
      </c>
      <c r="N639" s="20"/>
      <c r="O639" s="20"/>
    </row>
    <row r="640" spans="1:15" ht="13.5" customHeight="1" x14ac:dyDescent="0.25">
      <c r="A640" s="1"/>
      <c r="B640" s="22">
        <v>628</v>
      </c>
      <c r="C640" s="22">
        <v>2023</v>
      </c>
      <c r="D640" s="22">
        <v>10649</v>
      </c>
      <c r="E640" s="22" t="s">
        <v>2463</v>
      </c>
      <c r="F640" s="22" t="s">
        <v>2464</v>
      </c>
      <c r="G640" s="22" t="s">
        <v>2465</v>
      </c>
      <c r="H640" s="22" t="s">
        <v>2466</v>
      </c>
      <c r="I640" s="22" t="s">
        <v>23</v>
      </c>
      <c r="J640" s="23">
        <v>2000</v>
      </c>
      <c r="K640" s="22" t="s">
        <v>73</v>
      </c>
      <c r="L640" s="23" t="s">
        <v>30</v>
      </c>
      <c r="M640" s="23" t="s">
        <v>30</v>
      </c>
      <c r="N640" s="22"/>
      <c r="O640" s="22"/>
    </row>
    <row r="641" spans="1:15" ht="13.5" customHeight="1" x14ac:dyDescent="0.25">
      <c r="A641" s="1"/>
      <c r="B641" s="20">
        <v>629</v>
      </c>
      <c r="C641" s="20">
        <v>2023</v>
      </c>
      <c r="D641" s="20">
        <v>11423</v>
      </c>
      <c r="E641" s="20" t="s">
        <v>2467</v>
      </c>
      <c r="F641" s="20" t="s">
        <v>2468</v>
      </c>
      <c r="G641" s="20" t="s">
        <v>2469</v>
      </c>
      <c r="H641" s="20" t="s">
        <v>2470</v>
      </c>
      <c r="I641" s="20" t="s">
        <v>23</v>
      </c>
      <c r="J641" s="21">
        <v>2000</v>
      </c>
      <c r="K641" s="20" t="s">
        <v>73</v>
      </c>
      <c r="L641" s="21" t="s">
        <v>30</v>
      </c>
      <c r="M641" s="21" t="s">
        <v>30</v>
      </c>
      <c r="N641" s="20"/>
      <c r="O641" s="20"/>
    </row>
    <row r="642" spans="1:15" ht="13.5" customHeight="1" x14ac:dyDescent="0.25">
      <c r="A642" s="1"/>
      <c r="B642" s="22">
        <v>630</v>
      </c>
      <c r="C642" s="22">
        <v>2023</v>
      </c>
      <c r="D642" s="22">
        <v>202</v>
      </c>
      <c r="E642" s="22" t="s">
        <v>2471</v>
      </c>
      <c r="F642" s="22" t="s">
        <v>2472</v>
      </c>
      <c r="G642" s="22" t="s">
        <v>2473</v>
      </c>
      <c r="H642" s="22" t="s">
        <v>2474</v>
      </c>
      <c r="I642" s="22" t="s">
        <v>23</v>
      </c>
      <c r="J642" s="23">
        <v>2000</v>
      </c>
      <c r="K642" s="22" t="s">
        <v>67</v>
      </c>
      <c r="L642" s="23" t="s">
        <v>30</v>
      </c>
      <c r="M642" s="23" t="s">
        <v>30</v>
      </c>
      <c r="N642" s="22"/>
      <c r="O642" s="22"/>
    </row>
    <row r="643" spans="1:15" ht="13.5" customHeight="1" x14ac:dyDescent="0.25">
      <c r="A643" s="1"/>
      <c r="B643" s="20">
        <v>631</v>
      </c>
      <c r="C643" s="20">
        <v>2023</v>
      </c>
      <c r="D643" s="20">
        <v>12678</v>
      </c>
      <c r="E643" s="20" t="s">
        <v>2475</v>
      </c>
      <c r="F643" s="20" t="s">
        <v>2476</v>
      </c>
      <c r="G643" s="20" t="s">
        <v>2477</v>
      </c>
      <c r="H643" s="20" t="s">
        <v>2478</v>
      </c>
      <c r="I643" s="20" t="s">
        <v>23</v>
      </c>
      <c r="J643" s="21">
        <v>2010</v>
      </c>
      <c r="K643" s="20" t="s">
        <v>24</v>
      </c>
      <c r="L643" s="21" t="s">
        <v>30</v>
      </c>
      <c r="M643" s="21" t="s">
        <v>30</v>
      </c>
      <c r="N643" s="20" t="s">
        <v>1310</v>
      </c>
      <c r="O643" s="20"/>
    </row>
    <row r="644" spans="1:15" ht="13.5" customHeight="1" x14ac:dyDescent="0.25">
      <c r="A644" s="1"/>
      <c r="B644" s="22">
        <v>632</v>
      </c>
      <c r="C644" s="22">
        <v>2023</v>
      </c>
      <c r="D644" s="22">
        <v>41918</v>
      </c>
      <c r="E644" s="22" t="s">
        <v>2479</v>
      </c>
      <c r="F644" s="22" t="s">
        <v>2480</v>
      </c>
      <c r="G644" s="22" t="s">
        <v>2481</v>
      </c>
      <c r="H644" s="22" t="s">
        <v>2482</v>
      </c>
      <c r="I644" s="22" t="s">
        <v>259</v>
      </c>
      <c r="J644" s="23">
        <v>2018</v>
      </c>
      <c r="K644" s="22" t="s">
        <v>24</v>
      </c>
      <c r="L644" s="23" t="s">
        <v>30</v>
      </c>
      <c r="M644" s="23"/>
      <c r="N644" s="22" t="s">
        <v>213</v>
      </c>
      <c r="O644" s="22"/>
    </row>
    <row r="645" spans="1:15" ht="13.5" customHeight="1" x14ac:dyDescent="0.25">
      <c r="A645" s="1"/>
      <c r="B645" s="20">
        <v>633</v>
      </c>
      <c r="C645" s="20">
        <v>2023</v>
      </c>
      <c r="D645" s="20">
        <v>10660</v>
      </c>
      <c r="E645" s="20" t="s">
        <v>2483</v>
      </c>
      <c r="F645" s="20" t="s">
        <v>2484</v>
      </c>
      <c r="G645" s="20" t="s">
        <v>2485</v>
      </c>
      <c r="H645" s="20" t="s">
        <v>2486</v>
      </c>
      <c r="I645" s="20" t="s">
        <v>23</v>
      </c>
      <c r="J645" s="21">
        <v>2001</v>
      </c>
      <c r="K645" s="20" t="s">
        <v>29</v>
      </c>
      <c r="L645" s="21" t="s">
        <v>30</v>
      </c>
      <c r="M645" s="21" t="s">
        <v>30</v>
      </c>
      <c r="N645" s="20"/>
      <c r="O645" s="20"/>
    </row>
    <row r="646" spans="1:15" ht="13.5" customHeight="1" x14ac:dyDescent="0.25">
      <c r="A646" s="1"/>
      <c r="B646" s="22">
        <v>634</v>
      </c>
      <c r="C646" s="22">
        <v>2023</v>
      </c>
      <c r="D646" s="22">
        <v>12525</v>
      </c>
      <c r="E646" s="22" t="s">
        <v>2487</v>
      </c>
      <c r="F646" s="22" t="s">
        <v>2488</v>
      </c>
      <c r="G646" s="22" t="s">
        <v>2489</v>
      </c>
      <c r="H646" s="22" t="s">
        <v>2490</v>
      </c>
      <c r="I646" s="22" t="s">
        <v>23</v>
      </c>
      <c r="J646" s="23">
        <v>2009</v>
      </c>
      <c r="K646" s="22" t="s">
        <v>29</v>
      </c>
      <c r="L646" s="23" t="s">
        <v>30</v>
      </c>
      <c r="M646" s="23"/>
      <c r="N646" s="22" t="s">
        <v>431</v>
      </c>
      <c r="O646" s="22"/>
    </row>
    <row r="647" spans="1:15" ht="13.5" customHeight="1" x14ac:dyDescent="0.25">
      <c r="A647" s="1"/>
      <c r="B647" s="20">
        <v>635</v>
      </c>
      <c r="C647" s="20">
        <v>2023</v>
      </c>
      <c r="D647" s="20">
        <v>13391</v>
      </c>
      <c r="E647" s="20" t="s">
        <v>2491</v>
      </c>
      <c r="F647" s="20" t="s">
        <v>2492</v>
      </c>
      <c r="G647" s="20" t="s">
        <v>2493</v>
      </c>
      <c r="H647" s="20" t="s">
        <v>2494</v>
      </c>
      <c r="I647" s="20" t="s">
        <v>2495</v>
      </c>
      <c r="J647" s="21">
        <v>2009</v>
      </c>
      <c r="K647" s="20" t="s">
        <v>24</v>
      </c>
      <c r="L647" s="21" t="s">
        <v>30</v>
      </c>
      <c r="M647" s="21"/>
      <c r="N647" s="20" t="s">
        <v>275</v>
      </c>
      <c r="O647" s="20"/>
    </row>
    <row r="648" spans="1:15" ht="13.5" customHeight="1" x14ac:dyDescent="0.25">
      <c r="A648" s="1"/>
      <c r="B648" s="22">
        <v>636</v>
      </c>
      <c r="C648" s="22">
        <v>2023</v>
      </c>
      <c r="D648" s="22">
        <v>10140</v>
      </c>
      <c r="E648" s="22" t="s">
        <v>2496</v>
      </c>
      <c r="F648" s="22" t="s">
        <v>2497</v>
      </c>
      <c r="G648" s="22"/>
      <c r="H648" s="22" t="s">
        <v>2498</v>
      </c>
      <c r="I648" s="22" t="s">
        <v>23</v>
      </c>
      <c r="J648" s="23">
        <v>2000</v>
      </c>
      <c r="K648" s="22" t="s">
        <v>39</v>
      </c>
      <c r="L648" s="23"/>
      <c r="M648" s="23" t="s">
        <v>30</v>
      </c>
      <c r="N648" s="22"/>
      <c r="O648" s="22"/>
    </row>
    <row r="649" spans="1:15" ht="13.5" customHeight="1" x14ac:dyDescent="0.25">
      <c r="A649" s="1"/>
      <c r="B649" s="20">
        <v>637</v>
      </c>
      <c r="C649" s="20">
        <v>2023</v>
      </c>
      <c r="D649" s="20">
        <v>42247</v>
      </c>
      <c r="E649" s="20" t="s">
        <v>2499</v>
      </c>
      <c r="F649" s="20" t="s">
        <v>2500</v>
      </c>
      <c r="G649" s="20" t="s">
        <v>2501</v>
      </c>
      <c r="H649" s="20" t="s">
        <v>2502</v>
      </c>
      <c r="I649" s="20" t="s">
        <v>23</v>
      </c>
      <c r="J649" s="21">
        <v>2018</v>
      </c>
      <c r="K649" s="20" t="s">
        <v>24</v>
      </c>
      <c r="L649" s="21" t="s">
        <v>30</v>
      </c>
      <c r="M649" s="21"/>
      <c r="N649" s="20" t="s">
        <v>213</v>
      </c>
      <c r="O649" s="20"/>
    </row>
    <row r="650" spans="1:15" ht="13.5" customHeight="1" x14ac:dyDescent="0.25">
      <c r="A650" s="1"/>
      <c r="B650" s="22">
        <v>638</v>
      </c>
      <c r="C650" s="22">
        <v>2023</v>
      </c>
      <c r="D650" s="22">
        <v>40825</v>
      </c>
      <c r="E650" s="22" t="s">
        <v>2503</v>
      </c>
      <c r="F650" s="22" t="s">
        <v>2504</v>
      </c>
      <c r="G650" s="22" t="s">
        <v>2505</v>
      </c>
      <c r="H650" s="22" t="s">
        <v>2506</v>
      </c>
      <c r="I650" s="22" t="s">
        <v>23</v>
      </c>
      <c r="J650" s="23">
        <v>2015</v>
      </c>
      <c r="K650" s="22" t="s">
        <v>95</v>
      </c>
      <c r="L650" s="23" t="s">
        <v>30</v>
      </c>
      <c r="M650" s="23"/>
      <c r="N650" s="22" t="s">
        <v>185</v>
      </c>
      <c r="O650" s="22"/>
    </row>
    <row r="651" spans="1:15" ht="13.5" customHeight="1" x14ac:dyDescent="0.25">
      <c r="A651" s="1"/>
      <c r="B651" s="20">
        <v>639</v>
      </c>
      <c r="C651" s="20">
        <v>2023</v>
      </c>
      <c r="D651" s="20">
        <v>10663</v>
      </c>
      <c r="E651" s="20" t="s">
        <v>2507</v>
      </c>
      <c r="F651" s="20" t="s">
        <v>2508</v>
      </c>
      <c r="G651" s="20" t="s">
        <v>2509</v>
      </c>
      <c r="H651" s="20" t="s">
        <v>2510</v>
      </c>
      <c r="I651" s="20" t="s">
        <v>23</v>
      </c>
      <c r="J651" s="21">
        <v>2000</v>
      </c>
      <c r="K651" s="20" t="s">
        <v>475</v>
      </c>
      <c r="L651" s="21" t="s">
        <v>30</v>
      </c>
      <c r="M651" s="21" t="s">
        <v>30</v>
      </c>
      <c r="N651" s="20"/>
      <c r="O651" s="20"/>
    </row>
    <row r="652" spans="1:15" ht="13.5" customHeight="1" x14ac:dyDescent="0.25">
      <c r="A652" s="1"/>
      <c r="B652" s="22">
        <v>640</v>
      </c>
      <c r="C652" s="22">
        <v>2023</v>
      </c>
      <c r="D652" s="22">
        <v>181</v>
      </c>
      <c r="E652" s="22" t="s">
        <v>2511</v>
      </c>
      <c r="F652" s="22" t="s">
        <v>2512</v>
      </c>
      <c r="G652" s="22" t="s">
        <v>2513</v>
      </c>
      <c r="H652" s="22" t="s">
        <v>2514</v>
      </c>
      <c r="I652" s="22" t="s">
        <v>23</v>
      </c>
      <c r="J652" s="23">
        <v>2000</v>
      </c>
      <c r="K652" s="22" t="s">
        <v>475</v>
      </c>
      <c r="L652" s="23" t="s">
        <v>30</v>
      </c>
      <c r="M652" s="23" t="s">
        <v>30</v>
      </c>
      <c r="N652" s="22"/>
      <c r="O652" s="22"/>
    </row>
    <row r="653" spans="1:15" ht="13.5" customHeight="1" x14ac:dyDescent="0.25">
      <c r="A653" s="1"/>
      <c r="B653" s="20">
        <v>641</v>
      </c>
      <c r="C653" s="20">
        <v>2023</v>
      </c>
      <c r="D653" s="20">
        <v>10664</v>
      </c>
      <c r="E653" s="20" t="s">
        <v>2515</v>
      </c>
      <c r="F653" s="20" t="s">
        <v>2516</v>
      </c>
      <c r="G653" s="20" t="s">
        <v>2517</v>
      </c>
      <c r="H653" s="20" t="s">
        <v>2518</v>
      </c>
      <c r="I653" s="20" t="s">
        <v>23</v>
      </c>
      <c r="J653" s="21">
        <v>2000</v>
      </c>
      <c r="K653" s="20" t="s">
        <v>114</v>
      </c>
      <c r="L653" s="21" t="s">
        <v>30</v>
      </c>
      <c r="M653" s="21" t="s">
        <v>30</v>
      </c>
      <c r="N653" s="20"/>
      <c r="O653" s="20"/>
    </row>
    <row r="654" spans="1:15" ht="13.5" customHeight="1" x14ac:dyDescent="0.25">
      <c r="A654" s="1"/>
      <c r="B654" s="22">
        <v>642</v>
      </c>
      <c r="C654" s="22">
        <v>2023</v>
      </c>
      <c r="D654" s="22">
        <v>10672</v>
      </c>
      <c r="E654" s="22" t="s">
        <v>2519</v>
      </c>
      <c r="F654" s="22" t="s">
        <v>2520</v>
      </c>
      <c r="G654" s="22" t="s">
        <v>2521</v>
      </c>
      <c r="H654" s="22" t="s">
        <v>2522</v>
      </c>
      <c r="I654" s="22" t="s">
        <v>23</v>
      </c>
      <c r="J654" s="23">
        <v>2000</v>
      </c>
      <c r="K654" s="22" t="s">
        <v>184</v>
      </c>
      <c r="L654" s="23" t="s">
        <v>30</v>
      </c>
      <c r="M654" s="23" t="s">
        <v>30</v>
      </c>
      <c r="N654" s="22"/>
      <c r="O654" s="22"/>
    </row>
    <row r="655" spans="1:15" ht="13.5" customHeight="1" x14ac:dyDescent="0.25">
      <c r="A655" s="1"/>
      <c r="B655" s="20">
        <v>643</v>
      </c>
      <c r="C655" s="20">
        <v>2023</v>
      </c>
      <c r="D655" s="20">
        <v>12020</v>
      </c>
      <c r="E655" s="20" t="s">
        <v>2523</v>
      </c>
      <c r="F655" s="20" t="s">
        <v>2524</v>
      </c>
      <c r="G655" s="20"/>
      <c r="H655" s="20" t="s">
        <v>2525</v>
      </c>
      <c r="I655" s="20" t="s">
        <v>23</v>
      </c>
      <c r="J655" s="21">
        <v>2000</v>
      </c>
      <c r="K655" s="20" t="s">
        <v>39</v>
      </c>
      <c r="L655" s="21"/>
      <c r="M655" s="21" t="s">
        <v>30</v>
      </c>
      <c r="N655" s="20" t="s">
        <v>74</v>
      </c>
      <c r="O655" s="20"/>
    </row>
    <row r="656" spans="1:15" ht="13.5" customHeight="1" x14ac:dyDescent="0.25">
      <c r="A656" s="1"/>
      <c r="B656" s="22">
        <v>644</v>
      </c>
      <c r="C656" s="22">
        <v>2023</v>
      </c>
      <c r="D656" s="22">
        <v>12022</v>
      </c>
      <c r="E656" s="22" t="s">
        <v>2526</v>
      </c>
      <c r="F656" s="22" t="s">
        <v>2527</v>
      </c>
      <c r="G656" s="22" t="s">
        <v>2528</v>
      </c>
      <c r="H656" s="22" t="s">
        <v>2529</v>
      </c>
      <c r="I656" s="22" t="s">
        <v>23</v>
      </c>
      <c r="J656" s="23">
        <v>2000</v>
      </c>
      <c r="K656" s="22" t="s">
        <v>39</v>
      </c>
      <c r="L656" s="23" t="s">
        <v>30</v>
      </c>
      <c r="M656" s="23" t="s">
        <v>30</v>
      </c>
      <c r="N656" s="22" t="s">
        <v>74</v>
      </c>
      <c r="O656" s="22"/>
    </row>
    <row r="657" spans="1:15" ht="13.5" customHeight="1" x14ac:dyDescent="0.25">
      <c r="A657" s="1"/>
      <c r="B657" s="20">
        <v>645</v>
      </c>
      <c r="C657" s="20">
        <v>2023</v>
      </c>
      <c r="D657" s="20">
        <v>12053</v>
      </c>
      <c r="E657" s="20" t="s">
        <v>2530</v>
      </c>
      <c r="F657" s="20" t="s">
        <v>2531</v>
      </c>
      <c r="G657" s="20" t="s">
        <v>2532</v>
      </c>
      <c r="H657" s="20" t="s">
        <v>2533</v>
      </c>
      <c r="I657" s="20" t="s">
        <v>23</v>
      </c>
      <c r="J657" s="21">
        <v>2008</v>
      </c>
      <c r="K657" s="20" t="s">
        <v>1059</v>
      </c>
      <c r="L657" s="21" t="s">
        <v>30</v>
      </c>
      <c r="M657" s="21" t="s">
        <v>30</v>
      </c>
      <c r="N657" s="20" t="s">
        <v>352</v>
      </c>
      <c r="O657" s="20"/>
    </row>
    <row r="658" spans="1:15" ht="13.5" customHeight="1" x14ac:dyDescent="0.25">
      <c r="A658" s="1"/>
      <c r="B658" s="22">
        <v>646</v>
      </c>
      <c r="C658" s="22">
        <v>2023</v>
      </c>
      <c r="D658" s="22">
        <v>12667</v>
      </c>
      <c r="E658" s="22" t="s">
        <v>2534</v>
      </c>
      <c r="F658" s="22" t="s">
        <v>2535</v>
      </c>
      <c r="G658" s="22" t="s">
        <v>2536</v>
      </c>
      <c r="H658" s="22" t="s">
        <v>2537</v>
      </c>
      <c r="I658" s="22" t="s">
        <v>23</v>
      </c>
      <c r="J658" s="23">
        <v>2010</v>
      </c>
      <c r="K658" s="22" t="s">
        <v>1059</v>
      </c>
      <c r="L658" s="23" t="s">
        <v>30</v>
      </c>
      <c r="M658" s="23" t="s">
        <v>30</v>
      </c>
      <c r="N658" s="22" t="s">
        <v>1310</v>
      </c>
      <c r="O658" s="22"/>
    </row>
    <row r="659" spans="1:15" ht="13.5" customHeight="1" x14ac:dyDescent="0.25">
      <c r="A659" s="1"/>
      <c r="B659" s="20">
        <v>647</v>
      </c>
      <c r="C659" s="20">
        <v>2023</v>
      </c>
      <c r="D659" s="20">
        <v>40974</v>
      </c>
      <c r="E659" s="20" t="s">
        <v>2538</v>
      </c>
      <c r="F659" s="20" t="s">
        <v>2539</v>
      </c>
      <c r="G659" s="20"/>
      <c r="H659" s="20" t="s">
        <v>2540</v>
      </c>
      <c r="I659" s="20" t="s">
        <v>2541</v>
      </c>
      <c r="J659" s="21">
        <v>2016</v>
      </c>
      <c r="K659" s="20" t="s">
        <v>1059</v>
      </c>
      <c r="L659" s="21"/>
      <c r="M659" s="21"/>
      <c r="N659" s="20" t="s">
        <v>204</v>
      </c>
      <c r="O659" s="20"/>
    </row>
    <row r="660" spans="1:15" ht="13.5" customHeight="1" x14ac:dyDescent="0.25">
      <c r="A660" s="1"/>
      <c r="B660" s="22">
        <v>648</v>
      </c>
      <c r="C660" s="22">
        <v>2023</v>
      </c>
      <c r="D660" s="22">
        <v>366</v>
      </c>
      <c r="E660" s="22" t="s">
        <v>2542</v>
      </c>
      <c r="F660" s="22" t="s">
        <v>2543</v>
      </c>
      <c r="G660" s="22" t="s">
        <v>2544</v>
      </c>
      <c r="H660" s="22" t="s">
        <v>2545</v>
      </c>
      <c r="I660" s="22" t="s">
        <v>23</v>
      </c>
      <c r="J660" s="23">
        <v>2000</v>
      </c>
      <c r="K660" s="22" t="s">
        <v>114</v>
      </c>
      <c r="L660" s="23" t="s">
        <v>30</v>
      </c>
      <c r="M660" s="23" t="s">
        <v>30</v>
      </c>
      <c r="N660" s="22"/>
      <c r="O660" s="22"/>
    </row>
    <row r="661" spans="1:15" ht="13.5" customHeight="1" x14ac:dyDescent="0.25">
      <c r="A661" s="1"/>
      <c r="B661" s="20">
        <v>649</v>
      </c>
      <c r="C661" s="20">
        <v>2023</v>
      </c>
      <c r="D661" s="20">
        <v>42321</v>
      </c>
      <c r="E661" s="20" t="s">
        <v>2546</v>
      </c>
      <c r="F661" s="20" t="s">
        <v>2547</v>
      </c>
      <c r="G661" s="20" t="s">
        <v>2548</v>
      </c>
      <c r="H661" s="20" t="s">
        <v>2549</v>
      </c>
      <c r="I661" s="20" t="s">
        <v>23</v>
      </c>
      <c r="J661" s="21">
        <v>2018</v>
      </c>
      <c r="K661" s="20" t="s">
        <v>73</v>
      </c>
      <c r="L661" s="21" t="s">
        <v>30</v>
      </c>
      <c r="M661" s="21"/>
      <c r="N661" s="20" t="s">
        <v>151</v>
      </c>
      <c r="O661" s="20"/>
    </row>
    <row r="662" spans="1:15" ht="13.5" customHeight="1" x14ac:dyDescent="0.25">
      <c r="A662" s="1"/>
      <c r="B662" s="22">
        <v>650</v>
      </c>
      <c r="C662" s="22">
        <v>2023</v>
      </c>
      <c r="D662" s="22">
        <v>11474</v>
      </c>
      <c r="E662" s="22" t="s">
        <v>2550</v>
      </c>
      <c r="F662" s="22" t="s">
        <v>2551</v>
      </c>
      <c r="G662" s="22" t="s">
        <v>2552</v>
      </c>
      <c r="H662" s="22" t="s">
        <v>2553</v>
      </c>
      <c r="I662" s="22" t="s">
        <v>62</v>
      </c>
      <c r="J662" s="23">
        <v>2006</v>
      </c>
      <c r="K662" s="22" t="s">
        <v>34</v>
      </c>
      <c r="L662" s="23" t="s">
        <v>30</v>
      </c>
      <c r="M662" s="23" t="s">
        <v>30</v>
      </c>
      <c r="N662" s="22"/>
      <c r="O662" s="22"/>
    </row>
    <row r="663" spans="1:15" ht="13.5" customHeight="1" x14ac:dyDescent="0.25">
      <c r="A663" s="1"/>
      <c r="B663" s="20">
        <v>651</v>
      </c>
      <c r="C663" s="20">
        <v>2023</v>
      </c>
      <c r="D663" s="20">
        <v>41959</v>
      </c>
      <c r="E663" s="20" t="s">
        <v>2554</v>
      </c>
      <c r="F663" s="20" t="s">
        <v>2555</v>
      </c>
      <c r="G663" s="20" t="s">
        <v>2556</v>
      </c>
      <c r="H663" s="20" t="s">
        <v>2557</v>
      </c>
      <c r="I663" s="20" t="s">
        <v>23</v>
      </c>
      <c r="J663" s="21">
        <v>2018</v>
      </c>
      <c r="K663" s="20" t="s">
        <v>73</v>
      </c>
      <c r="L663" s="21" t="s">
        <v>30</v>
      </c>
      <c r="M663" s="21"/>
      <c r="N663" s="20" t="s">
        <v>213</v>
      </c>
      <c r="O663" s="20"/>
    </row>
    <row r="664" spans="1:15" ht="13.5" customHeight="1" x14ac:dyDescent="0.25">
      <c r="A664" s="1"/>
      <c r="B664" s="22">
        <v>652</v>
      </c>
      <c r="C664" s="22">
        <v>2023</v>
      </c>
      <c r="D664" s="22">
        <v>10669</v>
      </c>
      <c r="E664" s="22" t="s">
        <v>2558</v>
      </c>
      <c r="F664" s="22" t="s">
        <v>2559</v>
      </c>
      <c r="G664" s="22" t="s">
        <v>2560</v>
      </c>
      <c r="H664" s="22" t="s">
        <v>2561</v>
      </c>
      <c r="I664" s="22" t="s">
        <v>23</v>
      </c>
      <c r="J664" s="23">
        <v>2000</v>
      </c>
      <c r="K664" s="22" t="s">
        <v>95</v>
      </c>
      <c r="L664" s="23" t="s">
        <v>30</v>
      </c>
      <c r="M664" s="23" t="s">
        <v>30</v>
      </c>
      <c r="N664" s="22"/>
      <c r="O664" s="22"/>
    </row>
    <row r="665" spans="1:15" ht="13.5" customHeight="1" x14ac:dyDescent="0.25">
      <c r="A665" s="1"/>
      <c r="B665" s="20">
        <v>653</v>
      </c>
      <c r="C665" s="20">
        <v>2023</v>
      </c>
      <c r="D665" s="20">
        <v>10668</v>
      </c>
      <c r="E665" s="20" t="s">
        <v>2562</v>
      </c>
      <c r="F665" s="20" t="s">
        <v>2563</v>
      </c>
      <c r="G665" s="20" t="s">
        <v>2564</v>
      </c>
      <c r="H665" s="20" t="s">
        <v>2565</v>
      </c>
      <c r="I665" s="20" t="s">
        <v>23</v>
      </c>
      <c r="J665" s="21">
        <v>2000</v>
      </c>
      <c r="K665" s="20" t="s">
        <v>95</v>
      </c>
      <c r="L665" s="21" t="s">
        <v>30</v>
      </c>
      <c r="M665" s="21" t="s">
        <v>30</v>
      </c>
      <c r="N665" s="20"/>
      <c r="O665" s="20"/>
    </row>
    <row r="666" spans="1:15" ht="13.5" customHeight="1" x14ac:dyDescent="0.25">
      <c r="A666" s="1"/>
      <c r="B666" s="22">
        <v>654</v>
      </c>
      <c r="C666" s="22">
        <v>2023</v>
      </c>
      <c r="D666" s="22">
        <v>10651</v>
      </c>
      <c r="E666" s="22" t="s">
        <v>2566</v>
      </c>
      <c r="F666" s="22" t="s">
        <v>2567</v>
      </c>
      <c r="G666" s="22" t="s">
        <v>2568</v>
      </c>
      <c r="H666" s="22" t="s">
        <v>2569</v>
      </c>
      <c r="I666" s="22" t="s">
        <v>23</v>
      </c>
      <c r="J666" s="23">
        <v>2000</v>
      </c>
      <c r="K666" s="22" t="s">
        <v>34</v>
      </c>
      <c r="L666" s="23" t="s">
        <v>30</v>
      </c>
      <c r="M666" s="23" t="s">
        <v>30</v>
      </c>
      <c r="N666" s="22"/>
      <c r="O666" s="22"/>
    </row>
    <row r="667" spans="1:15" ht="13.5" customHeight="1" x14ac:dyDescent="0.25">
      <c r="A667" s="1"/>
      <c r="B667" s="20">
        <v>655</v>
      </c>
      <c r="C667" s="20">
        <v>2023</v>
      </c>
      <c r="D667" s="20">
        <v>10640</v>
      </c>
      <c r="E667" s="20" t="s">
        <v>2570</v>
      </c>
      <c r="F667" s="20" t="s">
        <v>2571</v>
      </c>
      <c r="G667" s="20" t="s">
        <v>2572</v>
      </c>
      <c r="H667" s="20" t="s">
        <v>2573</v>
      </c>
      <c r="I667" s="20" t="s">
        <v>23</v>
      </c>
      <c r="J667" s="21">
        <v>2000</v>
      </c>
      <c r="K667" s="20" t="s">
        <v>475</v>
      </c>
      <c r="L667" s="21" t="s">
        <v>30</v>
      </c>
      <c r="M667" s="21" t="s">
        <v>30</v>
      </c>
      <c r="N667" s="20"/>
      <c r="O667" s="20"/>
    </row>
    <row r="668" spans="1:15" ht="13.5" customHeight="1" x14ac:dyDescent="0.25">
      <c r="A668" s="1"/>
      <c r="B668" s="22">
        <v>656</v>
      </c>
      <c r="C668" s="22">
        <v>2023</v>
      </c>
      <c r="D668" s="22">
        <v>10641</v>
      </c>
      <c r="E668" s="22" t="s">
        <v>2574</v>
      </c>
      <c r="F668" s="22" t="s">
        <v>2575</v>
      </c>
      <c r="G668" s="22" t="s">
        <v>2576</v>
      </c>
      <c r="H668" s="22" t="s">
        <v>2577</v>
      </c>
      <c r="I668" s="22" t="s">
        <v>23</v>
      </c>
      <c r="J668" s="23">
        <v>2000</v>
      </c>
      <c r="K668" s="22" t="s">
        <v>34</v>
      </c>
      <c r="L668" s="23" t="s">
        <v>30</v>
      </c>
      <c r="M668" s="23" t="s">
        <v>30</v>
      </c>
      <c r="N668" s="22"/>
      <c r="O668" s="22"/>
    </row>
    <row r="669" spans="1:15" ht="13.5" customHeight="1" x14ac:dyDescent="0.25">
      <c r="A669" s="1"/>
      <c r="B669" s="20">
        <v>657</v>
      </c>
      <c r="C669" s="20">
        <v>2023</v>
      </c>
      <c r="D669" s="20">
        <v>10311</v>
      </c>
      <c r="E669" s="20" t="s">
        <v>2578</v>
      </c>
      <c r="F669" s="20" t="s">
        <v>2579</v>
      </c>
      <c r="G669" s="20" t="s">
        <v>2580</v>
      </c>
      <c r="H669" s="20" t="s">
        <v>2581</v>
      </c>
      <c r="I669" s="20" t="s">
        <v>23</v>
      </c>
      <c r="J669" s="21">
        <v>2003</v>
      </c>
      <c r="K669" s="20" t="s">
        <v>95</v>
      </c>
      <c r="L669" s="21" t="s">
        <v>30</v>
      </c>
      <c r="M669" s="21" t="s">
        <v>30</v>
      </c>
      <c r="N669" s="20"/>
      <c r="O669" s="20"/>
    </row>
    <row r="670" spans="1:15" ht="13.5" customHeight="1" x14ac:dyDescent="0.25">
      <c r="A670" s="1"/>
      <c r="B670" s="22">
        <v>658</v>
      </c>
      <c r="C670" s="22">
        <v>2023</v>
      </c>
      <c r="D670" s="22">
        <v>12665</v>
      </c>
      <c r="E670" s="22" t="s">
        <v>2582</v>
      </c>
      <c r="F670" s="22" t="s">
        <v>2583</v>
      </c>
      <c r="G670" s="22" t="s">
        <v>2584</v>
      </c>
      <c r="H670" s="22" t="s">
        <v>2585</v>
      </c>
      <c r="I670" s="22" t="s">
        <v>23</v>
      </c>
      <c r="J670" s="23">
        <v>2009</v>
      </c>
      <c r="K670" s="22" t="s">
        <v>95</v>
      </c>
      <c r="L670" s="23" t="s">
        <v>30</v>
      </c>
      <c r="M670" s="23" t="s">
        <v>30</v>
      </c>
      <c r="N670" s="22"/>
      <c r="O670" s="22"/>
    </row>
    <row r="671" spans="1:15" ht="13.5" customHeight="1" x14ac:dyDescent="0.25">
      <c r="A671" s="1"/>
      <c r="B671" s="20">
        <v>659</v>
      </c>
      <c r="C671" s="20">
        <v>2023</v>
      </c>
      <c r="D671" s="20">
        <v>10018</v>
      </c>
      <c r="E671" s="20" t="s">
        <v>2586</v>
      </c>
      <c r="F671" s="20" t="s">
        <v>2587</v>
      </c>
      <c r="G671" s="20" t="s">
        <v>2588</v>
      </c>
      <c r="H671" s="20" t="s">
        <v>2589</v>
      </c>
      <c r="I671" s="20" t="s">
        <v>23</v>
      </c>
      <c r="J671" s="21">
        <v>2000</v>
      </c>
      <c r="K671" s="20" t="s">
        <v>475</v>
      </c>
      <c r="L671" s="21" t="s">
        <v>30</v>
      </c>
      <c r="M671" s="21" t="s">
        <v>30</v>
      </c>
      <c r="N671" s="20"/>
      <c r="O671" s="20"/>
    </row>
    <row r="672" spans="1:15" ht="13.5" customHeight="1" x14ac:dyDescent="0.25">
      <c r="A672" s="1"/>
      <c r="B672" s="22">
        <v>660</v>
      </c>
      <c r="C672" s="22">
        <v>2023</v>
      </c>
      <c r="D672" s="22">
        <v>10652</v>
      </c>
      <c r="E672" s="22" t="s">
        <v>2590</v>
      </c>
      <c r="F672" s="22" t="s">
        <v>2591</v>
      </c>
      <c r="G672" s="22" t="s">
        <v>2592</v>
      </c>
      <c r="H672" s="22" t="s">
        <v>2593</v>
      </c>
      <c r="I672" s="22" t="s">
        <v>23</v>
      </c>
      <c r="J672" s="23">
        <v>2001</v>
      </c>
      <c r="K672" s="22" t="s">
        <v>95</v>
      </c>
      <c r="L672" s="23" t="s">
        <v>30</v>
      </c>
      <c r="M672" s="23" t="s">
        <v>30</v>
      </c>
      <c r="N672" s="22"/>
      <c r="O672" s="22"/>
    </row>
    <row r="673" spans="1:15" ht="13.5" customHeight="1" x14ac:dyDescent="0.25">
      <c r="A673" s="1"/>
      <c r="B673" s="20">
        <v>661</v>
      </c>
      <c r="C673" s="20">
        <v>2023</v>
      </c>
      <c r="D673" s="20">
        <v>10653</v>
      </c>
      <c r="E673" s="20" t="s">
        <v>2594</v>
      </c>
      <c r="F673" s="20" t="s">
        <v>2595</v>
      </c>
      <c r="G673" s="20" t="s">
        <v>2596</v>
      </c>
      <c r="H673" s="20" t="s">
        <v>2597</v>
      </c>
      <c r="I673" s="20" t="s">
        <v>23</v>
      </c>
      <c r="J673" s="21">
        <v>2000</v>
      </c>
      <c r="K673" s="20" t="s">
        <v>95</v>
      </c>
      <c r="L673" s="21" t="s">
        <v>30</v>
      </c>
      <c r="M673" s="21" t="s">
        <v>30</v>
      </c>
      <c r="N673" s="20"/>
      <c r="O673" s="20"/>
    </row>
    <row r="674" spans="1:15" ht="13.5" customHeight="1" x14ac:dyDescent="0.25">
      <c r="A674" s="1"/>
      <c r="B674" s="22">
        <v>662</v>
      </c>
      <c r="C674" s="22">
        <v>2023</v>
      </c>
      <c r="D674" s="22">
        <v>267</v>
      </c>
      <c r="E674" s="22" t="s">
        <v>2598</v>
      </c>
      <c r="F674" s="22" t="s">
        <v>2599</v>
      </c>
      <c r="G674" s="22" t="s">
        <v>2600</v>
      </c>
      <c r="H674" s="22" t="s">
        <v>2601</v>
      </c>
      <c r="I674" s="22" t="s">
        <v>23</v>
      </c>
      <c r="J674" s="23">
        <v>2000</v>
      </c>
      <c r="K674" s="22" t="s">
        <v>95</v>
      </c>
      <c r="L674" s="23" t="s">
        <v>30</v>
      </c>
      <c r="M674" s="23" t="s">
        <v>30</v>
      </c>
      <c r="N674" s="22"/>
      <c r="O674" s="22"/>
    </row>
    <row r="675" spans="1:15" ht="13.5" customHeight="1" x14ac:dyDescent="0.25">
      <c r="A675" s="1"/>
      <c r="B675" s="20">
        <v>663</v>
      </c>
      <c r="C675" s="20">
        <v>2023</v>
      </c>
      <c r="D675" s="20">
        <v>10666</v>
      </c>
      <c r="E675" s="20" t="s">
        <v>2602</v>
      </c>
      <c r="F675" s="20" t="s">
        <v>2603</v>
      </c>
      <c r="G675" s="20" t="s">
        <v>2604</v>
      </c>
      <c r="H675" s="20" t="s">
        <v>2605</v>
      </c>
      <c r="I675" s="20" t="s">
        <v>23</v>
      </c>
      <c r="J675" s="21">
        <v>2000</v>
      </c>
      <c r="K675" s="20" t="s">
        <v>95</v>
      </c>
      <c r="L675" s="21" t="s">
        <v>30</v>
      </c>
      <c r="M675" s="21" t="s">
        <v>30</v>
      </c>
      <c r="N675" s="20"/>
      <c r="O675" s="20"/>
    </row>
    <row r="676" spans="1:15" ht="13.5" customHeight="1" x14ac:dyDescent="0.25">
      <c r="A676" s="1"/>
      <c r="B676" s="22">
        <v>664</v>
      </c>
      <c r="C676" s="22">
        <v>2023</v>
      </c>
      <c r="D676" s="22">
        <v>10661</v>
      </c>
      <c r="E676" s="22" t="s">
        <v>2606</v>
      </c>
      <c r="F676" s="22" t="s">
        <v>2607</v>
      </c>
      <c r="G676" s="22" t="s">
        <v>2608</v>
      </c>
      <c r="H676" s="22" t="s">
        <v>2609</v>
      </c>
      <c r="I676" s="22" t="s">
        <v>23</v>
      </c>
      <c r="J676" s="23">
        <v>2000</v>
      </c>
      <c r="K676" s="22" t="s">
        <v>95</v>
      </c>
      <c r="L676" s="23" t="s">
        <v>30</v>
      </c>
      <c r="M676" s="23" t="s">
        <v>30</v>
      </c>
      <c r="N676" s="22"/>
      <c r="O676" s="22"/>
    </row>
    <row r="677" spans="1:15" ht="13.5" customHeight="1" x14ac:dyDescent="0.25">
      <c r="A677" s="1"/>
      <c r="B677" s="20">
        <v>665</v>
      </c>
      <c r="C677" s="20">
        <v>2023</v>
      </c>
      <c r="D677" s="20">
        <v>40710</v>
      </c>
      <c r="E677" s="20" t="s">
        <v>2610</v>
      </c>
      <c r="F677" s="20" t="s">
        <v>2611</v>
      </c>
      <c r="G677" s="20" t="s">
        <v>2612</v>
      </c>
      <c r="H677" s="20" t="s">
        <v>2613</v>
      </c>
      <c r="I677" s="20" t="s">
        <v>23</v>
      </c>
      <c r="J677" s="21">
        <v>2014</v>
      </c>
      <c r="K677" s="20" t="s">
        <v>95</v>
      </c>
      <c r="L677" s="21" t="s">
        <v>30</v>
      </c>
      <c r="M677" s="21"/>
      <c r="N677" s="20" t="s">
        <v>381</v>
      </c>
      <c r="O677" s="20"/>
    </row>
    <row r="678" spans="1:15" ht="13.5" customHeight="1" x14ac:dyDescent="0.25">
      <c r="A678" s="1"/>
      <c r="B678" s="22">
        <v>666</v>
      </c>
      <c r="C678" s="22">
        <v>2023</v>
      </c>
      <c r="D678" s="22">
        <v>11356</v>
      </c>
      <c r="E678" s="22" t="s">
        <v>2614</v>
      </c>
      <c r="F678" s="22" t="s">
        <v>2615</v>
      </c>
      <c r="G678" s="22" t="s">
        <v>2616</v>
      </c>
      <c r="H678" s="22" t="s">
        <v>2617</v>
      </c>
      <c r="I678" s="22" t="s">
        <v>23</v>
      </c>
      <c r="J678" s="23">
        <v>2000</v>
      </c>
      <c r="K678" s="22" t="s">
        <v>95</v>
      </c>
      <c r="L678" s="23" t="s">
        <v>30</v>
      </c>
      <c r="M678" s="23" t="s">
        <v>30</v>
      </c>
      <c r="N678" s="22" t="s">
        <v>35</v>
      </c>
      <c r="O678" s="22"/>
    </row>
    <row r="679" spans="1:15" ht="13.5" customHeight="1" x14ac:dyDescent="0.25">
      <c r="A679" s="1"/>
      <c r="B679" s="20">
        <v>667</v>
      </c>
      <c r="C679" s="20">
        <v>2023</v>
      </c>
      <c r="D679" s="20">
        <v>42398</v>
      </c>
      <c r="E679" s="20" t="s">
        <v>2618</v>
      </c>
      <c r="F679" s="20" t="s">
        <v>2619</v>
      </c>
      <c r="G679" s="20"/>
      <c r="H679" s="20" t="s">
        <v>2620</v>
      </c>
      <c r="I679" s="20" t="s">
        <v>23</v>
      </c>
      <c r="J679" s="21">
        <v>2018</v>
      </c>
      <c r="K679" s="20" t="s">
        <v>95</v>
      </c>
      <c r="L679" s="21"/>
      <c r="M679" s="21"/>
      <c r="N679" s="20" t="s">
        <v>213</v>
      </c>
      <c r="O679" s="20"/>
    </row>
    <row r="680" spans="1:15" ht="13.5" customHeight="1" x14ac:dyDescent="0.25">
      <c r="A680" s="1"/>
      <c r="B680" s="22">
        <v>668</v>
      </c>
      <c r="C680" s="22">
        <v>2023</v>
      </c>
      <c r="D680" s="22">
        <v>13167</v>
      </c>
      <c r="E680" s="22" t="s">
        <v>2621</v>
      </c>
      <c r="F680" s="22" t="s">
        <v>2622</v>
      </c>
      <c r="G680" s="22"/>
      <c r="H680" s="22" t="s">
        <v>2623</v>
      </c>
      <c r="I680" s="22" t="s">
        <v>23</v>
      </c>
      <c r="J680" s="23">
        <v>2010</v>
      </c>
      <c r="K680" s="22" t="s">
        <v>34</v>
      </c>
      <c r="L680" s="23"/>
      <c r="M680" s="23"/>
      <c r="N680" s="22"/>
      <c r="O680" s="22"/>
    </row>
    <row r="681" spans="1:15" ht="13.5" customHeight="1" x14ac:dyDescent="0.25">
      <c r="A681" s="1"/>
      <c r="B681" s="20">
        <v>669</v>
      </c>
      <c r="C681" s="20">
        <v>2023</v>
      </c>
      <c r="D681" s="20">
        <v>12027</v>
      </c>
      <c r="E681" s="20" t="s">
        <v>2624</v>
      </c>
      <c r="F681" s="20" t="s">
        <v>2625</v>
      </c>
      <c r="G681" s="20" t="s">
        <v>2626</v>
      </c>
      <c r="H681" s="20" t="s">
        <v>2627</v>
      </c>
      <c r="I681" s="20" t="s">
        <v>23</v>
      </c>
      <c r="J681" s="21">
        <v>2000</v>
      </c>
      <c r="K681" s="20" t="s">
        <v>394</v>
      </c>
      <c r="L681" s="21" t="s">
        <v>30</v>
      </c>
      <c r="M681" s="21" t="s">
        <v>30</v>
      </c>
      <c r="N681" s="20" t="s">
        <v>74</v>
      </c>
      <c r="O681" s="20"/>
    </row>
    <row r="682" spans="1:15" ht="13.5" customHeight="1" x14ac:dyDescent="0.25">
      <c r="A682" s="1"/>
      <c r="B682" s="22">
        <v>670</v>
      </c>
      <c r="C682" s="22">
        <v>2023</v>
      </c>
      <c r="D682" s="22">
        <v>10670</v>
      </c>
      <c r="E682" s="22" t="s">
        <v>2628</v>
      </c>
      <c r="F682" s="22" t="s">
        <v>2629</v>
      </c>
      <c r="G682" s="22" t="s">
        <v>2630</v>
      </c>
      <c r="H682" s="22" t="s">
        <v>2631</v>
      </c>
      <c r="I682" s="22" t="s">
        <v>23</v>
      </c>
      <c r="J682" s="23">
        <v>2000</v>
      </c>
      <c r="K682" s="22" t="s">
        <v>73</v>
      </c>
      <c r="L682" s="23" t="s">
        <v>30</v>
      </c>
      <c r="M682" s="23" t="s">
        <v>30</v>
      </c>
      <c r="N682" s="22"/>
      <c r="O682" s="22"/>
    </row>
    <row r="683" spans="1:15" ht="13.5" customHeight="1" x14ac:dyDescent="0.25">
      <c r="A683" s="1"/>
      <c r="B683" s="20">
        <v>671</v>
      </c>
      <c r="C683" s="20">
        <v>2023</v>
      </c>
      <c r="D683" s="20">
        <v>10341</v>
      </c>
      <c r="E683" s="20" t="s">
        <v>2632</v>
      </c>
      <c r="F683" s="20" t="s">
        <v>2633</v>
      </c>
      <c r="G683" s="20" t="s">
        <v>2634</v>
      </c>
      <c r="H683" s="20" t="s">
        <v>2635</v>
      </c>
      <c r="I683" s="20" t="s">
        <v>23</v>
      </c>
      <c r="J683" s="21">
        <v>2004</v>
      </c>
      <c r="K683" s="20" t="s">
        <v>34</v>
      </c>
      <c r="L683" s="21" t="s">
        <v>30</v>
      </c>
      <c r="M683" s="21" t="s">
        <v>30</v>
      </c>
      <c r="N683" s="20"/>
      <c r="O683" s="20"/>
    </row>
    <row r="684" spans="1:15" ht="13.5" customHeight="1" x14ac:dyDescent="0.25">
      <c r="A684" s="1"/>
      <c r="B684" s="22">
        <v>672</v>
      </c>
      <c r="C684" s="22">
        <v>2023</v>
      </c>
      <c r="D684" s="22">
        <v>10388</v>
      </c>
      <c r="E684" s="22" t="s">
        <v>2636</v>
      </c>
      <c r="F684" s="22" t="s">
        <v>2637</v>
      </c>
      <c r="G684" s="22" t="s">
        <v>2638</v>
      </c>
      <c r="H684" s="22" t="s">
        <v>2639</v>
      </c>
      <c r="I684" s="22" t="s">
        <v>23</v>
      </c>
      <c r="J684" s="23">
        <v>2003</v>
      </c>
      <c r="K684" s="22" t="s">
        <v>39</v>
      </c>
      <c r="L684" s="23" t="s">
        <v>30</v>
      </c>
      <c r="M684" s="23" t="s">
        <v>30</v>
      </c>
      <c r="N684" s="22"/>
      <c r="O684" s="22"/>
    </row>
    <row r="685" spans="1:15" ht="13.5" customHeight="1" x14ac:dyDescent="0.25">
      <c r="A685" s="1"/>
      <c r="B685" s="20">
        <v>673</v>
      </c>
      <c r="C685" s="20">
        <v>2023</v>
      </c>
      <c r="D685" s="20">
        <v>12237</v>
      </c>
      <c r="E685" s="20" t="s">
        <v>2640</v>
      </c>
      <c r="F685" s="20" t="s">
        <v>2641</v>
      </c>
      <c r="G685" s="20" t="s">
        <v>2642</v>
      </c>
      <c r="H685" s="20" t="s">
        <v>2643</v>
      </c>
      <c r="I685" s="20" t="s">
        <v>23</v>
      </c>
      <c r="J685" s="21">
        <v>2000</v>
      </c>
      <c r="K685" s="20" t="s">
        <v>95</v>
      </c>
      <c r="L685" s="21" t="s">
        <v>30</v>
      </c>
      <c r="M685" s="21" t="s">
        <v>30</v>
      </c>
      <c r="N685" s="20" t="s">
        <v>35</v>
      </c>
      <c r="O685" s="20"/>
    </row>
    <row r="686" spans="1:15" ht="13.5" customHeight="1" x14ac:dyDescent="0.25">
      <c r="A686" s="1"/>
      <c r="B686" s="22">
        <v>674</v>
      </c>
      <c r="C686" s="22">
        <v>2023</v>
      </c>
      <c r="D686" s="22">
        <v>10677</v>
      </c>
      <c r="E686" s="22" t="s">
        <v>2644</v>
      </c>
      <c r="F686" s="22" t="s">
        <v>2645</v>
      </c>
      <c r="G686" s="22" t="s">
        <v>2646</v>
      </c>
      <c r="H686" s="22" t="s">
        <v>2647</v>
      </c>
      <c r="I686" s="22" t="s">
        <v>23</v>
      </c>
      <c r="J686" s="23">
        <v>2000</v>
      </c>
      <c r="K686" s="22" t="s">
        <v>73</v>
      </c>
      <c r="L686" s="23" t="s">
        <v>30</v>
      </c>
      <c r="M686" s="23" t="s">
        <v>30</v>
      </c>
      <c r="N686" s="22"/>
      <c r="O686" s="22"/>
    </row>
    <row r="687" spans="1:15" ht="13.5" customHeight="1" x14ac:dyDescent="0.25">
      <c r="A687" s="1"/>
      <c r="B687" s="20">
        <v>675</v>
      </c>
      <c r="C687" s="20">
        <v>2023</v>
      </c>
      <c r="D687" s="20">
        <v>10676</v>
      </c>
      <c r="E687" s="20" t="s">
        <v>2648</v>
      </c>
      <c r="F687" s="20" t="s">
        <v>2649</v>
      </c>
      <c r="G687" s="20" t="s">
        <v>2650</v>
      </c>
      <c r="H687" s="20" t="s">
        <v>2651</v>
      </c>
      <c r="I687" s="20" t="s">
        <v>23</v>
      </c>
      <c r="J687" s="21">
        <v>2000</v>
      </c>
      <c r="K687" s="20" t="s">
        <v>114</v>
      </c>
      <c r="L687" s="21" t="s">
        <v>30</v>
      </c>
      <c r="M687" s="21" t="s">
        <v>30</v>
      </c>
      <c r="N687" s="20"/>
      <c r="O687" s="20"/>
    </row>
    <row r="688" spans="1:15" ht="13.5" customHeight="1" x14ac:dyDescent="0.25">
      <c r="A688" s="1"/>
      <c r="B688" s="22">
        <v>676</v>
      </c>
      <c r="C688" s="22">
        <v>2023</v>
      </c>
      <c r="D688" s="22">
        <v>481</v>
      </c>
      <c r="E688" s="22" t="s">
        <v>2652</v>
      </c>
      <c r="F688" s="22" t="s">
        <v>2653</v>
      </c>
      <c r="G688" s="22" t="s">
        <v>2654</v>
      </c>
      <c r="H688" s="22" t="s">
        <v>2655</v>
      </c>
      <c r="I688" s="22" t="s">
        <v>23</v>
      </c>
      <c r="J688" s="23">
        <v>2000</v>
      </c>
      <c r="K688" s="22" t="s">
        <v>39</v>
      </c>
      <c r="L688" s="23" t="s">
        <v>30</v>
      </c>
      <c r="M688" s="23" t="s">
        <v>30</v>
      </c>
      <c r="N688" s="22"/>
      <c r="O688" s="22"/>
    </row>
    <row r="689" spans="1:15" ht="13.5" customHeight="1" x14ac:dyDescent="0.25">
      <c r="A689" s="1"/>
      <c r="B689" s="20">
        <v>677</v>
      </c>
      <c r="C689" s="20">
        <v>2023</v>
      </c>
      <c r="D689" s="20">
        <v>10681</v>
      </c>
      <c r="E689" s="20" t="s">
        <v>2656</v>
      </c>
      <c r="F689" s="20" t="s">
        <v>2657</v>
      </c>
      <c r="G689" s="20" t="s">
        <v>2658</v>
      </c>
      <c r="H689" s="20" t="s">
        <v>2659</v>
      </c>
      <c r="I689" s="20" t="s">
        <v>23</v>
      </c>
      <c r="J689" s="21">
        <v>2000</v>
      </c>
      <c r="K689" s="20" t="s">
        <v>34</v>
      </c>
      <c r="L689" s="21" t="s">
        <v>30</v>
      </c>
      <c r="M689" s="21" t="s">
        <v>30</v>
      </c>
      <c r="N689" s="20"/>
      <c r="O689" s="20"/>
    </row>
    <row r="690" spans="1:15" ht="13.5" customHeight="1" x14ac:dyDescent="0.25">
      <c r="A690" s="1"/>
      <c r="B690" s="22">
        <v>678</v>
      </c>
      <c r="C690" s="22">
        <v>2023</v>
      </c>
      <c r="D690" s="22">
        <v>40821</v>
      </c>
      <c r="E690" s="22" t="s">
        <v>2660</v>
      </c>
      <c r="F690" s="22" t="s">
        <v>2661</v>
      </c>
      <c r="G690" s="22"/>
      <c r="H690" s="22" t="s">
        <v>2662</v>
      </c>
      <c r="I690" s="22" t="s">
        <v>23</v>
      </c>
      <c r="J690" s="23">
        <v>2011</v>
      </c>
      <c r="K690" s="22" t="s">
        <v>29</v>
      </c>
      <c r="L690" s="23"/>
      <c r="M690" s="23"/>
      <c r="N690" s="22" t="s">
        <v>53</v>
      </c>
      <c r="O690" s="22"/>
    </row>
    <row r="691" spans="1:15" ht="13.5" customHeight="1" x14ac:dyDescent="0.25">
      <c r="A691" s="1"/>
      <c r="B691" s="20">
        <v>679</v>
      </c>
      <c r="C691" s="20">
        <v>2023</v>
      </c>
      <c r="D691" s="20">
        <v>40822</v>
      </c>
      <c r="E691" s="20" t="s">
        <v>2663</v>
      </c>
      <c r="F691" s="20" t="s">
        <v>2664</v>
      </c>
      <c r="G691" s="20"/>
      <c r="H691" s="20" t="s">
        <v>2665</v>
      </c>
      <c r="I691" s="20" t="s">
        <v>23</v>
      </c>
      <c r="J691" s="21">
        <v>2011</v>
      </c>
      <c r="K691" s="20" t="s">
        <v>475</v>
      </c>
      <c r="L691" s="21"/>
      <c r="M691" s="21"/>
      <c r="N691" s="20" t="s">
        <v>53</v>
      </c>
      <c r="O691" s="20"/>
    </row>
    <row r="692" spans="1:15" ht="13.5" customHeight="1" x14ac:dyDescent="0.25">
      <c r="A692" s="1"/>
      <c r="B692" s="22">
        <v>680</v>
      </c>
      <c r="C692" s="22">
        <v>2023</v>
      </c>
      <c r="D692" s="22">
        <v>11475</v>
      </c>
      <c r="E692" s="22" t="s">
        <v>2666</v>
      </c>
      <c r="F692" s="22" t="s">
        <v>2667</v>
      </c>
      <c r="G692" s="22" t="s">
        <v>2668</v>
      </c>
      <c r="H692" s="22" t="s">
        <v>2669</v>
      </c>
      <c r="I692" s="22" t="s">
        <v>62</v>
      </c>
      <c r="J692" s="23">
        <v>2006</v>
      </c>
      <c r="K692" s="22" t="s">
        <v>95</v>
      </c>
      <c r="L692" s="23" t="s">
        <v>30</v>
      </c>
      <c r="M692" s="23" t="s">
        <v>30</v>
      </c>
      <c r="N692" s="22"/>
      <c r="O692" s="22"/>
    </row>
    <row r="693" spans="1:15" ht="13.5" customHeight="1" x14ac:dyDescent="0.25">
      <c r="A693" s="1"/>
      <c r="B693" s="20">
        <v>681</v>
      </c>
      <c r="C693" s="20">
        <v>2023</v>
      </c>
      <c r="D693" s="20">
        <v>41207</v>
      </c>
      <c r="E693" s="20" t="s">
        <v>2670</v>
      </c>
      <c r="F693" s="20" t="s">
        <v>2671</v>
      </c>
      <c r="G693" s="20" t="s">
        <v>2672</v>
      </c>
      <c r="H693" s="20" t="s">
        <v>2673</v>
      </c>
      <c r="I693" s="20" t="s">
        <v>23</v>
      </c>
      <c r="J693" s="21">
        <v>2016</v>
      </c>
      <c r="K693" s="20" t="s">
        <v>95</v>
      </c>
      <c r="L693" s="21" t="s">
        <v>30</v>
      </c>
      <c r="M693" s="21"/>
      <c r="N693" s="20" t="s">
        <v>204</v>
      </c>
      <c r="O693" s="20"/>
    </row>
    <row r="694" spans="1:15" ht="13.5" customHeight="1" x14ac:dyDescent="0.25">
      <c r="A694" s="1"/>
      <c r="B694" s="22">
        <v>682</v>
      </c>
      <c r="C694" s="22">
        <v>2023</v>
      </c>
      <c r="D694" s="22">
        <v>13385</v>
      </c>
      <c r="E694" s="22" t="s">
        <v>2674</v>
      </c>
      <c r="F694" s="22" t="s">
        <v>2675</v>
      </c>
      <c r="G694" s="22" t="s">
        <v>2676</v>
      </c>
      <c r="H694" s="22" t="s">
        <v>2677</v>
      </c>
      <c r="I694" s="22" t="s">
        <v>23</v>
      </c>
      <c r="J694" s="23">
        <v>2011</v>
      </c>
      <c r="K694" s="22" t="s">
        <v>44</v>
      </c>
      <c r="L694" s="23" t="s">
        <v>30</v>
      </c>
      <c r="M694" s="23"/>
      <c r="N694" s="22"/>
      <c r="O694" s="22"/>
    </row>
    <row r="695" spans="1:15" ht="13.5" customHeight="1" x14ac:dyDescent="0.25">
      <c r="A695" s="1"/>
      <c r="B695" s="20">
        <v>683</v>
      </c>
      <c r="C695" s="20">
        <v>2023</v>
      </c>
      <c r="D695" s="20">
        <v>405</v>
      </c>
      <c r="E695" s="20" t="s">
        <v>2678</v>
      </c>
      <c r="F695" s="20" t="s">
        <v>2679</v>
      </c>
      <c r="G695" s="20" t="s">
        <v>2680</v>
      </c>
      <c r="H695" s="20" t="s">
        <v>2681</v>
      </c>
      <c r="I695" s="20" t="s">
        <v>23</v>
      </c>
      <c r="J695" s="21">
        <v>2000</v>
      </c>
      <c r="K695" s="20" t="s">
        <v>39</v>
      </c>
      <c r="L695" s="21" t="s">
        <v>30</v>
      </c>
      <c r="M695" s="21" t="s">
        <v>30</v>
      </c>
      <c r="N695" s="20"/>
      <c r="O695" s="20"/>
    </row>
    <row r="696" spans="1:15" ht="13.5" customHeight="1" x14ac:dyDescent="0.25">
      <c r="A696" s="1"/>
      <c r="B696" s="22">
        <v>684</v>
      </c>
      <c r="C696" s="22">
        <v>2023</v>
      </c>
      <c r="D696" s="22">
        <v>40368</v>
      </c>
      <c r="E696" s="22" t="s">
        <v>2682</v>
      </c>
      <c r="F696" s="22" t="s">
        <v>2683</v>
      </c>
      <c r="G696" s="22" t="s">
        <v>2684</v>
      </c>
      <c r="H696" s="22" t="s">
        <v>2685</v>
      </c>
      <c r="I696" s="22" t="s">
        <v>23</v>
      </c>
      <c r="J696" s="23">
        <v>2006</v>
      </c>
      <c r="K696" s="22" t="s">
        <v>39</v>
      </c>
      <c r="L696" s="23" t="s">
        <v>30</v>
      </c>
      <c r="M696" s="23"/>
      <c r="N696" s="22" t="s">
        <v>101</v>
      </c>
      <c r="O696" s="22"/>
    </row>
    <row r="697" spans="1:15" ht="13.5" customHeight="1" x14ac:dyDescent="0.25">
      <c r="A697" s="1"/>
      <c r="B697" s="20">
        <v>685</v>
      </c>
      <c r="C697" s="20">
        <v>2023</v>
      </c>
      <c r="D697" s="20">
        <v>406</v>
      </c>
      <c r="E697" s="20" t="s">
        <v>2686</v>
      </c>
      <c r="F697" s="20" t="s">
        <v>2687</v>
      </c>
      <c r="G697" s="20" t="s">
        <v>2688</v>
      </c>
      <c r="H697" s="20" t="s">
        <v>2689</v>
      </c>
      <c r="I697" s="20" t="s">
        <v>23</v>
      </c>
      <c r="J697" s="21">
        <v>2000</v>
      </c>
      <c r="K697" s="20" t="s">
        <v>39</v>
      </c>
      <c r="L697" s="21" t="s">
        <v>30</v>
      </c>
      <c r="M697" s="21" t="s">
        <v>30</v>
      </c>
      <c r="N697" s="20"/>
      <c r="O697" s="20"/>
    </row>
    <row r="698" spans="1:15" ht="13.5" customHeight="1" x14ac:dyDescent="0.25">
      <c r="A698" s="1"/>
      <c r="B698" s="22">
        <v>686</v>
      </c>
      <c r="C698" s="22">
        <v>2023</v>
      </c>
      <c r="D698" s="22">
        <v>249</v>
      </c>
      <c r="E698" s="22" t="s">
        <v>2690</v>
      </c>
      <c r="F698" s="22" t="s">
        <v>2691</v>
      </c>
      <c r="G698" s="22" t="s">
        <v>2692</v>
      </c>
      <c r="H698" s="22" t="s">
        <v>2693</v>
      </c>
      <c r="I698" s="22" t="s">
        <v>23</v>
      </c>
      <c r="J698" s="23">
        <v>2000</v>
      </c>
      <c r="K698" s="22" t="s">
        <v>34</v>
      </c>
      <c r="L698" s="23" t="s">
        <v>30</v>
      </c>
      <c r="M698" s="23" t="s">
        <v>30</v>
      </c>
      <c r="N698" s="22"/>
      <c r="O698" s="22"/>
    </row>
    <row r="699" spans="1:15" ht="13.5" customHeight="1" x14ac:dyDescent="0.25">
      <c r="A699" s="1"/>
      <c r="B699" s="20">
        <v>687</v>
      </c>
      <c r="C699" s="20">
        <v>2023</v>
      </c>
      <c r="D699" s="20">
        <v>40804</v>
      </c>
      <c r="E699" s="20" t="s">
        <v>2694</v>
      </c>
      <c r="F699" s="20" t="s">
        <v>2695</v>
      </c>
      <c r="G699" s="20" t="s">
        <v>2696</v>
      </c>
      <c r="H699" s="20" t="s">
        <v>2697</v>
      </c>
      <c r="I699" s="20" t="s">
        <v>23</v>
      </c>
      <c r="J699" s="21">
        <v>2000</v>
      </c>
      <c r="K699" s="20" t="s">
        <v>394</v>
      </c>
      <c r="L699" s="21" t="s">
        <v>30</v>
      </c>
      <c r="M699" s="21"/>
      <c r="N699" s="20" t="s">
        <v>68</v>
      </c>
      <c r="O699" s="20"/>
    </row>
    <row r="700" spans="1:15" ht="13.5" customHeight="1" x14ac:dyDescent="0.25">
      <c r="A700" s="1"/>
      <c r="B700" s="22">
        <v>688</v>
      </c>
      <c r="C700" s="22">
        <v>2023</v>
      </c>
      <c r="D700" s="22">
        <v>787</v>
      </c>
      <c r="E700" s="22" t="s">
        <v>2698</v>
      </c>
      <c r="F700" s="22" t="s">
        <v>2699</v>
      </c>
      <c r="G700" s="22" t="s">
        <v>2700</v>
      </c>
      <c r="H700" s="22" t="s">
        <v>2701</v>
      </c>
      <c r="I700" s="22" t="s">
        <v>23</v>
      </c>
      <c r="J700" s="23">
        <v>2000</v>
      </c>
      <c r="K700" s="22" t="s">
        <v>39</v>
      </c>
      <c r="L700" s="23" t="s">
        <v>30</v>
      </c>
      <c r="M700" s="23" t="s">
        <v>30</v>
      </c>
      <c r="N700" s="22"/>
      <c r="O700" s="22"/>
    </row>
    <row r="701" spans="1:15" ht="13.5" customHeight="1" x14ac:dyDescent="0.25">
      <c r="A701" s="1"/>
      <c r="B701" s="20">
        <v>689</v>
      </c>
      <c r="C701" s="20">
        <v>2023</v>
      </c>
      <c r="D701" s="20">
        <v>40698</v>
      </c>
      <c r="E701" s="20" t="s">
        <v>2702</v>
      </c>
      <c r="F701" s="20" t="s">
        <v>2703</v>
      </c>
      <c r="G701" s="20"/>
      <c r="H701" s="20" t="s">
        <v>2704</v>
      </c>
      <c r="I701" s="20" t="s">
        <v>2705</v>
      </c>
      <c r="J701" s="21">
        <v>2014</v>
      </c>
      <c r="K701" s="20" t="s">
        <v>34</v>
      </c>
      <c r="L701" s="21"/>
      <c r="M701" s="21"/>
      <c r="N701" s="20" t="s">
        <v>53</v>
      </c>
      <c r="O701" s="20"/>
    </row>
    <row r="702" spans="1:15" ht="13.5" customHeight="1" x14ac:dyDescent="0.25">
      <c r="A702" s="1"/>
      <c r="B702" s="22">
        <v>690</v>
      </c>
      <c r="C702" s="22">
        <v>2023</v>
      </c>
      <c r="D702" s="22">
        <v>217</v>
      </c>
      <c r="E702" s="22" t="s">
        <v>2706</v>
      </c>
      <c r="F702" s="22" t="s">
        <v>2707</v>
      </c>
      <c r="G702" s="22" t="s">
        <v>2708</v>
      </c>
      <c r="H702" s="22" t="s">
        <v>2709</v>
      </c>
      <c r="I702" s="22" t="s">
        <v>23</v>
      </c>
      <c r="J702" s="23">
        <v>2000</v>
      </c>
      <c r="K702" s="22" t="s">
        <v>24</v>
      </c>
      <c r="L702" s="23" t="s">
        <v>30</v>
      </c>
      <c r="M702" s="23" t="s">
        <v>30</v>
      </c>
      <c r="N702" s="22"/>
      <c r="O702" s="22"/>
    </row>
    <row r="703" spans="1:15" ht="13.5" customHeight="1" x14ac:dyDescent="0.25">
      <c r="A703" s="1"/>
      <c r="B703" s="20">
        <v>691</v>
      </c>
      <c r="C703" s="20">
        <v>2023</v>
      </c>
      <c r="D703" s="20">
        <v>41999</v>
      </c>
      <c r="E703" s="20" t="s">
        <v>2710</v>
      </c>
      <c r="F703" s="20" t="s">
        <v>2711</v>
      </c>
      <c r="G703" s="20"/>
      <c r="H703" s="20" t="s">
        <v>2712</v>
      </c>
      <c r="I703" s="20" t="s">
        <v>23</v>
      </c>
      <c r="J703" s="21">
        <v>2018</v>
      </c>
      <c r="K703" s="20" t="s">
        <v>39</v>
      </c>
      <c r="L703" s="21"/>
      <c r="M703" s="21"/>
      <c r="N703" s="20" t="s">
        <v>151</v>
      </c>
      <c r="O703" s="20"/>
    </row>
    <row r="704" spans="1:15" ht="13.5" customHeight="1" x14ac:dyDescent="0.25">
      <c r="A704" s="1"/>
      <c r="B704" s="22">
        <v>692</v>
      </c>
      <c r="C704" s="22">
        <v>2023</v>
      </c>
      <c r="D704" s="22">
        <v>13194</v>
      </c>
      <c r="E704" s="22" t="s">
        <v>2713</v>
      </c>
      <c r="F704" s="22" t="s">
        <v>2714</v>
      </c>
      <c r="G704" s="22" t="s">
        <v>2715</v>
      </c>
      <c r="H704" s="22" t="s">
        <v>2716</v>
      </c>
      <c r="I704" s="22" t="s">
        <v>23</v>
      </c>
      <c r="J704" s="23">
        <v>2011</v>
      </c>
      <c r="K704" s="22" t="s">
        <v>73</v>
      </c>
      <c r="L704" s="23" t="s">
        <v>30</v>
      </c>
      <c r="M704" s="23"/>
      <c r="N704" s="22" t="s">
        <v>250</v>
      </c>
      <c r="O704" s="22"/>
    </row>
    <row r="705" spans="1:15" ht="13.5" customHeight="1" x14ac:dyDescent="0.25">
      <c r="A705" s="1"/>
      <c r="B705" s="20">
        <v>693</v>
      </c>
      <c r="C705" s="20">
        <v>2023</v>
      </c>
      <c r="D705" s="20">
        <v>41125</v>
      </c>
      <c r="E705" s="20" t="s">
        <v>2717</v>
      </c>
      <c r="F705" s="20" t="s">
        <v>2718</v>
      </c>
      <c r="G705" s="20" t="s">
        <v>2719</v>
      </c>
      <c r="H705" s="20" t="s">
        <v>2720</v>
      </c>
      <c r="I705" s="20" t="s">
        <v>23</v>
      </c>
      <c r="J705" s="21">
        <v>2016</v>
      </c>
      <c r="K705" s="20" t="s">
        <v>394</v>
      </c>
      <c r="L705" s="21" t="s">
        <v>30</v>
      </c>
      <c r="M705" s="21"/>
      <c r="N705" s="20" t="s">
        <v>204</v>
      </c>
      <c r="O705" s="20"/>
    </row>
    <row r="706" spans="1:15" ht="13.5" customHeight="1" x14ac:dyDescent="0.25">
      <c r="A706" s="1"/>
      <c r="B706" s="22">
        <v>694</v>
      </c>
      <c r="C706" s="22">
        <v>2023</v>
      </c>
      <c r="D706" s="22">
        <v>421</v>
      </c>
      <c r="E706" s="22" t="s">
        <v>2721</v>
      </c>
      <c r="F706" s="22" t="s">
        <v>2722</v>
      </c>
      <c r="G706" s="22" t="s">
        <v>2723</v>
      </c>
      <c r="H706" s="22" t="s">
        <v>2724</v>
      </c>
      <c r="I706" s="22" t="s">
        <v>23</v>
      </c>
      <c r="J706" s="23">
        <v>2000</v>
      </c>
      <c r="K706" s="22" t="s">
        <v>34</v>
      </c>
      <c r="L706" s="23" t="s">
        <v>30</v>
      </c>
      <c r="M706" s="23" t="s">
        <v>30</v>
      </c>
      <c r="N706" s="22"/>
      <c r="O706" s="22"/>
    </row>
    <row r="707" spans="1:15" ht="13.5" customHeight="1" x14ac:dyDescent="0.25">
      <c r="A707" s="1"/>
      <c r="B707" s="20">
        <v>695</v>
      </c>
      <c r="C707" s="20">
        <v>2023</v>
      </c>
      <c r="D707" s="20">
        <v>10096</v>
      </c>
      <c r="E707" s="20" t="s">
        <v>2725</v>
      </c>
      <c r="F707" s="20" t="s">
        <v>2726</v>
      </c>
      <c r="G707" s="20" t="s">
        <v>2727</v>
      </c>
      <c r="H707" s="20" t="s">
        <v>2728</v>
      </c>
      <c r="I707" s="20" t="s">
        <v>23</v>
      </c>
      <c r="J707" s="21">
        <v>2000</v>
      </c>
      <c r="K707" s="20" t="s">
        <v>34</v>
      </c>
      <c r="L707" s="21" t="s">
        <v>30</v>
      </c>
      <c r="M707" s="21" t="s">
        <v>30</v>
      </c>
      <c r="N707" s="20"/>
      <c r="O707" s="20"/>
    </row>
    <row r="708" spans="1:15" ht="13.5" customHeight="1" x14ac:dyDescent="0.25">
      <c r="A708" s="1"/>
      <c r="B708" s="22">
        <v>696</v>
      </c>
      <c r="C708" s="22">
        <v>2023</v>
      </c>
      <c r="D708" s="22">
        <v>228</v>
      </c>
      <c r="E708" s="22" t="s">
        <v>2729</v>
      </c>
      <c r="F708" s="22" t="s">
        <v>2730</v>
      </c>
      <c r="G708" s="22" t="s">
        <v>2731</v>
      </c>
      <c r="H708" s="22" t="s">
        <v>2732</v>
      </c>
      <c r="I708" s="22" t="s">
        <v>23</v>
      </c>
      <c r="J708" s="23">
        <v>2000</v>
      </c>
      <c r="K708" s="22" t="s">
        <v>34</v>
      </c>
      <c r="L708" s="23" t="s">
        <v>30</v>
      </c>
      <c r="M708" s="23" t="s">
        <v>30</v>
      </c>
      <c r="N708" s="22"/>
      <c r="O708" s="22"/>
    </row>
    <row r="709" spans="1:15" ht="13.5" customHeight="1" x14ac:dyDescent="0.25">
      <c r="A709" s="1"/>
      <c r="B709" s="20">
        <v>697</v>
      </c>
      <c r="C709" s="20">
        <v>2023</v>
      </c>
      <c r="D709" s="20">
        <v>40699</v>
      </c>
      <c r="E709" s="20" t="s">
        <v>2733</v>
      </c>
      <c r="F709" s="20" t="s">
        <v>2734</v>
      </c>
      <c r="G709" s="20"/>
      <c r="H709" s="20" t="s">
        <v>2735</v>
      </c>
      <c r="I709" s="20" t="s">
        <v>2705</v>
      </c>
      <c r="J709" s="21">
        <v>2014</v>
      </c>
      <c r="K709" s="20" t="s">
        <v>39</v>
      </c>
      <c r="L709" s="21"/>
      <c r="M709" s="21"/>
      <c r="N709" s="20" t="s">
        <v>53</v>
      </c>
      <c r="O709" s="20"/>
    </row>
    <row r="710" spans="1:15" ht="13.5" customHeight="1" x14ac:dyDescent="0.25">
      <c r="A710" s="1"/>
      <c r="B710" s="22">
        <v>698</v>
      </c>
      <c r="C710" s="22">
        <v>2023</v>
      </c>
      <c r="D710" s="22">
        <v>10654</v>
      </c>
      <c r="E710" s="22" t="s">
        <v>2736</v>
      </c>
      <c r="F710" s="22" t="s">
        <v>2737</v>
      </c>
      <c r="G710" s="22" t="s">
        <v>2738</v>
      </c>
      <c r="H710" s="22" t="s">
        <v>2739</v>
      </c>
      <c r="I710" s="22" t="s">
        <v>23</v>
      </c>
      <c r="J710" s="23">
        <v>2000</v>
      </c>
      <c r="K710" s="22" t="s">
        <v>39</v>
      </c>
      <c r="L710" s="23" t="s">
        <v>30</v>
      </c>
      <c r="M710" s="23" t="s">
        <v>30</v>
      </c>
      <c r="N710" s="22"/>
      <c r="O710" s="22"/>
    </row>
    <row r="711" spans="1:15" ht="13.5" customHeight="1" x14ac:dyDescent="0.25">
      <c r="A711" s="1"/>
      <c r="B711" s="20">
        <v>699</v>
      </c>
      <c r="C711" s="20">
        <v>2023</v>
      </c>
      <c r="D711" s="20">
        <v>10342</v>
      </c>
      <c r="E711" s="20" t="s">
        <v>2740</v>
      </c>
      <c r="F711" s="20" t="s">
        <v>2741</v>
      </c>
      <c r="G711" s="20" t="s">
        <v>2742</v>
      </c>
      <c r="H711" s="20" t="s">
        <v>2743</v>
      </c>
      <c r="I711" s="20" t="s">
        <v>23</v>
      </c>
      <c r="J711" s="21">
        <v>2000</v>
      </c>
      <c r="K711" s="20" t="s">
        <v>34</v>
      </c>
      <c r="L711" s="21" t="s">
        <v>30</v>
      </c>
      <c r="M711" s="21" t="s">
        <v>30</v>
      </c>
      <c r="N711" s="20"/>
      <c r="O711" s="20"/>
    </row>
    <row r="712" spans="1:15" ht="13.5" customHeight="1" x14ac:dyDescent="0.25">
      <c r="A712" s="1"/>
      <c r="B712" s="22">
        <v>700</v>
      </c>
      <c r="C712" s="22">
        <v>2023</v>
      </c>
      <c r="D712" s="22">
        <v>10657</v>
      </c>
      <c r="E712" s="22" t="s">
        <v>2744</v>
      </c>
      <c r="F712" s="22" t="s">
        <v>2745</v>
      </c>
      <c r="G712" s="22" t="s">
        <v>2746</v>
      </c>
      <c r="H712" s="22" t="s">
        <v>2747</v>
      </c>
      <c r="I712" s="22" t="s">
        <v>23</v>
      </c>
      <c r="J712" s="23">
        <v>2000</v>
      </c>
      <c r="K712" s="22" t="s">
        <v>475</v>
      </c>
      <c r="L712" s="23" t="s">
        <v>30</v>
      </c>
      <c r="M712" s="23" t="s">
        <v>30</v>
      </c>
      <c r="N712" s="22"/>
      <c r="O712" s="22"/>
    </row>
    <row r="713" spans="1:15" ht="13.5" customHeight="1" x14ac:dyDescent="0.25">
      <c r="A713" s="1"/>
      <c r="B713" s="20">
        <v>701</v>
      </c>
      <c r="C713" s="20">
        <v>2023</v>
      </c>
      <c r="D713" s="20">
        <v>40879</v>
      </c>
      <c r="E713" s="20" t="s">
        <v>2748</v>
      </c>
      <c r="F713" s="20" t="s">
        <v>2749</v>
      </c>
      <c r="G713" s="20" t="s">
        <v>2750</v>
      </c>
      <c r="H713" s="20" t="s">
        <v>2751</v>
      </c>
      <c r="I713" s="20" t="s">
        <v>23</v>
      </c>
      <c r="J713" s="21">
        <v>2015</v>
      </c>
      <c r="K713" s="20" t="s">
        <v>44</v>
      </c>
      <c r="L713" s="21" t="s">
        <v>30</v>
      </c>
      <c r="M713" s="21"/>
      <c r="N713" s="20" t="s">
        <v>185</v>
      </c>
      <c r="O713" s="20"/>
    </row>
    <row r="714" spans="1:15" ht="13.5" customHeight="1" x14ac:dyDescent="0.25">
      <c r="A714" s="1"/>
      <c r="B714" s="22">
        <v>702</v>
      </c>
      <c r="C714" s="22">
        <v>2023</v>
      </c>
      <c r="D714" s="22">
        <v>259</v>
      </c>
      <c r="E714" s="22" t="s">
        <v>2752</v>
      </c>
      <c r="F714" s="22" t="s">
        <v>2753</v>
      </c>
      <c r="G714" s="22" t="s">
        <v>2754</v>
      </c>
      <c r="H714" s="22" t="s">
        <v>2755</v>
      </c>
      <c r="I714" s="22" t="s">
        <v>23</v>
      </c>
      <c r="J714" s="23">
        <v>2000</v>
      </c>
      <c r="K714" s="22" t="s">
        <v>39</v>
      </c>
      <c r="L714" s="23" t="s">
        <v>30</v>
      </c>
      <c r="M714" s="23" t="s">
        <v>30</v>
      </c>
      <c r="N714" s="22"/>
      <c r="O714" s="22"/>
    </row>
    <row r="715" spans="1:15" ht="13.5" customHeight="1" x14ac:dyDescent="0.25">
      <c r="A715" s="1"/>
      <c r="B715" s="20">
        <v>703</v>
      </c>
      <c r="C715" s="20">
        <v>2023</v>
      </c>
      <c r="D715" s="20">
        <v>394</v>
      </c>
      <c r="E715" s="20" t="s">
        <v>2756</v>
      </c>
      <c r="F715" s="20" t="s">
        <v>2757</v>
      </c>
      <c r="G715" s="20" t="s">
        <v>2758</v>
      </c>
      <c r="H715" s="20" t="s">
        <v>2759</v>
      </c>
      <c r="I715" s="20" t="s">
        <v>23</v>
      </c>
      <c r="J715" s="21">
        <v>2000</v>
      </c>
      <c r="K715" s="20" t="s">
        <v>24</v>
      </c>
      <c r="L715" s="21" t="s">
        <v>30</v>
      </c>
      <c r="M715" s="21" t="s">
        <v>30</v>
      </c>
      <c r="N715" s="20"/>
      <c r="O715" s="20"/>
    </row>
    <row r="716" spans="1:15" ht="13.5" customHeight="1" x14ac:dyDescent="0.25">
      <c r="A716" s="1"/>
      <c r="B716" s="22">
        <v>704</v>
      </c>
      <c r="C716" s="22">
        <v>2023</v>
      </c>
      <c r="D716" s="22">
        <v>590</v>
      </c>
      <c r="E716" s="22" t="s">
        <v>2760</v>
      </c>
      <c r="F716" s="22" t="s">
        <v>2761</v>
      </c>
      <c r="G716" s="22"/>
      <c r="H716" s="22" t="s">
        <v>2762</v>
      </c>
      <c r="I716" s="22" t="s">
        <v>23</v>
      </c>
      <c r="J716" s="23">
        <v>2000</v>
      </c>
      <c r="K716" s="22" t="s">
        <v>39</v>
      </c>
      <c r="L716" s="23"/>
      <c r="M716" s="23" t="s">
        <v>30</v>
      </c>
      <c r="N716" s="22"/>
      <c r="O716" s="22"/>
    </row>
    <row r="717" spans="1:15" ht="13.5" customHeight="1" x14ac:dyDescent="0.25">
      <c r="A717" s="1"/>
      <c r="B717" s="20">
        <v>705</v>
      </c>
      <c r="C717" s="20">
        <v>2023</v>
      </c>
      <c r="D717" s="20">
        <v>431</v>
      </c>
      <c r="E717" s="20" t="s">
        <v>2763</v>
      </c>
      <c r="F717" s="20" t="s">
        <v>2764</v>
      </c>
      <c r="G717" s="20"/>
      <c r="H717" s="20" t="s">
        <v>2765</v>
      </c>
      <c r="I717" s="20" t="s">
        <v>23</v>
      </c>
      <c r="J717" s="21">
        <v>2000</v>
      </c>
      <c r="K717" s="20" t="s">
        <v>39</v>
      </c>
      <c r="L717" s="21"/>
      <c r="M717" s="21" t="s">
        <v>30</v>
      </c>
      <c r="N717" s="20"/>
      <c r="O717" s="20"/>
    </row>
    <row r="718" spans="1:15" ht="13.5" customHeight="1" x14ac:dyDescent="0.25">
      <c r="A718" s="1"/>
      <c r="B718" s="22">
        <v>706</v>
      </c>
      <c r="C718" s="22">
        <v>2023</v>
      </c>
      <c r="D718" s="22">
        <v>10658</v>
      </c>
      <c r="E718" s="22" t="s">
        <v>2766</v>
      </c>
      <c r="F718" s="22" t="s">
        <v>2767</v>
      </c>
      <c r="G718" s="22" t="s">
        <v>2768</v>
      </c>
      <c r="H718" s="22" t="s">
        <v>2769</v>
      </c>
      <c r="I718" s="22" t="s">
        <v>23</v>
      </c>
      <c r="J718" s="23">
        <v>2000</v>
      </c>
      <c r="K718" s="22" t="s">
        <v>34</v>
      </c>
      <c r="L718" s="23" t="s">
        <v>30</v>
      </c>
      <c r="M718" s="23" t="s">
        <v>30</v>
      </c>
      <c r="N718" s="22"/>
      <c r="O718" s="22"/>
    </row>
    <row r="719" spans="1:15" ht="13.5" customHeight="1" x14ac:dyDescent="0.25">
      <c r="A719" s="1"/>
      <c r="B719" s="20">
        <v>707</v>
      </c>
      <c r="C719" s="20">
        <v>2023</v>
      </c>
      <c r="D719" s="20">
        <v>238</v>
      </c>
      <c r="E719" s="20" t="s">
        <v>2770</v>
      </c>
      <c r="F719" s="20" t="s">
        <v>2771</v>
      </c>
      <c r="G719" s="20"/>
      <c r="H719" s="20" t="s">
        <v>2772</v>
      </c>
      <c r="I719" s="20" t="s">
        <v>23</v>
      </c>
      <c r="J719" s="21">
        <v>2000</v>
      </c>
      <c r="K719" s="20" t="s">
        <v>39</v>
      </c>
      <c r="L719" s="21"/>
      <c r="M719" s="21" t="s">
        <v>30</v>
      </c>
      <c r="N719" s="20"/>
      <c r="O719" s="20"/>
    </row>
    <row r="720" spans="1:15" ht="13.5" customHeight="1" x14ac:dyDescent="0.25">
      <c r="A720" s="1"/>
      <c r="B720" s="22">
        <v>708</v>
      </c>
      <c r="C720" s="22">
        <v>2023</v>
      </c>
      <c r="D720" s="22">
        <v>10212</v>
      </c>
      <c r="E720" s="22" t="s">
        <v>2773</v>
      </c>
      <c r="F720" s="22" t="s">
        <v>2774</v>
      </c>
      <c r="G720" s="22" t="s">
        <v>2775</v>
      </c>
      <c r="H720" s="22" t="s">
        <v>2776</v>
      </c>
      <c r="I720" s="22" t="s">
        <v>23</v>
      </c>
      <c r="J720" s="23">
        <v>2000</v>
      </c>
      <c r="K720" s="22" t="s">
        <v>73</v>
      </c>
      <c r="L720" s="23" t="s">
        <v>30</v>
      </c>
      <c r="M720" s="23"/>
      <c r="N720" s="22" t="s">
        <v>173</v>
      </c>
      <c r="O720" s="22"/>
    </row>
    <row r="721" spans="1:15" ht="13.5" customHeight="1" x14ac:dyDescent="0.25">
      <c r="A721" s="1"/>
      <c r="B721" s="20">
        <v>709</v>
      </c>
      <c r="C721" s="20">
        <v>2023</v>
      </c>
      <c r="D721" s="20">
        <v>68</v>
      </c>
      <c r="E721" s="20" t="s">
        <v>2777</v>
      </c>
      <c r="F721" s="20" t="s">
        <v>2778</v>
      </c>
      <c r="G721" s="20" t="s">
        <v>2779</v>
      </c>
      <c r="H721" s="20" t="s">
        <v>2780</v>
      </c>
      <c r="I721" s="20" t="s">
        <v>23</v>
      </c>
      <c r="J721" s="21">
        <v>2000</v>
      </c>
      <c r="K721" s="20" t="s">
        <v>39</v>
      </c>
      <c r="L721" s="21" t="s">
        <v>30</v>
      </c>
      <c r="M721" s="21" t="s">
        <v>30</v>
      </c>
      <c r="N721" s="20"/>
      <c r="O721" s="20"/>
    </row>
    <row r="722" spans="1:15" ht="13.5" customHeight="1" x14ac:dyDescent="0.25">
      <c r="A722" s="1"/>
      <c r="B722" s="22">
        <v>710</v>
      </c>
      <c r="C722" s="22">
        <v>2023</v>
      </c>
      <c r="D722" s="22">
        <v>10344</v>
      </c>
      <c r="E722" s="22" t="s">
        <v>2781</v>
      </c>
      <c r="F722" s="22" t="s">
        <v>2782</v>
      </c>
      <c r="G722" s="22" t="s">
        <v>2783</v>
      </c>
      <c r="H722" s="22" t="s">
        <v>2784</v>
      </c>
      <c r="I722" s="22" t="s">
        <v>23</v>
      </c>
      <c r="J722" s="23">
        <v>2000</v>
      </c>
      <c r="K722" s="22" t="s">
        <v>34</v>
      </c>
      <c r="L722" s="23" t="s">
        <v>30</v>
      </c>
      <c r="M722" s="23" t="s">
        <v>30</v>
      </c>
      <c r="N722" s="22"/>
      <c r="O722" s="22"/>
    </row>
    <row r="723" spans="1:15" ht="13.5" customHeight="1" x14ac:dyDescent="0.25">
      <c r="A723" s="1"/>
      <c r="B723" s="20">
        <v>711</v>
      </c>
      <c r="C723" s="20">
        <v>2023</v>
      </c>
      <c r="D723" s="20">
        <v>107</v>
      </c>
      <c r="E723" s="20" t="s">
        <v>2785</v>
      </c>
      <c r="F723" s="20" t="s">
        <v>2786</v>
      </c>
      <c r="G723" s="20" t="s">
        <v>2787</v>
      </c>
      <c r="H723" s="20" t="s">
        <v>2788</v>
      </c>
      <c r="I723" s="20" t="s">
        <v>23</v>
      </c>
      <c r="J723" s="21">
        <v>2000</v>
      </c>
      <c r="K723" s="20" t="s">
        <v>34</v>
      </c>
      <c r="L723" s="21" t="s">
        <v>30</v>
      </c>
      <c r="M723" s="21" t="s">
        <v>30</v>
      </c>
      <c r="N723" s="20"/>
      <c r="O723" s="20"/>
    </row>
    <row r="724" spans="1:15" ht="13.5" customHeight="1" x14ac:dyDescent="0.25">
      <c r="A724" s="1"/>
      <c r="B724" s="22">
        <v>712</v>
      </c>
      <c r="C724" s="22">
        <v>2023</v>
      </c>
      <c r="D724" s="22">
        <v>10610</v>
      </c>
      <c r="E724" s="22" t="s">
        <v>2789</v>
      </c>
      <c r="F724" s="22" t="s">
        <v>2790</v>
      </c>
      <c r="G724" s="22" t="s">
        <v>2791</v>
      </c>
      <c r="H724" s="22" t="s">
        <v>2792</v>
      </c>
      <c r="I724" s="22" t="s">
        <v>23</v>
      </c>
      <c r="J724" s="23">
        <v>2000</v>
      </c>
      <c r="K724" s="22" t="s">
        <v>394</v>
      </c>
      <c r="L724" s="23" t="s">
        <v>30</v>
      </c>
      <c r="M724" s="23" t="s">
        <v>30</v>
      </c>
      <c r="N724" s="22"/>
      <c r="O724" s="22"/>
    </row>
    <row r="725" spans="1:15" ht="13.5" customHeight="1" x14ac:dyDescent="0.25">
      <c r="A725" s="1"/>
      <c r="B725" s="20">
        <v>713</v>
      </c>
      <c r="C725" s="20">
        <v>2023</v>
      </c>
      <c r="D725" s="20">
        <v>330</v>
      </c>
      <c r="E725" s="20" t="s">
        <v>2793</v>
      </c>
      <c r="F725" s="20" t="s">
        <v>2794</v>
      </c>
      <c r="G725" s="20"/>
      <c r="H725" s="20" t="s">
        <v>2795</v>
      </c>
      <c r="I725" s="20" t="s">
        <v>23</v>
      </c>
      <c r="J725" s="21">
        <v>2000</v>
      </c>
      <c r="K725" s="20" t="s">
        <v>39</v>
      </c>
      <c r="L725" s="21"/>
      <c r="M725" s="21" t="s">
        <v>30</v>
      </c>
      <c r="N725" s="20"/>
      <c r="O725" s="20"/>
    </row>
    <row r="726" spans="1:15" ht="13.5" customHeight="1" x14ac:dyDescent="0.25">
      <c r="A726" s="1"/>
      <c r="B726" s="22">
        <v>714</v>
      </c>
      <c r="C726" s="22">
        <v>2023</v>
      </c>
      <c r="D726" s="22">
        <v>586</v>
      </c>
      <c r="E726" s="22" t="s">
        <v>2796</v>
      </c>
      <c r="F726" s="22" t="s">
        <v>2797</v>
      </c>
      <c r="G726" s="22" t="s">
        <v>2798</v>
      </c>
      <c r="H726" s="22" t="s">
        <v>2799</v>
      </c>
      <c r="I726" s="22" t="s">
        <v>23</v>
      </c>
      <c r="J726" s="23">
        <v>2000</v>
      </c>
      <c r="K726" s="22" t="s">
        <v>39</v>
      </c>
      <c r="L726" s="23" t="s">
        <v>30</v>
      </c>
      <c r="M726" s="23" t="s">
        <v>30</v>
      </c>
      <c r="N726" s="22"/>
      <c r="O726" s="22"/>
    </row>
    <row r="727" spans="1:15" ht="13.5" customHeight="1" x14ac:dyDescent="0.25">
      <c r="A727" s="1"/>
      <c r="B727" s="20">
        <v>715</v>
      </c>
      <c r="C727" s="20">
        <v>2023</v>
      </c>
      <c r="D727" s="20">
        <v>10353</v>
      </c>
      <c r="E727" s="20" t="s">
        <v>2800</v>
      </c>
      <c r="F727" s="20" t="s">
        <v>2801</v>
      </c>
      <c r="G727" s="20" t="s">
        <v>2802</v>
      </c>
      <c r="H727" s="20" t="s">
        <v>2803</v>
      </c>
      <c r="I727" s="20" t="s">
        <v>357</v>
      </c>
      <c r="J727" s="21">
        <v>2000</v>
      </c>
      <c r="K727" s="20" t="s">
        <v>39</v>
      </c>
      <c r="L727" s="21" t="s">
        <v>30</v>
      </c>
      <c r="M727" s="21" t="s">
        <v>30</v>
      </c>
      <c r="N727" s="20"/>
      <c r="O727" s="20"/>
    </row>
    <row r="728" spans="1:15" ht="13.5" customHeight="1" x14ac:dyDescent="0.25">
      <c r="A728" s="1"/>
      <c r="B728" s="22">
        <v>716</v>
      </c>
      <c r="C728" s="22">
        <v>2023</v>
      </c>
      <c r="D728" s="22">
        <v>40844</v>
      </c>
      <c r="E728" s="22" t="s">
        <v>2804</v>
      </c>
      <c r="F728" s="22" t="s">
        <v>2805</v>
      </c>
      <c r="G728" s="22" t="s">
        <v>2806</v>
      </c>
      <c r="H728" s="22" t="s">
        <v>2807</v>
      </c>
      <c r="I728" s="22" t="s">
        <v>23</v>
      </c>
      <c r="J728" s="23">
        <v>2004</v>
      </c>
      <c r="K728" s="22" t="s">
        <v>475</v>
      </c>
      <c r="L728" s="23" t="s">
        <v>30</v>
      </c>
      <c r="M728" s="23"/>
      <c r="N728" s="22" t="s">
        <v>68</v>
      </c>
      <c r="O728" s="22"/>
    </row>
    <row r="729" spans="1:15" ht="13.5" customHeight="1" x14ac:dyDescent="0.25">
      <c r="A729" s="1"/>
      <c r="B729" s="20">
        <v>717</v>
      </c>
      <c r="C729" s="20">
        <v>2023</v>
      </c>
      <c r="D729" s="20">
        <v>11692</v>
      </c>
      <c r="E729" s="20" t="s">
        <v>2808</v>
      </c>
      <c r="F729" s="20" t="s">
        <v>2809</v>
      </c>
      <c r="G729" s="20" t="s">
        <v>2810</v>
      </c>
      <c r="H729" s="20" t="s">
        <v>2811</v>
      </c>
      <c r="I729" s="20" t="s">
        <v>23</v>
      </c>
      <c r="J729" s="21">
        <v>2007</v>
      </c>
      <c r="K729" s="20" t="s">
        <v>34</v>
      </c>
      <c r="L729" s="21" t="s">
        <v>30</v>
      </c>
      <c r="M729" s="21" t="s">
        <v>30</v>
      </c>
      <c r="N729" s="20" t="s">
        <v>245</v>
      </c>
      <c r="O729" s="20"/>
    </row>
    <row r="730" spans="1:15" ht="13.5" customHeight="1" x14ac:dyDescent="0.25">
      <c r="A730" s="1"/>
      <c r="B730" s="22">
        <v>718</v>
      </c>
      <c r="C730" s="22">
        <v>2023</v>
      </c>
      <c r="D730" s="22">
        <v>10682</v>
      </c>
      <c r="E730" s="22" t="s">
        <v>2812</v>
      </c>
      <c r="F730" s="22" t="s">
        <v>2813</v>
      </c>
      <c r="G730" s="22" t="s">
        <v>2814</v>
      </c>
      <c r="H730" s="22" t="s">
        <v>2815</v>
      </c>
      <c r="I730" s="22" t="s">
        <v>23</v>
      </c>
      <c r="J730" s="23">
        <v>2000</v>
      </c>
      <c r="K730" s="22" t="s">
        <v>34</v>
      </c>
      <c r="L730" s="23" t="s">
        <v>30</v>
      </c>
      <c r="M730" s="23" t="s">
        <v>30</v>
      </c>
      <c r="N730" s="22"/>
      <c r="O730" s="22"/>
    </row>
    <row r="731" spans="1:15" ht="13.5" customHeight="1" x14ac:dyDescent="0.25">
      <c r="A731" s="1"/>
      <c r="B731" s="20">
        <v>719</v>
      </c>
      <c r="C731" s="20">
        <v>2023</v>
      </c>
      <c r="D731" s="20">
        <v>12065</v>
      </c>
      <c r="E731" s="20" t="s">
        <v>2816</v>
      </c>
      <c r="F731" s="20" t="s">
        <v>2817</v>
      </c>
      <c r="G731" s="20"/>
      <c r="H731" s="20" t="s">
        <v>2818</v>
      </c>
      <c r="I731" s="20" t="s">
        <v>23</v>
      </c>
      <c r="J731" s="21">
        <v>2008</v>
      </c>
      <c r="K731" s="20" t="s">
        <v>67</v>
      </c>
      <c r="L731" s="21"/>
      <c r="M731" s="21" t="s">
        <v>30</v>
      </c>
      <c r="N731" s="20" t="s">
        <v>352</v>
      </c>
      <c r="O731" s="20"/>
    </row>
    <row r="732" spans="1:15" ht="13.5" customHeight="1" x14ac:dyDescent="0.25">
      <c r="A732" s="1"/>
      <c r="B732" s="22">
        <v>720</v>
      </c>
      <c r="C732" s="22">
        <v>2023</v>
      </c>
      <c r="D732" s="22">
        <v>40806</v>
      </c>
      <c r="E732" s="22" t="s">
        <v>2819</v>
      </c>
      <c r="F732" s="22" t="s">
        <v>2820</v>
      </c>
      <c r="G732" s="22"/>
      <c r="H732" s="22" t="s">
        <v>2821</v>
      </c>
      <c r="I732" s="22" t="s">
        <v>23</v>
      </c>
      <c r="J732" s="23">
        <v>2015</v>
      </c>
      <c r="K732" s="22" t="s">
        <v>203</v>
      </c>
      <c r="L732" s="23"/>
      <c r="M732" s="23"/>
      <c r="N732" s="22" t="s">
        <v>185</v>
      </c>
      <c r="O732" s="22"/>
    </row>
    <row r="733" spans="1:15" ht="13.5" customHeight="1" x14ac:dyDescent="0.25">
      <c r="A733" s="1"/>
      <c r="B733" s="20">
        <v>721</v>
      </c>
      <c r="C733" s="20">
        <v>2023</v>
      </c>
      <c r="D733" s="20">
        <v>12530</v>
      </c>
      <c r="E733" s="20" t="s">
        <v>2822</v>
      </c>
      <c r="F733" s="20" t="s">
        <v>2823</v>
      </c>
      <c r="G733" s="20" t="s">
        <v>2824</v>
      </c>
      <c r="H733" s="20" t="s">
        <v>2825</v>
      </c>
      <c r="I733" s="20" t="s">
        <v>23</v>
      </c>
      <c r="J733" s="21">
        <v>2010</v>
      </c>
      <c r="K733" s="20" t="s">
        <v>67</v>
      </c>
      <c r="L733" s="21" t="s">
        <v>30</v>
      </c>
      <c r="M733" s="21" t="s">
        <v>30</v>
      </c>
      <c r="N733" s="20" t="s">
        <v>1310</v>
      </c>
      <c r="O733" s="20"/>
    </row>
    <row r="734" spans="1:15" ht="13.5" customHeight="1" x14ac:dyDescent="0.25">
      <c r="A734" s="1"/>
      <c r="B734" s="22">
        <v>722</v>
      </c>
      <c r="C734" s="22">
        <v>2023</v>
      </c>
      <c r="D734" s="22">
        <v>10493</v>
      </c>
      <c r="E734" s="22" t="s">
        <v>2826</v>
      </c>
      <c r="F734" s="22" t="s">
        <v>2827</v>
      </c>
      <c r="G734" s="22" t="s">
        <v>2828</v>
      </c>
      <c r="H734" s="22" t="s">
        <v>2829</v>
      </c>
      <c r="I734" s="22" t="s">
        <v>23</v>
      </c>
      <c r="J734" s="23">
        <v>2000</v>
      </c>
      <c r="K734" s="22" t="s">
        <v>34</v>
      </c>
      <c r="L734" s="23" t="s">
        <v>30</v>
      </c>
      <c r="M734" s="23" t="s">
        <v>30</v>
      </c>
      <c r="N734" s="22"/>
      <c r="O734" s="22"/>
    </row>
    <row r="735" spans="1:15" ht="13.5" customHeight="1" x14ac:dyDescent="0.25">
      <c r="A735" s="1"/>
      <c r="B735" s="20">
        <v>723</v>
      </c>
      <c r="C735" s="20">
        <v>2023</v>
      </c>
      <c r="D735" s="20">
        <v>42757</v>
      </c>
      <c r="E735" s="20" t="s">
        <v>2830</v>
      </c>
      <c r="F735" s="20" t="s">
        <v>2831</v>
      </c>
      <c r="G735" s="20" t="s">
        <v>2832</v>
      </c>
      <c r="H735" s="20" t="s">
        <v>2833</v>
      </c>
      <c r="I735" s="20" t="s">
        <v>824</v>
      </c>
      <c r="J735" s="21">
        <v>2019</v>
      </c>
      <c r="K735" s="20" t="s">
        <v>67</v>
      </c>
      <c r="L735" s="21" t="s">
        <v>30</v>
      </c>
      <c r="M735" s="21"/>
      <c r="N735" s="20" t="s">
        <v>218</v>
      </c>
      <c r="O735" s="20"/>
    </row>
    <row r="736" spans="1:15" ht="13.5" customHeight="1" x14ac:dyDescent="0.25">
      <c r="A736" s="1"/>
      <c r="B736" s="22">
        <v>724</v>
      </c>
      <c r="C736" s="22">
        <v>2023</v>
      </c>
      <c r="D736" s="22">
        <v>10686</v>
      </c>
      <c r="E736" s="22" t="s">
        <v>2834</v>
      </c>
      <c r="F736" s="22" t="s">
        <v>2835</v>
      </c>
      <c r="G736" s="22" t="s">
        <v>2836</v>
      </c>
      <c r="H736" s="22" t="s">
        <v>2837</v>
      </c>
      <c r="I736" s="22" t="s">
        <v>23</v>
      </c>
      <c r="J736" s="23">
        <v>2000</v>
      </c>
      <c r="K736" s="22" t="s">
        <v>63</v>
      </c>
      <c r="L736" s="23" t="s">
        <v>30</v>
      </c>
      <c r="M736" s="23" t="s">
        <v>30</v>
      </c>
      <c r="N736" s="22"/>
      <c r="O736" s="22"/>
    </row>
    <row r="737" spans="1:15" ht="13.5" customHeight="1" x14ac:dyDescent="0.25">
      <c r="A737" s="1"/>
      <c r="B737" s="20">
        <v>725</v>
      </c>
      <c r="C737" s="20">
        <v>2023</v>
      </c>
      <c r="D737" s="20">
        <v>221</v>
      </c>
      <c r="E737" s="20" t="s">
        <v>2838</v>
      </c>
      <c r="F737" s="20" t="s">
        <v>2839</v>
      </c>
      <c r="G737" s="20" t="s">
        <v>2840</v>
      </c>
      <c r="H737" s="20" t="s">
        <v>2841</v>
      </c>
      <c r="I737" s="20" t="s">
        <v>23</v>
      </c>
      <c r="J737" s="21">
        <v>2000</v>
      </c>
      <c r="K737" s="20" t="s">
        <v>34</v>
      </c>
      <c r="L737" s="21" t="s">
        <v>30</v>
      </c>
      <c r="M737" s="21" t="s">
        <v>30</v>
      </c>
      <c r="N737" s="20"/>
      <c r="O737" s="20"/>
    </row>
    <row r="738" spans="1:15" ht="13.5" customHeight="1" x14ac:dyDescent="0.25">
      <c r="A738" s="1"/>
      <c r="B738" s="22">
        <v>726</v>
      </c>
      <c r="C738" s="22">
        <v>2023</v>
      </c>
      <c r="D738" s="22">
        <v>10683</v>
      </c>
      <c r="E738" s="22" t="s">
        <v>2842</v>
      </c>
      <c r="F738" s="22" t="s">
        <v>2843</v>
      </c>
      <c r="G738" s="22" t="s">
        <v>2844</v>
      </c>
      <c r="H738" s="22" t="s">
        <v>2845</v>
      </c>
      <c r="I738" s="22" t="s">
        <v>23</v>
      </c>
      <c r="J738" s="23">
        <v>2000</v>
      </c>
      <c r="K738" s="22" t="s">
        <v>475</v>
      </c>
      <c r="L738" s="23" t="s">
        <v>30</v>
      </c>
      <c r="M738" s="23" t="s">
        <v>30</v>
      </c>
      <c r="N738" s="22"/>
      <c r="O738" s="22"/>
    </row>
    <row r="739" spans="1:15" ht="13.5" customHeight="1" x14ac:dyDescent="0.25">
      <c r="A739" s="1"/>
      <c r="B739" s="20">
        <v>727</v>
      </c>
      <c r="C739" s="20">
        <v>2023</v>
      </c>
      <c r="D739" s="20">
        <v>11340</v>
      </c>
      <c r="E739" s="20" t="s">
        <v>2846</v>
      </c>
      <c r="F739" s="20" t="s">
        <v>2847</v>
      </c>
      <c r="G739" s="20" t="s">
        <v>2848</v>
      </c>
      <c r="H739" s="20" t="s">
        <v>2849</v>
      </c>
      <c r="I739" s="20" t="s">
        <v>23</v>
      </c>
      <c r="J739" s="21">
        <v>2000</v>
      </c>
      <c r="K739" s="20" t="s">
        <v>67</v>
      </c>
      <c r="L739" s="21" t="s">
        <v>30</v>
      </c>
      <c r="M739" s="21" t="s">
        <v>30</v>
      </c>
      <c r="N739" s="20"/>
      <c r="O739" s="20"/>
    </row>
    <row r="740" spans="1:15" ht="13.5" customHeight="1" x14ac:dyDescent="0.25">
      <c r="A740" s="1"/>
      <c r="B740" s="22">
        <v>728</v>
      </c>
      <c r="C740" s="22">
        <v>2023</v>
      </c>
      <c r="D740" s="22">
        <v>40799</v>
      </c>
      <c r="E740" s="22" t="s">
        <v>2850</v>
      </c>
      <c r="F740" s="22" t="s">
        <v>2851</v>
      </c>
      <c r="G740" s="22" t="s">
        <v>2852</v>
      </c>
      <c r="H740" s="22" t="s">
        <v>2853</v>
      </c>
      <c r="I740" s="22" t="s">
        <v>23</v>
      </c>
      <c r="J740" s="23">
        <v>2000</v>
      </c>
      <c r="K740" s="22" t="s">
        <v>24</v>
      </c>
      <c r="L740" s="23" t="s">
        <v>30</v>
      </c>
      <c r="M740" s="23"/>
      <c r="N740" s="22" t="s">
        <v>1470</v>
      </c>
      <c r="O740" s="22"/>
    </row>
    <row r="741" spans="1:15" ht="13.5" customHeight="1" x14ac:dyDescent="0.25">
      <c r="A741" s="1"/>
      <c r="B741" s="20">
        <v>729</v>
      </c>
      <c r="C741" s="20">
        <v>2023</v>
      </c>
      <c r="D741" s="20">
        <v>348</v>
      </c>
      <c r="E741" s="20" t="s">
        <v>2854</v>
      </c>
      <c r="F741" s="20" t="s">
        <v>2855</v>
      </c>
      <c r="G741" s="20" t="s">
        <v>2856</v>
      </c>
      <c r="H741" s="20" t="s">
        <v>2857</v>
      </c>
      <c r="I741" s="20" t="s">
        <v>23</v>
      </c>
      <c r="J741" s="21">
        <v>2000</v>
      </c>
      <c r="K741" s="20" t="s">
        <v>67</v>
      </c>
      <c r="L741" s="21" t="s">
        <v>30</v>
      </c>
      <c r="M741" s="21" t="s">
        <v>30</v>
      </c>
      <c r="N741" s="20"/>
      <c r="O741" s="20"/>
    </row>
    <row r="742" spans="1:15" ht="13.5" customHeight="1" x14ac:dyDescent="0.25">
      <c r="A742" s="1"/>
      <c r="B742" s="22">
        <v>730</v>
      </c>
      <c r="C742" s="22">
        <v>2023</v>
      </c>
      <c r="D742" s="22">
        <v>12403</v>
      </c>
      <c r="E742" s="22" t="s">
        <v>2858</v>
      </c>
      <c r="F742" s="22" t="s">
        <v>2859</v>
      </c>
      <c r="G742" s="22"/>
      <c r="H742" s="22" t="s">
        <v>2860</v>
      </c>
      <c r="I742" s="22" t="s">
        <v>23</v>
      </c>
      <c r="J742" s="23">
        <v>2009</v>
      </c>
      <c r="K742" s="22" t="s">
        <v>95</v>
      </c>
      <c r="L742" s="23"/>
      <c r="M742" s="23" t="s">
        <v>30</v>
      </c>
      <c r="N742" s="22" t="s">
        <v>1103</v>
      </c>
      <c r="O742" s="22"/>
    </row>
    <row r="743" spans="1:15" ht="13.5" customHeight="1" x14ac:dyDescent="0.25">
      <c r="A743" s="1"/>
      <c r="B743" s="20">
        <v>731</v>
      </c>
      <c r="C743" s="20">
        <v>2023</v>
      </c>
      <c r="D743" s="20">
        <v>10687</v>
      </c>
      <c r="E743" s="20" t="s">
        <v>2861</v>
      </c>
      <c r="F743" s="20" t="s">
        <v>2862</v>
      </c>
      <c r="G743" s="20" t="s">
        <v>2863</v>
      </c>
      <c r="H743" s="20" t="s">
        <v>2864</v>
      </c>
      <c r="I743" s="20" t="s">
        <v>23</v>
      </c>
      <c r="J743" s="21">
        <v>2000</v>
      </c>
      <c r="K743" s="20" t="s">
        <v>44</v>
      </c>
      <c r="L743" s="21" t="s">
        <v>30</v>
      </c>
      <c r="M743" s="21" t="s">
        <v>30</v>
      </c>
      <c r="N743" s="20"/>
      <c r="O743" s="20"/>
    </row>
    <row r="744" spans="1:15" ht="13.5" customHeight="1" x14ac:dyDescent="0.25">
      <c r="A744" s="1"/>
      <c r="B744" s="22">
        <v>732</v>
      </c>
      <c r="C744" s="22">
        <v>2023</v>
      </c>
      <c r="D744" s="22">
        <v>792</v>
      </c>
      <c r="E744" s="22" t="s">
        <v>2865</v>
      </c>
      <c r="F744" s="22" t="s">
        <v>2866</v>
      </c>
      <c r="G744" s="22" t="s">
        <v>2867</v>
      </c>
      <c r="H744" s="22" t="s">
        <v>2868</v>
      </c>
      <c r="I744" s="22" t="s">
        <v>23</v>
      </c>
      <c r="J744" s="23">
        <v>2000</v>
      </c>
      <c r="K744" s="22" t="s">
        <v>34</v>
      </c>
      <c r="L744" s="23" t="s">
        <v>30</v>
      </c>
      <c r="M744" s="23" t="s">
        <v>30</v>
      </c>
      <c r="N744" s="22"/>
      <c r="O744" s="22"/>
    </row>
    <row r="745" spans="1:15" ht="13.5" customHeight="1" x14ac:dyDescent="0.25">
      <c r="A745" s="1"/>
      <c r="B745" s="20">
        <v>733</v>
      </c>
      <c r="C745" s="20">
        <v>2023</v>
      </c>
      <c r="D745" s="20">
        <v>10347</v>
      </c>
      <c r="E745" s="20" t="s">
        <v>2869</v>
      </c>
      <c r="F745" s="20" t="s">
        <v>2870</v>
      </c>
      <c r="G745" s="20" t="s">
        <v>2871</v>
      </c>
      <c r="H745" s="20" t="s">
        <v>2872</v>
      </c>
      <c r="I745" s="20" t="s">
        <v>23</v>
      </c>
      <c r="J745" s="21">
        <v>2000</v>
      </c>
      <c r="K745" s="20" t="s">
        <v>95</v>
      </c>
      <c r="L745" s="21" t="s">
        <v>30</v>
      </c>
      <c r="M745" s="21" t="s">
        <v>30</v>
      </c>
      <c r="N745" s="20"/>
      <c r="O745" s="20"/>
    </row>
    <row r="746" spans="1:15" ht="13.5" customHeight="1" x14ac:dyDescent="0.25">
      <c r="A746" s="1"/>
      <c r="B746" s="22">
        <v>734</v>
      </c>
      <c r="C746" s="22">
        <v>2023</v>
      </c>
      <c r="D746" s="22">
        <v>10689</v>
      </c>
      <c r="E746" s="22" t="s">
        <v>2873</v>
      </c>
      <c r="F746" s="22" t="s">
        <v>2874</v>
      </c>
      <c r="G746" s="22" t="s">
        <v>2875</v>
      </c>
      <c r="H746" s="22" t="s">
        <v>2876</v>
      </c>
      <c r="I746" s="22" t="s">
        <v>23</v>
      </c>
      <c r="J746" s="23">
        <v>2001</v>
      </c>
      <c r="K746" s="22" t="s">
        <v>34</v>
      </c>
      <c r="L746" s="23" t="s">
        <v>30</v>
      </c>
      <c r="M746" s="23" t="s">
        <v>30</v>
      </c>
      <c r="N746" s="22"/>
      <c r="O746" s="22"/>
    </row>
    <row r="747" spans="1:15" ht="13.5" customHeight="1" x14ac:dyDescent="0.25">
      <c r="A747" s="1"/>
      <c r="B747" s="20">
        <v>735</v>
      </c>
      <c r="C747" s="20">
        <v>2023</v>
      </c>
      <c r="D747" s="20">
        <v>10691</v>
      </c>
      <c r="E747" s="20" t="s">
        <v>2877</v>
      </c>
      <c r="F747" s="20" t="s">
        <v>2878</v>
      </c>
      <c r="G747" s="20" t="s">
        <v>2879</v>
      </c>
      <c r="H747" s="20" t="s">
        <v>2880</v>
      </c>
      <c r="I747" s="20" t="s">
        <v>23</v>
      </c>
      <c r="J747" s="21">
        <v>2000</v>
      </c>
      <c r="K747" s="20" t="s">
        <v>394</v>
      </c>
      <c r="L747" s="21" t="s">
        <v>30</v>
      </c>
      <c r="M747" s="21" t="s">
        <v>30</v>
      </c>
      <c r="N747" s="20"/>
      <c r="O747" s="20"/>
    </row>
    <row r="748" spans="1:15" ht="13.5" customHeight="1" x14ac:dyDescent="0.25">
      <c r="A748" s="1"/>
      <c r="B748" s="22">
        <v>736</v>
      </c>
      <c r="C748" s="22">
        <v>2023</v>
      </c>
      <c r="D748" s="22">
        <v>601</v>
      </c>
      <c r="E748" s="22" t="s">
        <v>2881</v>
      </c>
      <c r="F748" s="22" t="s">
        <v>2882</v>
      </c>
      <c r="G748" s="22"/>
      <c r="H748" s="22" t="s">
        <v>2883</v>
      </c>
      <c r="I748" s="22" t="s">
        <v>23</v>
      </c>
      <c r="J748" s="23">
        <v>2000</v>
      </c>
      <c r="K748" s="22" t="s">
        <v>63</v>
      </c>
      <c r="L748" s="23"/>
      <c r="M748" s="23" t="s">
        <v>30</v>
      </c>
      <c r="N748" s="22"/>
      <c r="O748" s="22"/>
    </row>
    <row r="749" spans="1:15" ht="13.5" customHeight="1" x14ac:dyDescent="0.25">
      <c r="A749" s="1"/>
      <c r="B749" s="20">
        <v>737</v>
      </c>
      <c r="C749" s="20">
        <v>2023</v>
      </c>
      <c r="D749" s="20">
        <v>12221</v>
      </c>
      <c r="E749" s="20" t="s">
        <v>2884</v>
      </c>
      <c r="F749" s="20" t="s">
        <v>2885</v>
      </c>
      <c r="G749" s="20" t="s">
        <v>2886</v>
      </c>
      <c r="H749" s="20" t="s">
        <v>2887</v>
      </c>
      <c r="I749" s="20" t="s">
        <v>2888</v>
      </c>
      <c r="J749" s="21">
        <v>2000</v>
      </c>
      <c r="K749" s="20" t="s">
        <v>24</v>
      </c>
      <c r="L749" s="21" t="s">
        <v>30</v>
      </c>
      <c r="M749" s="21" t="s">
        <v>30</v>
      </c>
      <c r="N749" s="20" t="s">
        <v>35</v>
      </c>
      <c r="O749" s="20"/>
    </row>
    <row r="750" spans="1:15" ht="13.5" customHeight="1" x14ac:dyDescent="0.25">
      <c r="A750" s="1"/>
      <c r="B750" s="22">
        <v>738</v>
      </c>
      <c r="C750" s="22">
        <v>2023</v>
      </c>
      <c r="D750" s="22">
        <v>10692</v>
      </c>
      <c r="E750" s="22" t="s">
        <v>2889</v>
      </c>
      <c r="F750" s="22" t="s">
        <v>2890</v>
      </c>
      <c r="G750" s="22" t="s">
        <v>2891</v>
      </c>
      <c r="H750" s="22" t="s">
        <v>2892</v>
      </c>
      <c r="I750" s="22" t="s">
        <v>23</v>
      </c>
      <c r="J750" s="23">
        <v>2000</v>
      </c>
      <c r="K750" s="22" t="s">
        <v>24</v>
      </c>
      <c r="L750" s="23" t="s">
        <v>30</v>
      </c>
      <c r="M750" s="23" t="s">
        <v>30</v>
      </c>
      <c r="N750" s="22"/>
      <c r="O750" s="22"/>
    </row>
    <row r="751" spans="1:15" ht="13.5" customHeight="1" x14ac:dyDescent="0.25">
      <c r="A751" s="1"/>
      <c r="B751" s="20">
        <v>739</v>
      </c>
      <c r="C751" s="20">
        <v>2023</v>
      </c>
      <c r="D751" s="20">
        <v>780</v>
      </c>
      <c r="E751" s="20" t="s">
        <v>2893</v>
      </c>
      <c r="F751" s="20" t="s">
        <v>2894</v>
      </c>
      <c r="G751" s="20" t="s">
        <v>2895</v>
      </c>
      <c r="H751" s="20" t="s">
        <v>2896</v>
      </c>
      <c r="I751" s="20" t="s">
        <v>23</v>
      </c>
      <c r="J751" s="21">
        <v>2000</v>
      </c>
      <c r="K751" s="20" t="s">
        <v>44</v>
      </c>
      <c r="L751" s="21" t="s">
        <v>30</v>
      </c>
      <c r="M751" s="21" t="s">
        <v>30</v>
      </c>
      <c r="N751" s="20"/>
      <c r="O751" s="20"/>
    </row>
    <row r="752" spans="1:15" ht="13.5" customHeight="1" x14ac:dyDescent="0.25">
      <c r="A752" s="1"/>
      <c r="B752" s="22">
        <v>740</v>
      </c>
      <c r="C752" s="22">
        <v>2023</v>
      </c>
      <c r="D752" s="22">
        <v>11408</v>
      </c>
      <c r="E752" s="22" t="s">
        <v>2897</v>
      </c>
      <c r="F752" s="22" t="s">
        <v>2898</v>
      </c>
      <c r="G752" s="22" t="s">
        <v>2899</v>
      </c>
      <c r="H752" s="22" t="s">
        <v>2900</v>
      </c>
      <c r="I752" s="22" t="s">
        <v>23</v>
      </c>
      <c r="J752" s="23">
        <v>2001</v>
      </c>
      <c r="K752" s="22" t="s">
        <v>29</v>
      </c>
      <c r="L752" s="23" t="s">
        <v>30</v>
      </c>
      <c r="M752" s="23" t="s">
        <v>30</v>
      </c>
      <c r="N752" s="22"/>
      <c r="O752" s="22"/>
    </row>
    <row r="753" spans="1:15" ht="13.5" customHeight="1" x14ac:dyDescent="0.25">
      <c r="A753" s="1"/>
      <c r="B753" s="20">
        <v>741</v>
      </c>
      <c r="C753" s="20">
        <v>2023</v>
      </c>
      <c r="D753" s="20">
        <v>10694</v>
      </c>
      <c r="E753" s="20" t="s">
        <v>2901</v>
      </c>
      <c r="F753" s="20" t="s">
        <v>2902</v>
      </c>
      <c r="G753" s="20" t="s">
        <v>2903</v>
      </c>
      <c r="H753" s="20" t="s">
        <v>2904</v>
      </c>
      <c r="I753" s="20" t="s">
        <v>23</v>
      </c>
      <c r="J753" s="21">
        <v>2000</v>
      </c>
      <c r="K753" s="20" t="s">
        <v>67</v>
      </c>
      <c r="L753" s="21" t="s">
        <v>30</v>
      </c>
      <c r="M753" s="21" t="s">
        <v>30</v>
      </c>
      <c r="N753" s="20"/>
      <c r="O753" s="20"/>
    </row>
    <row r="754" spans="1:15" ht="13.5" customHeight="1" x14ac:dyDescent="0.25">
      <c r="A754" s="1"/>
      <c r="B754" s="22">
        <v>742</v>
      </c>
      <c r="C754" s="22">
        <v>2023</v>
      </c>
      <c r="D754" s="22">
        <v>10695</v>
      </c>
      <c r="E754" s="22" t="s">
        <v>2905</v>
      </c>
      <c r="F754" s="22" t="s">
        <v>2906</v>
      </c>
      <c r="G754" s="22" t="s">
        <v>2907</v>
      </c>
      <c r="H754" s="22" t="s">
        <v>2908</v>
      </c>
      <c r="I754" s="22" t="s">
        <v>23</v>
      </c>
      <c r="J754" s="23">
        <v>2000</v>
      </c>
      <c r="K754" s="22" t="s">
        <v>34</v>
      </c>
      <c r="L754" s="23" t="s">
        <v>30</v>
      </c>
      <c r="M754" s="23" t="s">
        <v>30</v>
      </c>
      <c r="N754" s="22"/>
      <c r="O754" s="22"/>
    </row>
    <row r="755" spans="1:15" ht="13.5" customHeight="1" x14ac:dyDescent="0.25">
      <c r="A755" s="1"/>
      <c r="B755" s="20">
        <v>743</v>
      </c>
      <c r="C755" s="20">
        <v>2023</v>
      </c>
      <c r="D755" s="20">
        <v>12562</v>
      </c>
      <c r="E755" s="20" t="s">
        <v>2909</v>
      </c>
      <c r="F755" s="20" t="s">
        <v>2910</v>
      </c>
      <c r="G755" s="20" t="s">
        <v>2911</v>
      </c>
      <c r="H755" s="20" t="s">
        <v>2912</v>
      </c>
      <c r="I755" s="20" t="s">
        <v>23</v>
      </c>
      <c r="J755" s="21">
        <v>2005</v>
      </c>
      <c r="K755" s="20" t="s">
        <v>34</v>
      </c>
      <c r="L755" s="21" t="s">
        <v>30</v>
      </c>
      <c r="M755" s="21" t="s">
        <v>30</v>
      </c>
      <c r="N755" s="20" t="s">
        <v>431</v>
      </c>
      <c r="O755" s="20"/>
    </row>
    <row r="756" spans="1:15" ht="13.5" customHeight="1" x14ac:dyDescent="0.25">
      <c r="A756" s="1"/>
      <c r="B756" s="22">
        <v>744</v>
      </c>
      <c r="C756" s="22">
        <v>2023</v>
      </c>
      <c r="D756" s="22">
        <v>10696</v>
      </c>
      <c r="E756" s="22" t="s">
        <v>2913</v>
      </c>
      <c r="F756" s="22" t="s">
        <v>2914</v>
      </c>
      <c r="G756" s="22" t="s">
        <v>2915</v>
      </c>
      <c r="H756" s="22" t="s">
        <v>2916</v>
      </c>
      <c r="I756" s="22" t="s">
        <v>23</v>
      </c>
      <c r="J756" s="23">
        <v>2000</v>
      </c>
      <c r="K756" s="22" t="s">
        <v>67</v>
      </c>
      <c r="L756" s="23" t="s">
        <v>30</v>
      </c>
      <c r="M756" s="23" t="s">
        <v>30</v>
      </c>
      <c r="N756" s="22"/>
      <c r="O756" s="22"/>
    </row>
    <row r="757" spans="1:15" ht="13.5" customHeight="1" x14ac:dyDescent="0.25">
      <c r="A757" s="1"/>
      <c r="B757" s="20">
        <v>745</v>
      </c>
      <c r="C757" s="20">
        <v>2023</v>
      </c>
      <c r="D757" s="20">
        <v>10494</v>
      </c>
      <c r="E757" s="20" t="s">
        <v>2917</v>
      </c>
      <c r="F757" s="20" t="s">
        <v>2918</v>
      </c>
      <c r="G757" s="20" t="s">
        <v>2919</v>
      </c>
      <c r="H757" s="20" t="s">
        <v>2920</v>
      </c>
      <c r="I757" s="20" t="s">
        <v>23</v>
      </c>
      <c r="J757" s="21">
        <v>2000</v>
      </c>
      <c r="K757" s="20" t="s">
        <v>67</v>
      </c>
      <c r="L757" s="21" t="s">
        <v>30</v>
      </c>
      <c r="M757" s="21" t="s">
        <v>30</v>
      </c>
      <c r="N757" s="20"/>
      <c r="O757" s="20"/>
    </row>
    <row r="758" spans="1:15" ht="13.5" customHeight="1" x14ac:dyDescent="0.25">
      <c r="A758" s="1"/>
      <c r="B758" s="22">
        <v>746</v>
      </c>
      <c r="C758" s="22">
        <v>2023</v>
      </c>
      <c r="D758" s="22">
        <v>10697</v>
      </c>
      <c r="E758" s="22" t="s">
        <v>2921</v>
      </c>
      <c r="F758" s="22" t="s">
        <v>2922</v>
      </c>
      <c r="G758" s="22" t="s">
        <v>2923</v>
      </c>
      <c r="H758" s="22" t="s">
        <v>2924</v>
      </c>
      <c r="I758" s="22" t="s">
        <v>62</v>
      </c>
      <c r="J758" s="23">
        <v>2000</v>
      </c>
      <c r="K758" s="22" t="s">
        <v>63</v>
      </c>
      <c r="L758" s="23" t="s">
        <v>30</v>
      </c>
      <c r="M758" s="23" t="s">
        <v>30</v>
      </c>
      <c r="N758" s="22"/>
      <c r="O758" s="22"/>
    </row>
    <row r="759" spans="1:15" ht="13.5" customHeight="1" x14ac:dyDescent="0.25">
      <c r="A759" s="1"/>
      <c r="B759" s="20">
        <v>747</v>
      </c>
      <c r="C759" s="20">
        <v>2023</v>
      </c>
      <c r="D759" s="20">
        <v>12224</v>
      </c>
      <c r="E759" s="20" t="s">
        <v>2925</v>
      </c>
      <c r="F759" s="20" t="s">
        <v>2926</v>
      </c>
      <c r="G759" s="20" t="s">
        <v>2927</v>
      </c>
      <c r="H759" s="20" t="s">
        <v>2928</v>
      </c>
      <c r="I759" s="20" t="s">
        <v>23</v>
      </c>
      <c r="J759" s="21">
        <v>2000</v>
      </c>
      <c r="K759" s="20" t="s">
        <v>34</v>
      </c>
      <c r="L759" s="21" t="s">
        <v>30</v>
      </c>
      <c r="M759" s="21" t="s">
        <v>30</v>
      </c>
      <c r="N759" s="20" t="s">
        <v>35</v>
      </c>
      <c r="O759" s="20"/>
    </row>
    <row r="760" spans="1:15" ht="13.5" customHeight="1" x14ac:dyDescent="0.25">
      <c r="A760" s="1"/>
      <c r="B760" s="22">
        <v>748</v>
      </c>
      <c r="C760" s="22">
        <v>2023</v>
      </c>
      <c r="D760" s="22">
        <v>12223</v>
      </c>
      <c r="E760" s="22" t="s">
        <v>2929</v>
      </c>
      <c r="F760" s="22" t="s">
        <v>2930</v>
      </c>
      <c r="G760" s="22" t="s">
        <v>2931</v>
      </c>
      <c r="H760" s="22" t="s">
        <v>2932</v>
      </c>
      <c r="I760" s="22" t="s">
        <v>23</v>
      </c>
      <c r="J760" s="23">
        <v>2000</v>
      </c>
      <c r="K760" s="22" t="s">
        <v>34</v>
      </c>
      <c r="L760" s="23" t="s">
        <v>30</v>
      </c>
      <c r="M760" s="23" t="s">
        <v>30</v>
      </c>
      <c r="N760" s="22" t="s">
        <v>35</v>
      </c>
      <c r="O760" s="22"/>
    </row>
    <row r="761" spans="1:15" ht="13.5" customHeight="1" x14ac:dyDescent="0.25">
      <c r="A761" s="1"/>
      <c r="B761" s="20">
        <v>749</v>
      </c>
      <c r="C761" s="20">
        <v>2023</v>
      </c>
      <c r="D761" s="20">
        <v>12161</v>
      </c>
      <c r="E761" s="20" t="s">
        <v>2933</v>
      </c>
      <c r="F761" s="20" t="s">
        <v>2934</v>
      </c>
      <c r="G761" s="20"/>
      <c r="H761" s="20" t="s">
        <v>2935</v>
      </c>
      <c r="I761" s="20" t="s">
        <v>23</v>
      </c>
      <c r="J761" s="21">
        <v>2008</v>
      </c>
      <c r="K761" s="20" t="s">
        <v>24</v>
      </c>
      <c r="L761" s="21"/>
      <c r="M761" s="21" t="s">
        <v>30</v>
      </c>
      <c r="N761" s="20" t="s">
        <v>352</v>
      </c>
      <c r="O761" s="20"/>
    </row>
    <row r="762" spans="1:15" ht="13.5" customHeight="1" x14ac:dyDescent="0.25">
      <c r="A762" s="1"/>
      <c r="B762" s="22">
        <v>750</v>
      </c>
      <c r="C762" s="22">
        <v>2023</v>
      </c>
      <c r="D762" s="22">
        <v>11947</v>
      </c>
      <c r="E762" s="22" t="s">
        <v>2936</v>
      </c>
      <c r="F762" s="22" t="s">
        <v>2937</v>
      </c>
      <c r="G762" s="22"/>
      <c r="H762" s="22" t="s">
        <v>2938</v>
      </c>
      <c r="I762" s="22" t="s">
        <v>23</v>
      </c>
      <c r="J762" s="23">
        <v>2008</v>
      </c>
      <c r="K762" s="22" t="s">
        <v>24</v>
      </c>
      <c r="L762" s="23"/>
      <c r="M762" s="23" t="s">
        <v>30</v>
      </c>
      <c r="N762" s="22" t="s">
        <v>352</v>
      </c>
      <c r="O762" s="22"/>
    </row>
    <row r="763" spans="1:15" ht="13.5" customHeight="1" x14ac:dyDescent="0.25">
      <c r="A763" s="1"/>
      <c r="B763" s="20">
        <v>751</v>
      </c>
      <c r="C763" s="20">
        <v>2023</v>
      </c>
      <c r="D763" s="20">
        <v>12560</v>
      </c>
      <c r="E763" s="20" t="s">
        <v>2939</v>
      </c>
      <c r="F763" s="20" t="s">
        <v>2940</v>
      </c>
      <c r="G763" s="20"/>
      <c r="H763" s="20" t="s">
        <v>2941</v>
      </c>
      <c r="I763" s="20" t="s">
        <v>23</v>
      </c>
      <c r="J763" s="21">
        <v>2009</v>
      </c>
      <c r="K763" s="20" t="s">
        <v>34</v>
      </c>
      <c r="L763" s="21"/>
      <c r="M763" s="21" t="s">
        <v>30</v>
      </c>
      <c r="N763" s="20" t="s">
        <v>1103</v>
      </c>
      <c r="O763" s="20"/>
    </row>
    <row r="764" spans="1:15" ht="13.5" customHeight="1" x14ac:dyDescent="0.25">
      <c r="A764" s="1"/>
      <c r="B764" s="22">
        <v>752</v>
      </c>
      <c r="C764" s="22">
        <v>2023</v>
      </c>
      <c r="D764" s="22">
        <v>11483</v>
      </c>
      <c r="E764" s="22" t="s">
        <v>2942</v>
      </c>
      <c r="F764" s="22" t="s">
        <v>2943</v>
      </c>
      <c r="G764" s="22" t="s">
        <v>2944</v>
      </c>
      <c r="H764" s="22" t="s">
        <v>2945</v>
      </c>
      <c r="I764" s="22" t="s">
        <v>23</v>
      </c>
      <c r="J764" s="23">
        <v>2006</v>
      </c>
      <c r="K764" s="22" t="s">
        <v>24</v>
      </c>
      <c r="L764" s="23" t="s">
        <v>30</v>
      </c>
      <c r="M764" s="23" t="s">
        <v>30</v>
      </c>
      <c r="N764" s="22"/>
      <c r="O764" s="22"/>
    </row>
    <row r="765" spans="1:15" ht="13.5" customHeight="1" x14ac:dyDescent="0.25">
      <c r="A765" s="1"/>
      <c r="B765" s="20">
        <v>753</v>
      </c>
      <c r="C765" s="20">
        <v>2023</v>
      </c>
      <c r="D765" s="20">
        <v>12393</v>
      </c>
      <c r="E765" s="20" t="s">
        <v>2946</v>
      </c>
      <c r="F765" s="20" t="s">
        <v>2947</v>
      </c>
      <c r="G765" s="20"/>
      <c r="H765" s="20" t="s">
        <v>2948</v>
      </c>
      <c r="I765" s="20" t="s">
        <v>23</v>
      </c>
      <c r="J765" s="21">
        <v>2009</v>
      </c>
      <c r="K765" s="20" t="s">
        <v>24</v>
      </c>
      <c r="L765" s="21"/>
      <c r="M765" s="21" t="s">
        <v>30</v>
      </c>
      <c r="N765" s="20" t="s">
        <v>1103</v>
      </c>
      <c r="O765" s="20"/>
    </row>
    <row r="766" spans="1:15" ht="13.5" customHeight="1" x14ac:dyDescent="0.25">
      <c r="A766" s="1"/>
      <c r="B766" s="22">
        <v>754</v>
      </c>
      <c r="C766" s="22">
        <v>2023</v>
      </c>
      <c r="D766" s="22">
        <v>41055</v>
      </c>
      <c r="E766" s="22" t="s">
        <v>2949</v>
      </c>
      <c r="F766" s="22" t="s">
        <v>2950</v>
      </c>
      <c r="G766" s="22" t="s">
        <v>2951</v>
      </c>
      <c r="H766" s="22" t="s">
        <v>2952</v>
      </c>
      <c r="I766" s="22" t="s">
        <v>23</v>
      </c>
      <c r="J766" s="23">
        <v>2016</v>
      </c>
      <c r="K766" s="22" t="s">
        <v>73</v>
      </c>
      <c r="L766" s="23" t="s">
        <v>30</v>
      </c>
      <c r="M766" s="23"/>
      <c r="N766" s="22" t="s">
        <v>204</v>
      </c>
      <c r="O766" s="22"/>
    </row>
    <row r="767" spans="1:15" ht="13.5" customHeight="1" x14ac:dyDescent="0.25">
      <c r="A767" s="1"/>
      <c r="B767" s="20">
        <v>755</v>
      </c>
      <c r="C767" s="20">
        <v>2023</v>
      </c>
      <c r="D767" s="20">
        <v>10068</v>
      </c>
      <c r="E767" s="20" t="s">
        <v>2953</v>
      </c>
      <c r="F767" s="20" t="s">
        <v>2954</v>
      </c>
      <c r="G767" s="20" t="s">
        <v>2955</v>
      </c>
      <c r="H767" s="20" t="s">
        <v>2956</v>
      </c>
      <c r="I767" s="20" t="s">
        <v>2957</v>
      </c>
      <c r="J767" s="21">
        <v>2010</v>
      </c>
      <c r="K767" s="20" t="s">
        <v>24</v>
      </c>
      <c r="L767" s="21" t="s">
        <v>30</v>
      </c>
      <c r="M767" s="21"/>
      <c r="N767" s="20" t="s">
        <v>173</v>
      </c>
      <c r="O767" s="20"/>
    </row>
    <row r="768" spans="1:15" ht="13.5" customHeight="1" x14ac:dyDescent="0.25">
      <c r="A768" s="1"/>
      <c r="B768" s="22">
        <v>756</v>
      </c>
      <c r="C768" s="22">
        <v>2023</v>
      </c>
      <c r="D768" s="22">
        <v>12571</v>
      </c>
      <c r="E768" s="22" t="s">
        <v>2958</v>
      </c>
      <c r="F768" s="22" t="s">
        <v>2959</v>
      </c>
      <c r="G768" s="22" t="s">
        <v>2960</v>
      </c>
      <c r="H768" s="22" t="s">
        <v>2961</v>
      </c>
      <c r="I768" s="22" t="s">
        <v>23</v>
      </c>
      <c r="J768" s="23">
        <v>2009</v>
      </c>
      <c r="K768" s="22" t="s">
        <v>34</v>
      </c>
      <c r="L768" s="23" t="s">
        <v>30</v>
      </c>
      <c r="M768" s="23" t="s">
        <v>30</v>
      </c>
      <c r="N768" s="22" t="s">
        <v>1103</v>
      </c>
      <c r="O768" s="22"/>
    </row>
    <row r="769" spans="1:15" ht="13.5" customHeight="1" x14ac:dyDescent="0.25">
      <c r="A769" s="1"/>
      <c r="B769" s="20">
        <v>757</v>
      </c>
      <c r="C769" s="20">
        <v>2023</v>
      </c>
      <c r="D769" s="20">
        <v>12024</v>
      </c>
      <c r="E769" s="20" t="s">
        <v>2962</v>
      </c>
      <c r="F769" s="20" t="s">
        <v>2963</v>
      </c>
      <c r="G769" s="20"/>
      <c r="H769" s="20" t="s">
        <v>2964</v>
      </c>
      <c r="I769" s="20" t="s">
        <v>23</v>
      </c>
      <c r="J769" s="21">
        <v>2005</v>
      </c>
      <c r="K769" s="20" t="s">
        <v>39</v>
      </c>
      <c r="L769" s="21"/>
      <c r="M769" s="21" t="s">
        <v>30</v>
      </c>
      <c r="N769" s="20" t="s">
        <v>74</v>
      </c>
      <c r="O769" s="20"/>
    </row>
    <row r="770" spans="1:15" ht="13.5" customHeight="1" x14ac:dyDescent="0.25">
      <c r="A770" s="1"/>
      <c r="B770" s="22">
        <v>758</v>
      </c>
      <c r="C770" s="22">
        <v>2023</v>
      </c>
      <c r="D770" s="22">
        <v>11419</v>
      </c>
      <c r="E770" s="22" t="s">
        <v>2965</v>
      </c>
      <c r="F770" s="22" t="s">
        <v>2966</v>
      </c>
      <c r="G770" s="22" t="s">
        <v>2967</v>
      </c>
      <c r="H770" s="22" t="s">
        <v>2968</v>
      </c>
      <c r="I770" s="22" t="s">
        <v>23</v>
      </c>
      <c r="J770" s="23">
        <v>2006</v>
      </c>
      <c r="K770" s="22" t="s">
        <v>39</v>
      </c>
      <c r="L770" s="23" t="s">
        <v>30</v>
      </c>
      <c r="M770" s="23" t="s">
        <v>30</v>
      </c>
      <c r="N770" s="22"/>
      <c r="O770" s="22"/>
    </row>
    <row r="771" spans="1:15" ht="13.5" customHeight="1" x14ac:dyDescent="0.25">
      <c r="A771" s="1"/>
      <c r="B771" s="20">
        <v>759</v>
      </c>
      <c r="C771" s="20">
        <v>2023</v>
      </c>
      <c r="D771" s="20">
        <v>11757</v>
      </c>
      <c r="E771" s="20" t="s">
        <v>2969</v>
      </c>
      <c r="F771" s="20" t="s">
        <v>2970</v>
      </c>
      <c r="G771" s="20" t="s">
        <v>2971</v>
      </c>
      <c r="H771" s="20" t="s">
        <v>2972</v>
      </c>
      <c r="I771" s="20" t="s">
        <v>23</v>
      </c>
      <c r="J771" s="21">
        <v>2007</v>
      </c>
      <c r="K771" s="20" t="s">
        <v>39</v>
      </c>
      <c r="L771" s="21" t="s">
        <v>30</v>
      </c>
      <c r="M771" s="21" t="s">
        <v>30</v>
      </c>
      <c r="N771" s="20" t="s">
        <v>245</v>
      </c>
      <c r="O771" s="20"/>
    </row>
    <row r="772" spans="1:15" ht="13.5" customHeight="1" x14ac:dyDescent="0.25">
      <c r="A772" s="1"/>
      <c r="B772" s="22">
        <v>760</v>
      </c>
      <c r="C772" s="22">
        <v>2023</v>
      </c>
      <c r="D772" s="22">
        <v>10703</v>
      </c>
      <c r="E772" s="22" t="s">
        <v>2973</v>
      </c>
      <c r="F772" s="22" t="s">
        <v>2974</v>
      </c>
      <c r="G772" s="22" t="s">
        <v>2975</v>
      </c>
      <c r="H772" s="22" t="s">
        <v>2976</v>
      </c>
      <c r="I772" s="22" t="s">
        <v>23</v>
      </c>
      <c r="J772" s="23">
        <v>2000</v>
      </c>
      <c r="K772" s="22" t="s">
        <v>67</v>
      </c>
      <c r="L772" s="23" t="s">
        <v>30</v>
      </c>
      <c r="M772" s="23" t="s">
        <v>30</v>
      </c>
      <c r="N772" s="22"/>
      <c r="O772" s="22"/>
    </row>
    <row r="773" spans="1:15" ht="13.5" customHeight="1" x14ac:dyDescent="0.25">
      <c r="A773" s="1"/>
      <c r="B773" s="20">
        <v>761</v>
      </c>
      <c r="C773" s="20">
        <v>2023</v>
      </c>
      <c r="D773" s="20">
        <v>10010</v>
      </c>
      <c r="E773" s="20" t="s">
        <v>2977</v>
      </c>
      <c r="F773" s="20" t="s">
        <v>2978</v>
      </c>
      <c r="G773" s="20" t="s">
        <v>2979</v>
      </c>
      <c r="H773" s="20" t="s">
        <v>2980</v>
      </c>
      <c r="I773" s="20" t="s">
        <v>190</v>
      </c>
      <c r="J773" s="21">
        <v>2000</v>
      </c>
      <c r="K773" s="20" t="s">
        <v>67</v>
      </c>
      <c r="L773" s="21" t="s">
        <v>30</v>
      </c>
      <c r="M773" s="21" t="s">
        <v>30</v>
      </c>
      <c r="N773" s="20"/>
      <c r="O773" s="20"/>
    </row>
    <row r="774" spans="1:15" ht="13.5" customHeight="1" x14ac:dyDescent="0.25">
      <c r="A774" s="1"/>
      <c r="B774" s="22">
        <v>762</v>
      </c>
      <c r="C774" s="22">
        <v>2023</v>
      </c>
      <c r="D774" s="22">
        <v>12312</v>
      </c>
      <c r="E774" s="22" t="s">
        <v>2981</v>
      </c>
      <c r="F774" s="22" t="s">
        <v>2982</v>
      </c>
      <c r="G774" s="22" t="s">
        <v>2983</v>
      </c>
      <c r="H774" s="22" t="s">
        <v>2984</v>
      </c>
      <c r="I774" s="22" t="s">
        <v>357</v>
      </c>
      <c r="J774" s="23">
        <v>2011</v>
      </c>
      <c r="K774" s="22" t="s">
        <v>39</v>
      </c>
      <c r="L774" s="23" t="s">
        <v>30</v>
      </c>
      <c r="M774" s="23" t="s">
        <v>30</v>
      </c>
      <c r="N774" s="22"/>
      <c r="O774" s="22"/>
    </row>
    <row r="775" spans="1:15" ht="13.5" customHeight="1" x14ac:dyDescent="0.25">
      <c r="A775" s="1"/>
      <c r="B775" s="20">
        <v>763</v>
      </c>
      <c r="C775" s="20">
        <v>2023</v>
      </c>
      <c r="D775" s="20">
        <v>451</v>
      </c>
      <c r="E775" s="20" t="s">
        <v>2985</v>
      </c>
      <c r="F775" s="20" t="s">
        <v>2986</v>
      </c>
      <c r="G775" s="20" t="s">
        <v>2987</v>
      </c>
      <c r="H775" s="20" t="s">
        <v>2988</v>
      </c>
      <c r="I775" s="20" t="s">
        <v>357</v>
      </c>
      <c r="J775" s="21">
        <v>2000</v>
      </c>
      <c r="K775" s="20" t="s">
        <v>39</v>
      </c>
      <c r="L775" s="21" t="s">
        <v>30</v>
      </c>
      <c r="M775" s="21" t="s">
        <v>30</v>
      </c>
      <c r="N775" s="20"/>
      <c r="O775" s="20"/>
    </row>
    <row r="776" spans="1:15" ht="13.5" customHeight="1" x14ac:dyDescent="0.25">
      <c r="A776" s="1"/>
      <c r="B776" s="22">
        <v>764</v>
      </c>
      <c r="C776" s="22">
        <v>2023</v>
      </c>
      <c r="D776" s="22">
        <v>10698</v>
      </c>
      <c r="E776" s="22" t="s">
        <v>2989</v>
      </c>
      <c r="F776" s="22" t="s">
        <v>2990</v>
      </c>
      <c r="G776" s="22" t="s">
        <v>2991</v>
      </c>
      <c r="H776" s="22" t="s">
        <v>2992</v>
      </c>
      <c r="I776" s="22" t="s">
        <v>23</v>
      </c>
      <c r="J776" s="23">
        <v>2000</v>
      </c>
      <c r="K776" s="22" t="s">
        <v>73</v>
      </c>
      <c r="L776" s="23" t="s">
        <v>30</v>
      </c>
      <c r="M776" s="23" t="s">
        <v>30</v>
      </c>
      <c r="N776" s="22"/>
      <c r="O776" s="22"/>
    </row>
    <row r="777" spans="1:15" ht="13.5" customHeight="1" x14ac:dyDescent="0.25">
      <c r="A777" s="1"/>
      <c r="B777" s="20">
        <v>765</v>
      </c>
      <c r="C777" s="20">
        <v>2023</v>
      </c>
      <c r="D777" s="20">
        <v>10208</v>
      </c>
      <c r="E777" s="20" t="s">
        <v>2993</v>
      </c>
      <c r="F777" s="20" t="s">
        <v>2994</v>
      </c>
      <c r="G777" s="20" t="s">
        <v>2995</v>
      </c>
      <c r="H777" s="20" t="s">
        <v>2996</v>
      </c>
      <c r="I777" s="20" t="s">
        <v>23</v>
      </c>
      <c r="J777" s="21">
        <v>2001</v>
      </c>
      <c r="K777" s="20" t="s">
        <v>44</v>
      </c>
      <c r="L777" s="21" t="s">
        <v>30</v>
      </c>
      <c r="M777" s="21" t="s">
        <v>30</v>
      </c>
      <c r="N777" s="20"/>
      <c r="O777" s="20"/>
    </row>
    <row r="778" spans="1:15" ht="13.5" customHeight="1" x14ac:dyDescent="0.25">
      <c r="A778" s="1"/>
      <c r="B778" s="22">
        <v>766</v>
      </c>
      <c r="C778" s="22">
        <v>2023</v>
      </c>
      <c r="D778" s="22">
        <v>10701</v>
      </c>
      <c r="E778" s="22" t="s">
        <v>2997</v>
      </c>
      <c r="F778" s="22" t="s">
        <v>2998</v>
      </c>
      <c r="G778" s="22"/>
      <c r="H778" s="22" t="s">
        <v>2999</v>
      </c>
      <c r="I778" s="22" t="s">
        <v>23</v>
      </c>
      <c r="J778" s="23">
        <v>2000</v>
      </c>
      <c r="K778" s="22" t="s">
        <v>63</v>
      </c>
      <c r="L778" s="23"/>
      <c r="M778" s="23" t="s">
        <v>30</v>
      </c>
      <c r="N778" s="22"/>
      <c r="O778" s="22"/>
    </row>
    <row r="779" spans="1:15" ht="13.5" customHeight="1" x14ac:dyDescent="0.25">
      <c r="A779" s="1"/>
      <c r="B779" s="20">
        <v>767</v>
      </c>
      <c r="C779" s="20">
        <v>2023</v>
      </c>
      <c r="D779" s="20">
        <v>10699</v>
      </c>
      <c r="E779" s="20" t="s">
        <v>3000</v>
      </c>
      <c r="F779" s="20" t="s">
        <v>3001</v>
      </c>
      <c r="G779" s="20" t="s">
        <v>3002</v>
      </c>
      <c r="H779" s="20" t="s">
        <v>3003</v>
      </c>
      <c r="I779" s="20" t="s">
        <v>23</v>
      </c>
      <c r="J779" s="21">
        <v>2000</v>
      </c>
      <c r="K779" s="20" t="s">
        <v>73</v>
      </c>
      <c r="L779" s="21" t="s">
        <v>30</v>
      </c>
      <c r="M779" s="21" t="s">
        <v>30</v>
      </c>
      <c r="N779" s="20"/>
      <c r="O779" s="20"/>
    </row>
    <row r="780" spans="1:15" ht="13.5" customHeight="1" x14ac:dyDescent="0.25">
      <c r="A780" s="1"/>
      <c r="B780" s="22">
        <v>768</v>
      </c>
      <c r="C780" s="22">
        <v>2023</v>
      </c>
      <c r="D780" s="22">
        <v>11708</v>
      </c>
      <c r="E780" s="22" t="s">
        <v>3004</v>
      </c>
      <c r="F780" s="22" t="s">
        <v>3005</v>
      </c>
      <c r="G780" s="22" t="s">
        <v>3006</v>
      </c>
      <c r="H780" s="22" t="s">
        <v>3007</v>
      </c>
      <c r="I780" s="22" t="s">
        <v>3008</v>
      </c>
      <c r="J780" s="23">
        <v>2007</v>
      </c>
      <c r="K780" s="22" t="s">
        <v>1059</v>
      </c>
      <c r="L780" s="23" t="s">
        <v>30</v>
      </c>
      <c r="M780" s="23" t="s">
        <v>30</v>
      </c>
      <c r="N780" s="22" t="s">
        <v>245</v>
      </c>
      <c r="O780" s="22"/>
    </row>
    <row r="781" spans="1:15" ht="13.5" customHeight="1" x14ac:dyDescent="0.25">
      <c r="A781" s="1"/>
      <c r="B781" s="20">
        <v>769</v>
      </c>
      <c r="C781" s="20">
        <v>2023</v>
      </c>
      <c r="D781" s="20">
        <v>11705</v>
      </c>
      <c r="E781" s="20" t="s">
        <v>3009</v>
      </c>
      <c r="F781" s="20" t="s">
        <v>3010</v>
      </c>
      <c r="G781" s="20" t="s">
        <v>3011</v>
      </c>
      <c r="H781" s="20" t="s">
        <v>3012</v>
      </c>
      <c r="I781" s="20" t="s">
        <v>3008</v>
      </c>
      <c r="J781" s="21">
        <v>2007</v>
      </c>
      <c r="K781" s="20" t="s">
        <v>24</v>
      </c>
      <c r="L781" s="21" t="s">
        <v>30</v>
      </c>
      <c r="M781" s="21" t="s">
        <v>30</v>
      </c>
      <c r="N781" s="20" t="s">
        <v>245</v>
      </c>
      <c r="O781" s="20"/>
    </row>
    <row r="782" spans="1:15" ht="13.5" customHeight="1" x14ac:dyDescent="0.25">
      <c r="A782" s="1"/>
      <c r="B782" s="22">
        <v>770</v>
      </c>
      <c r="C782" s="22">
        <v>2023</v>
      </c>
      <c r="D782" s="22">
        <v>11704</v>
      </c>
      <c r="E782" s="22" t="s">
        <v>3013</v>
      </c>
      <c r="F782" s="22" t="s">
        <v>3014</v>
      </c>
      <c r="G782" s="22" t="s">
        <v>3015</v>
      </c>
      <c r="H782" s="22" t="s">
        <v>3016</v>
      </c>
      <c r="I782" s="22" t="s">
        <v>3008</v>
      </c>
      <c r="J782" s="23">
        <v>2007</v>
      </c>
      <c r="K782" s="22" t="s">
        <v>114</v>
      </c>
      <c r="L782" s="23" t="s">
        <v>30</v>
      </c>
      <c r="M782" s="23" t="s">
        <v>30</v>
      </c>
      <c r="N782" s="22" t="s">
        <v>245</v>
      </c>
      <c r="O782" s="22"/>
    </row>
    <row r="783" spans="1:15" ht="13.5" customHeight="1" x14ac:dyDescent="0.25">
      <c r="A783" s="1"/>
      <c r="B783" s="20">
        <v>771</v>
      </c>
      <c r="C783" s="20">
        <v>2023</v>
      </c>
      <c r="D783" s="20">
        <v>11707</v>
      </c>
      <c r="E783" s="20" t="s">
        <v>3017</v>
      </c>
      <c r="F783" s="20" t="s">
        <v>3018</v>
      </c>
      <c r="G783" s="20" t="s">
        <v>3019</v>
      </c>
      <c r="H783" s="20" t="s">
        <v>3020</v>
      </c>
      <c r="I783" s="20" t="s">
        <v>3008</v>
      </c>
      <c r="J783" s="21">
        <v>2007</v>
      </c>
      <c r="K783" s="20" t="s">
        <v>95</v>
      </c>
      <c r="L783" s="21" t="s">
        <v>30</v>
      </c>
      <c r="M783" s="21" t="s">
        <v>30</v>
      </c>
      <c r="N783" s="20" t="s">
        <v>245</v>
      </c>
      <c r="O783" s="20"/>
    </row>
    <row r="784" spans="1:15" ht="13.5" customHeight="1" x14ac:dyDescent="0.25">
      <c r="A784" s="1"/>
      <c r="B784" s="22">
        <v>772</v>
      </c>
      <c r="C784" s="22">
        <v>2023</v>
      </c>
      <c r="D784" s="22">
        <v>42524</v>
      </c>
      <c r="E784" s="22" t="s">
        <v>3021</v>
      </c>
      <c r="F784" s="22" t="s">
        <v>3022</v>
      </c>
      <c r="G784" s="22" t="s">
        <v>3023</v>
      </c>
      <c r="H784" s="22" t="s">
        <v>3024</v>
      </c>
      <c r="I784" s="22" t="s">
        <v>3008</v>
      </c>
      <c r="J784" s="23">
        <v>2019</v>
      </c>
      <c r="K784" s="22" t="s">
        <v>67</v>
      </c>
      <c r="L784" s="23" t="s">
        <v>30</v>
      </c>
      <c r="M784" s="23"/>
      <c r="N784" s="22" t="s">
        <v>123</v>
      </c>
      <c r="O784" s="22"/>
    </row>
    <row r="785" spans="1:15" ht="13.5" customHeight="1" x14ac:dyDescent="0.25">
      <c r="A785" s="1"/>
      <c r="B785" s="20">
        <v>773</v>
      </c>
      <c r="C785" s="20">
        <v>2023</v>
      </c>
      <c r="D785" s="20">
        <v>11783</v>
      </c>
      <c r="E785" s="20" t="s">
        <v>3025</v>
      </c>
      <c r="F785" s="20" t="s">
        <v>3026</v>
      </c>
      <c r="G785" s="20" t="s">
        <v>3027</v>
      </c>
      <c r="H785" s="20" t="s">
        <v>3028</v>
      </c>
      <c r="I785" s="20" t="s">
        <v>3008</v>
      </c>
      <c r="J785" s="21">
        <v>2007</v>
      </c>
      <c r="K785" s="20" t="s">
        <v>95</v>
      </c>
      <c r="L785" s="21" t="s">
        <v>30</v>
      </c>
      <c r="M785" s="21" t="s">
        <v>30</v>
      </c>
      <c r="N785" s="20" t="s">
        <v>245</v>
      </c>
      <c r="O785" s="20"/>
    </row>
    <row r="786" spans="1:15" ht="13.5" customHeight="1" x14ac:dyDescent="0.25">
      <c r="A786" s="1"/>
      <c r="B786" s="22">
        <v>774</v>
      </c>
      <c r="C786" s="22">
        <v>2023</v>
      </c>
      <c r="D786" s="22">
        <v>11714</v>
      </c>
      <c r="E786" s="22" t="s">
        <v>3029</v>
      </c>
      <c r="F786" s="22" t="s">
        <v>3030</v>
      </c>
      <c r="G786" s="22" t="s">
        <v>3031</v>
      </c>
      <c r="H786" s="22" t="s">
        <v>3032</v>
      </c>
      <c r="I786" s="22" t="s">
        <v>1002</v>
      </c>
      <c r="J786" s="23">
        <v>2010</v>
      </c>
      <c r="K786" s="22" t="s">
        <v>114</v>
      </c>
      <c r="L786" s="23" t="s">
        <v>30</v>
      </c>
      <c r="M786" s="23"/>
      <c r="N786" s="22" t="s">
        <v>173</v>
      </c>
      <c r="O786" s="22"/>
    </row>
    <row r="787" spans="1:15" ht="13.5" customHeight="1" x14ac:dyDescent="0.25">
      <c r="A787" s="1"/>
      <c r="B787" s="20">
        <v>775</v>
      </c>
      <c r="C787" s="20">
        <v>2023</v>
      </c>
      <c r="D787" s="20">
        <v>11706</v>
      </c>
      <c r="E787" s="20" t="s">
        <v>3033</v>
      </c>
      <c r="F787" s="20" t="s">
        <v>3034</v>
      </c>
      <c r="G787" s="20" t="s">
        <v>3035</v>
      </c>
      <c r="H787" s="20" t="s">
        <v>3036</v>
      </c>
      <c r="I787" s="20" t="s">
        <v>3008</v>
      </c>
      <c r="J787" s="21">
        <v>2007</v>
      </c>
      <c r="K787" s="20" t="s">
        <v>24</v>
      </c>
      <c r="L787" s="21" t="s">
        <v>30</v>
      </c>
      <c r="M787" s="21" t="s">
        <v>30</v>
      </c>
      <c r="N787" s="20" t="s">
        <v>245</v>
      </c>
      <c r="O787" s="20"/>
    </row>
    <row r="788" spans="1:15" ht="13.5" customHeight="1" x14ac:dyDescent="0.25">
      <c r="A788" s="1"/>
      <c r="B788" s="22">
        <v>776</v>
      </c>
      <c r="C788" s="22">
        <v>2023</v>
      </c>
      <c r="D788" s="22">
        <v>11464</v>
      </c>
      <c r="E788" s="22" t="s">
        <v>3037</v>
      </c>
      <c r="F788" s="22" t="s">
        <v>3038</v>
      </c>
      <c r="G788" s="22" t="s">
        <v>3039</v>
      </c>
      <c r="H788" s="22" t="s">
        <v>3040</v>
      </c>
      <c r="I788" s="22" t="s">
        <v>3008</v>
      </c>
      <c r="J788" s="23">
        <v>2006</v>
      </c>
      <c r="K788" s="22" t="s">
        <v>44</v>
      </c>
      <c r="L788" s="23" t="s">
        <v>30</v>
      </c>
      <c r="M788" s="23" t="s">
        <v>30</v>
      </c>
      <c r="N788" s="22"/>
      <c r="O788" s="22"/>
    </row>
    <row r="789" spans="1:15" ht="13.5" customHeight="1" x14ac:dyDescent="0.25">
      <c r="A789" s="1"/>
      <c r="B789" s="20">
        <v>777</v>
      </c>
      <c r="C789" s="20">
        <v>2023</v>
      </c>
      <c r="D789" s="20">
        <v>11465</v>
      </c>
      <c r="E789" s="20" t="s">
        <v>3041</v>
      </c>
      <c r="F789" s="20" t="s">
        <v>3042</v>
      </c>
      <c r="G789" s="20" t="s">
        <v>3043</v>
      </c>
      <c r="H789" s="20" t="s">
        <v>3044</v>
      </c>
      <c r="I789" s="20" t="s">
        <v>3008</v>
      </c>
      <c r="J789" s="21">
        <v>2006</v>
      </c>
      <c r="K789" s="20" t="s">
        <v>67</v>
      </c>
      <c r="L789" s="21" t="s">
        <v>30</v>
      </c>
      <c r="M789" s="21" t="s">
        <v>30</v>
      </c>
      <c r="N789" s="20"/>
      <c r="O789" s="20"/>
    </row>
    <row r="790" spans="1:15" ht="13.5" customHeight="1" x14ac:dyDescent="0.25">
      <c r="A790" s="1"/>
      <c r="B790" s="22">
        <v>778</v>
      </c>
      <c r="C790" s="22">
        <v>2023</v>
      </c>
      <c r="D790" s="22">
        <v>11684</v>
      </c>
      <c r="E790" s="22" t="s">
        <v>3045</v>
      </c>
      <c r="F790" s="22" t="s">
        <v>3046</v>
      </c>
      <c r="G790" s="22" t="s">
        <v>3047</v>
      </c>
      <c r="H790" s="22" t="s">
        <v>3048</v>
      </c>
      <c r="I790" s="22" t="s">
        <v>3008</v>
      </c>
      <c r="J790" s="23">
        <v>2007</v>
      </c>
      <c r="K790" s="22" t="s">
        <v>39</v>
      </c>
      <c r="L790" s="23" t="s">
        <v>30</v>
      </c>
      <c r="M790" s="23" t="s">
        <v>30</v>
      </c>
      <c r="N790" s="22" t="s">
        <v>245</v>
      </c>
      <c r="O790" s="22"/>
    </row>
    <row r="791" spans="1:15" ht="13.5" customHeight="1" x14ac:dyDescent="0.25">
      <c r="A791" s="1"/>
      <c r="B791" s="20">
        <v>779</v>
      </c>
      <c r="C791" s="20">
        <v>2023</v>
      </c>
      <c r="D791" s="20">
        <v>11467</v>
      </c>
      <c r="E791" s="20" t="s">
        <v>3049</v>
      </c>
      <c r="F791" s="20" t="s">
        <v>3050</v>
      </c>
      <c r="G791" s="20" t="s">
        <v>3051</v>
      </c>
      <c r="H791" s="20" t="s">
        <v>3052</v>
      </c>
      <c r="I791" s="20" t="s">
        <v>3008</v>
      </c>
      <c r="J791" s="21">
        <v>2006</v>
      </c>
      <c r="K791" s="20" t="s">
        <v>63</v>
      </c>
      <c r="L791" s="21" t="s">
        <v>30</v>
      </c>
      <c r="M791" s="21" t="s">
        <v>30</v>
      </c>
      <c r="N791" s="20"/>
      <c r="O791" s="20"/>
    </row>
    <row r="792" spans="1:15" ht="13.5" customHeight="1" x14ac:dyDescent="0.25">
      <c r="A792" s="1"/>
      <c r="B792" s="22">
        <v>780</v>
      </c>
      <c r="C792" s="22">
        <v>2023</v>
      </c>
      <c r="D792" s="22">
        <v>11709</v>
      </c>
      <c r="E792" s="22" t="s">
        <v>3053</v>
      </c>
      <c r="F792" s="22" t="s">
        <v>3054</v>
      </c>
      <c r="G792" s="22" t="s">
        <v>3055</v>
      </c>
      <c r="H792" s="22" t="s">
        <v>3056</v>
      </c>
      <c r="I792" s="22" t="s">
        <v>3008</v>
      </c>
      <c r="J792" s="23">
        <v>2007</v>
      </c>
      <c r="K792" s="22" t="s">
        <v>67</v>
      </c>
      <c r="L792" s="23" t="s">
        <v>30</v>
      </c>
      <c r="M792" s="23" t="s">
        <v>30</v>
      </c>
      <c r="N792" s="22" t="s">
        <v>245</v>
      </c>
      <c r="O792" s="22"/>
    </row>
    <row r="793" spans="1:15" ht="13.5" customHeight="1" x14ac:dyDescent="0.25">
      <c r="A793" s="1"/>
      <c r="B793" s="20">
        <v>781</v>
      </c>
      <c r="C793" s="20">
        <v>2023</v>
      </c>
      <c r="D793" s="20">
        <v>40647</v>
      </c>
      <c r="E793" s="20" t="s">
        <v>3057</v>
      </c>
      <c r="F793" s="20" t="s">
        <v>3058</v>
      </c>
      <c r="G793" s="20" t="s">
        <v>3059</v>
      </c>
      <c r="H793" s="20" t="s">
        <v>3060</v>
      </c>
      <c r="I793" s="20" t="s">
        <v>23</v>
      </c>
      <c r="J793" s="21">
        <v>2014</v>
      </c>
      <c r="K793" s="20" t="s">
        <v>184</v>
      </c>
      <c r="L793" s="21" t="s">
        <v>30</v>
      </c>
      <c r="M793" s="21"/>
      <c r="N793" s="20" t="s">
        <v>53</v>
      </c>
      <c r="O793" s="20"/>
    </row>
    <row r="794" spans="1:15" ht="13.5" customHeight="1" x14ac:dyDescent="0.25">
      <c r="A794" s="1"/>
      <c r="B794" s="22">
        <v>782</v>
      </c>
      <c r="C794" s="22">
        <v>2023</v>
      </c>
      <c r="D794" s="22">
        <v>10142</v>
      </c>
      <c r="E794" s="22" t="s">
        <v>3061</v>
      </c>
      <c r="F794" s="22" t="s">
        <v>3062</v>
      </c>
      <c r="G794" s="22"/>
      <c r="H794" s="22" t="s">
        <v>3063</v>
      </c>
      <c r="I794" s="22" t="s">
        <v>23</v>
      </c>
      <c r="J794" s="23">
        <v>2000</v>
      </c>
      <c r="K794" s="22" t="s">
        <v>34</v>
      </c>
      <c r="L794" s="23"/>
      <c r="M794" s="23" t="s">
        <v>30</v>
      </c>
      <c r="N794" s="22"/>
      <c r="O794" s="22"/>
    </row>
    <row r="795" spans="1:15" ht="13.5" customHeight="1" x14ac:dyDescent="0.25">
      <c r="A795" s="1"/>
      <c r="B795" s="20">
        <v>783</v>
      </c>
      <c r="C795" s="20">
        <v>2023</v>
      </c>
      <c r="D795" s="20">
        <v>10688</v>
      </c>
      <c r="E795" s="20" t="s">
        <v>3064</v>
      </c>
      <c r="F795" s="20" t="s">
        <v>3065</v>
      </c>
      <c r="G795" s="20" t="s">
        <v>3066</v>
      </c>
      <c r="H795" s="20" t="s">
        <v>3067</v>
      </c>
      <c r="I795" s="20" t="s">
        <v>62</v>
      </c>
      <c r="J795" s="21">
        <v>2000</v>
      </c>
      <c r="K795" s="20" t="s">
        <v>44</v>
      </c>
      <c r="L795" s="21" t="s">
        <v>30</v>
      </c>
      <c r="M795" s="21" t="s">
        <v>30</v>
      </c>
      <c r="N795" s="20"/>
      <c r="O795" s="20"/>
    </row>
    <row r="796" spans="1:15" ht="13.5" customHeight="1" x14ac:dyDescent="0.25">
      <c r="A796" s="1"/>
      <c r="B796" s="22">
        <v>784</v>
      </c>
      <c r="C796" s="22">
        <v>2023</v>
      </c>
      <c r="D796" s="22">
        <v>13225</v>
      </c>
      <c r="E796" s="22" t="s">
        <v>3068</v>
      </c>
      <c r="F796" s="22" t="s">
        <v>3069</v>
      </c>
      <c r="G796" s="22" t="s">
        <v>3070</v>
      </c>
      <c r="H796" s="22" t="s">
        <v>3071</v>
      </c>
      <c r="I796" s="22" t="s">
        <v>23</v>
      </c>
      <c r="J796" s="23">
        <v>2010</v>
      </c>
      <c r="K796" s="22" t="s">
        <v>34</v>
      </c>
      <c r="L796" s="23" t="s">
        <v>30</v>
      </c>
      <c r="M796" s="23"/>
      <c r="N796" s="22" t="s">
        <v>173</v>
      </c>
      <c r="O796" s="22"/>
    </row>
    <row r="797" spans="1:15" ht="13.5" customHeight="1" x14ac:dyDescent="0.25">
      <c r="A797" s="1"/>
      <c r="B797" s="20">
        <v>785</v>
      </c>
      <c r="C797" s="20">
        <v>2023</v>
      </c>
      <c r="D797" s="20">
        <v>10700</v>
      </c>
      <c r="E797" s="20" t="s">
        <v>3072</v>
      </c>
      <c r="F797" s="20" t="s">
        <v>3073</v>
      </c>
      <c r="G797" s="20" t="s">
        <v>3074</v>
      </c>
      <c r="H797" s="20" t="s">
        <v>3075</v>
      </c>
      <c r="I797" s="20" t="s">
        <v>23</v>
      </c>
      <c r="J797" s="21">
        <v>2002</v>
      </c>
      <c r="K797" s="20" t="s">
        <v>44</v>
      </c>
      <c r="L797" s="21" t="s">
        <v>30</v>
      </c>
      <c r="M797" s="21" t="s">
        <v>30</v>
      </c>
      <c r="N797" s="20"/>
      <c r="O797" s="20"/>
    </row>
    <row r="798" spans="1:15" ht="13.5" customHeight="1" x14ac:dyDescent="0.25">
      <c r="A798" s="1"/>
      <c r="B798" s="22">
        <v>786</v>
      </c>
      <c r="C798" s="22">
        <v>2023</v>
      </c>
      <c r="D798" s="22">
        <v>10120</v>
      </c>
      <c r="E798" s="22" t="s">
        <v>3076</v>
      </c>
      <c r="F798" s="22" t="s">
        <v>3077</v>
      </c>
      <c r="G798" s="22" t="s">
        <v>3078</v>
      </c>
      <c r="H798" s="22" t="s">
        <v>3079</v>
      </c>
      <c r="I798" s="22" t="s">
        <v>23</v>
      </c>
      <c r="J798" s="23">
        <v>2000</v>
      </c>
      <c r="K798" s="22" t="s">
        <v>39</v>
      </c>
      <c r="L798" s="23" t="s">
        <v>30</v>
      </c>
      <c r="M798" s="23" t="s">
        <v>30</v>
      </c>
      <c r="N798" s="22"/>
      <c r="O798" s="22"/>
    </row>
    <row r="799" spans="1:15" ht="13.5" customHeight="1" x14ac:dyDescent="0.25">
      <c r="A799" s="1"/>
      <c r="B799" s="20">
        <v>787</v>
      </c>
      <c r="C799" s="20">
        <v>2023</v>
      </c>
      <c r="D799" s="20">
        <v>15036</v>
      </c>
      <c r="E799" s="20" t="s">
        <v>3080</v>
      </c>
      <c r="F799" s="20" t="s">
        <v>3081</v>
      </c>
      <c r="G799" s="20" t="s">
        <v>3082</v>
      </c>
      <c r="H799" s="20" t="s">
        <v>3083</v>
      </c>
      <c r="I799" s="20" t="s">
        <v>357</v>
      </c>
      <c r="J799" s="21">
        <v>2017</v>
      </c>
      <c r="K799" s="20" t="s">
        <v>39</v>
      </c>
      <c r="L799" s="21" t="s">
        <v>30</v>
      </c>
      <c r="M799" s="21"/>
      <c r="N799" s="20"/>
      <c r="O799" s="20"/>
    </row>
    <row r="800" spans="1:15" ht="13.5" customHeight="1" x14ac:dyDescent="0.25">
      <c r="A800" s="1"/>
      <c r="B800" s="22">
        <v>788</v>
      </c>
      <c r="C800" s="22">
        <v>2023</v>
      </c>
      <c r="D800" s="22">
        <v>772</v>
      </c>
      <c r="E800" s="22" t="s">
        <v>3084</v>
      </c>
      <c r="F800" s="22" t="s">
        <v>3085</v>
      </c>
      <c r="G800" s="22" t="s">
        <v>3086</v>
      </c>
      <c r="H800" s="22" t="s">
        <v>3087</v>
      </c>
      <c r="I800" s="22" t="s">
        <v>357</v>
      </c>
      <c r="J800" s="23">
        <v>2000</v>
      </c>
      <c r="K800" s="22" t="s">
        <v>39</v>
      </c>
      <c r="L800" s="23" t="s">
        <v>30</v>
      </c>
      <c r="M800" s="23" t="s">
        <v>30</v>
      </c>
      <c r="N800" s="22"/>
      <c r="O800" s="22"/>
    </row>
    <row r="801" spans="1:15" ht="13.5" customHeight="1" x14ac:dyDescent="0.25">
      <c r="A801" s="1"/>
      <c r="B801" s="20">
        <v>789</v>
      </c>
      <c r="C801" s="20">
        <v>2023</v>
      </c>
      <c r="D801" s="20">
        <v>13137</v>
      </c>
      <c r="E801" s="20" t="s">
        <v>3088</v>
      </c>
      <c r="F801" s="20" t="s">
        <v>3089</v>
      </c>
      <c r="G801" s="20" t="s">
        <v>3090</v>
      </c>
      <c r="H801" s="20" t="s">
        <v>3091</v>
      </c>
      <c r="I801" s="20" t="s">
        <v>23</v>
      </c>
      <c r="J801" s="21">
        <v>2010</v>
      </c>
      <c r="K801" s="20" t="s">
        <v>44</v>
      </c>
      <c r="L801" s="21" t="s">
        <v>30</v>
      </c>
      <c r="M801" s="21" t="s">
        <v>30</v>
      </c>
      <c r="N801" s="20" t="s">
        <v>1310</v>
      </c>
      <c r="O801" s="20"/>
    </row>
    <row r="802" spans="1:15" ht="13.5" customHeight="1" x14ac:dyDescent="0.25">
      <c r="A802" s="1"/>
      <c r="B802" s="22">
        <v>790</v>
      </c>
      <c r="C802" s="22">
        <v>2023</v>
      </c>
      <c r="D802" s="22">
        <v>12147</v>
      </c>
      <c r="E802" s="22" t="s">
        <v>3092</v>
      </c>
      <c r="F802" s="22" t="s">
        <v>3093</v>
      </c>
      <c r="G802" s="22" t="s">
        <v>3094</v>
      </c>
      <c r="H802" s="22" t="s">
        <v>3095</v>
      </c>
      <c r="I802" s="22" t="s">
        <v>23</v>
      </c>
      <c r="J802" s="23">
        <v>2000</v>
      </c>
      <c r="K802" s="22" t="s">
        <v>184</v>
      </c>
      <c r="L802" s="23" t="s">
        <v>30</v>
      </c>
      <c r="M802" s="23" t="s">
        <v>30</v>
      </c>
      <c r="N802" s="22" t="s">
        <v>74</v>
      </c>
      <c r="O802" s="22"/>
    </row>
    <row r="803" spans="1:15" ht="13.5" customHeight="1" x14ac:dyDescent="0.25">
      <c r="A803" s="1"/>
      <c r="B803" s="20">
        <v>791</v>
      </c>
      <c r="C803" s="20">
        <v>2023</v>
      </c>
      <c r="D803" s="20">
        <v>10714</v>
      </c>
      <c r="E803" s="20" t="s">
        <v>3096</v>
      </c>
      <c r="F803" s="20" t="s">
        <v>3097</v>
      </c>
      <c r="G803" s="20"/>
      <c r="H803" s="20" t="s">
        <v>3098</v>
      </c>
      <c r="I803" s="20" t="s">
        <v>23</v>
      </c>
      <c r="J803" s="21">
        <v>2000</v>
      </c>
      <c r="K803" s="20" t="s">
        <v>63</v>
      </c>
      <c r="L803" s="21"/>
      <c r="M803" s="21" t="s">
        <v>30</v>
      </c>
      <c r="N803" s="20"/>
      <c r="O803" s="20"/>
    </row>
    <row r="804" spans="1:15" ht="13.5" customHeight="1" x14ac:dyDescent="0.25">
      <c r="A804" s="1"/>
      <c r="B804" s="22">
        <v>792</v>
      </c>
      <c r="C804" s="22">
        <v>2023</v>
      </c>
      <c r="D804" s="22">
        <v>11748</v>
      </c>
      <c r="E804" s="22" t="s">
        <v>3099</v>
      </c>
      <c r="F804" s="22" t="s">
        <v>3100</v>
      </c>
      <c r="G804" s="22" t="s">
        <v>3101</v>
      </c>
      <c r="H804" s="22" t="s">
        <v>3102</v>
      </c>
      <c r="I804" s="22" t="s">
        <v>23</v>
      </c>
      <c r="J804" s="23">
        <v>2000</v>
      </c>
      <c r="K804" s="22" t="s">
        <v>39</v>
      </c>
      <c r="L804" s="23" t="s">
        <v>30</v>
      </c>
      <c r="M804" s="23" t="s">
        <v>30</v>
      </c>
      <c r="N804" s="22" t="s">
        <v>74</v>
      </c>
      <c r="O804" s="22"/>
    </row>
    <row r="805" spans="1:15" ht="13.5" customHeight="1" x14ac:dyDescent="0.25">
      <c r="A805" s="1"/>
      <c r="B805" s="20">
        <v>793</v>
      </c>
      <c r="C805" s="20">
        <v>2023</v>
      </c>
      <c r="D805" s="20">
        <v>13258</v>
      </c>
      <c r="E805" s="20" t="s">
        <v>3103</v>
      </c>
      <c r="F805" s="20" t="s">
        <v>3104</v>
      </c>
      <c r="G805" s="20"/>
      <c r="H805" s="20" t="s">
        <v>3105</v>
      </c>
      <c r="I805" s="20" t="s">
        <v>3106</v>
      </c>
      <c r="J805" s="21">
        <v>2009</v>
      </c>
      <c r="K805" s="20" t="s">
        <v>34</v>
      </c>
      <c r="L805" s="21"/>
      <c r="M805" s="21"/>
      <c r="N805" s="20" t="s">
        <v>173</v>
      </c>
      <c r="O805" s="20"/>
    </row>
    <row r="806" spans="1:15" ht="13.5" customHeight="1" x14ac:dyDescent="0.25">
      <c r="A806" s="1"/>
      <c r="B806" s="22">
        <v>794</v>
      </c>
      <c r="C806" s="22">
        <v>2023</v>
      </c>
      <c r="D806" s="22">
        <v>10710</v>
      </c>
      <c r="E806" s="22" t="s">
        <v>3107</v>
      </c>
      <c r="F806" s="22" t="s">
        <v>3108</v>
      </c>
      <c r="G806" s="22" t="s">
        <v>3109</v>
      </c>
      <c r="H806" s="22" t="s">
        <v>3110</v>
      </c>
      <c r="I806" s="22" t="s">
        <v>23</v>
      </c>
      <c r="J806" s="23">
        <v>2000</v>
      </c>
      <c r="K806" s="22" t="s">
        <v>114</v>
      </c>
      <c r="L806" s="23" t="s">
        <v>30</v>
      </c>
      <c r="M806" s="23" t="s">
        <v>30</v>
      </c>
      <c r="N806" s="22"/>
      <c r="O806" s="22"/>
    </row>
    <row r="807" spans="1:15" ht="13.5" customHeight="1" x14ac:dyDescent="0.25">
      <c r="A807" s="1"/>
      <c r="B807" s="20">
        <v>795</v>
      </c>
      <c r="C807" s="20">
        <v>2023</v>
      </c>
      <c r="D807" s="20">
        <v>10722</v>
      </c>
      <c r="E807" s="20" t="s">
        <v>3111</v>
      </c>
      <c r="F807" s="20" t="s">
        <v>3112</v>
      </c>
      <c r="G807" s="20" t="s">
        <v>3113</v>
      </c>
      <c r="H807" s="20" t="s">
        <v>3114</v>
      </c>
      <c r="I807" s="20" t="s">
        <v>23</v>
      </c>
      <c r="J807" s="21">
        <v>2000</v>
      </c>
      <c r="K807" s="20" t="s">
        <v>34</v>
      </c>
      <c r="L807" s="21" t="s">
        <v>30</v>
      </c>
      <c r="M807" s="21" t="s">
        <v>30</v>
      </c>
      <c r="N807" s="20"/>
      <c r="O807" s="20"/>
    </row>
    <row r="808" spans="1:15" ht="13.5" customHeight="1" x14ac:dyDescent="0.25">
      <c r="A808" s="1"/>
      <c r="B808" s="22">
        <v>796</v>
      </c>
      <c r="C808" s="22">
        <v>2023</v>
      </c>
      <c r="D808" s="22">
        <v>10709</v>
      </c>
      <c r="E808" s="22" t="s">
        <v>3115</v>
      </c>
      <c r="F808" s="22" t="s">
        <v>3116</v>
      </c>
      <c r="G808" s="22" t="s">
        <v>3117</v>
      </c>
      <c r="H808" s="22" t="s">
        <v>3118</v>
      </c>
      <c r="I808" s="22" t="s">
        <v>23</v>
      </c>
      <c r="J808" s="23">
        <v>2000</v>
      </c>
      <c r="K808" s="22" t="s">
        <v>34</v>
      </c>
      <c r="L808" s="23" t="s">
        <v>30</v>
      </c>
      <c r="M808" s="23" t="s">
        <v>30</v>
      </c>
      <c r="N808" s="22"/>
      <c r="O808" s="22"/>
    </row>
    <row r="809" spans="1:15" ht="13.5" customHeight="1" x14ac:dyDescent="0.25">
      <c r="A809" s="1"/>
      <c r="B809" s="20">
        <v>797</v>
      </c>
      <c r="C809" s="20">
        <v>2023</v>
      </c>
      <c r="D809" s="20">
        <v>42764</v>
      </c>
      <c r="E809" s="20" t="s">
        <v>3119</v>
      </c>
      <c r="F809" s="20" t="s">
        <v>3120</v>
      </c>
      <c r="G809" s="20"/>
      <c r="H809" s="20" t="s">
        <v>3121</v>
      </c>
      <c r="I809" s="20" t="s">
        <v>23</v>
      </c>
      <c r="J809" s="21">
        <v>2020</v>
      </c>
      <c r="K809" s="20" t="s">
        <v>34</v>
      </c>
      <c r="L809" s="21"/>
      <c r="M809" s="21"/>
      <c r="N809" s="20" t="s">
        <v>48</v>
      </c>
      <c r="O809" s="20"/>
    </row>
    <row r="810" spans="1:15" ht="13.5" customHeight="1" x14ac:dyDescent="0.25">
      <c r="A810" s="1"/>
      <c r="B810" s="22">
        <v>798</v>
      </c>
      <c r="C810" s="22">
        <v>2023</v>
      </c>
      <c r="D810" s="22">
        <v>11476</v>
      </c>
      <c r="E810" s="22" t="s">
        <v>3122</v>
      </c>
      <c r="F810" s="22" t="s">
        <v>3123</v>
      </c>
      <c r="G810" s="22" t="s">
        <v>3124</v>
      </c>
      <c r="H810" s="22" t="s">
        <v>3125</v>
      </c>
      <c r="I810" s="22" t="s">
        <v>62</v>
      </c>
      <c r="J810" s="23">
        <v>2006</v>
      </c>
      <c r="K810" s="22" t="s">
        <v>95</v>
      </c>
      <c r="L810" s="23" t="s">
        <v>30</v>
      </c>
      <c r="M810" s="23" t="s">
        <v>30</v>
      </c>
      <c r="N810" s="22"/>
      <c r="O810" s="22"/>
    </row>
    <row r="811" spans="1:15" ht="13.5" customHeight="1" x14ac:dyDescent="0.25">
      <c r="A811" s="1"/>
      <c r="B811" s="20">
        <v>799</v>
      </c>
      <c r="C811" s="20">
        <v>2023</v>
      </c>
      <c r="D811" s="20">
        <v>13541</v>
      </c>
      <c r="E811" s="20" t="s">
        <v>3126</v>
      </c>
      <c r="F811" s="20" t="s">
        <v>3127</v>
      </c>
      <c r="G811" s="20" t="s">
        <v>3128</v>
      </c>
      <c r="H811" s="20" t="s">
        <v>3129</v>
      </c>
      <c r="I811" s="20" t="s">
        <v>62</v>
      </c>
      <c r="J811" s="21">
        <v>2011</v>
      </c>
      <c r="K811" s="20" t="s">
        <v>95</v>
      </c>
      <c r="L811" s="21" t="s">
        <v>30</v>
      </c>
      <c r="M811" s="21"/>
      <c r="N811" s="20" t="s">
        <v>275</v>
      </c>
      <c r="O811" s="20"/>
    </row>
    <row r="812" spans="1:15" ht="13.5" customHeight="1" x14ac:dyDescent="0.25">
      <c r="A812" s="1"/>
      <c r="B812" s="22">
        <v>800</v>
      </c>
      <c r="C812" s="22">
        <v>2023</v>
      </c>
      <c r="D812" s="22">
        <v>12371</v>
      </c>
      <c r="E812" s="22" t="s">
        <v>3130</v>
      </c>
      <c r="F812" s="22" t="s">
        <v>3131</v>
      </c>
      <c r="G812" s="22" t="s">
        <v>3132</v>
      </c>
      <c r="H812" s="22" t="s">
        <v>3133</v>
      </c>
      <c r="I812" s="22" t="s">
        <v>23</v>
      </c>
      <c r="J812" s="23">
        <v>2009</v>
      </c>
      <c r="K812" s="22" t="s">
        <v>95</v>
      </c>
      <c r="L812" s="23" t="s">
        <v>30</v>
      </c>
      <c r="M812" s="23" t="s">
        <v>30</v>
      </c>
      <c r="N812" s="22" t="s">
        <v>1103</v>
      </c>
      <c r="O812" s="22"/>
    </row>
    <row r="813" spans="1:15" ht="13.5" customHeight="1" x14ac:dyDescent="0.25">
      <c r="A813" s="1"/>
      <c r="B813" s="20">
        <v>801</v>
      </c>
      <c r="C813" s="20">
        <v>2023</v>
      </c>
      <c r="D813" s="20">
        <v>10707</v>
      </c>
      <c r="E813" s="20" t="s">
        <v>3134</v>
      </c>
      <c r="F813" s="20" t="s">
        <v>3135</v>
      </c>
      <c r="G813" s="20" t="s">
        <v>3136</v>
      </c>
      <c r="H813" s="20" t="s">
        <v>3137</v>
      </c>
      <c r="I813" s="20" t="s">
        <v>23</v>
      </c>
      <c r="J813" s="21">
        <v>2000</v>
      </c>
      <c r="K813" s="20" t="s">
        <v>114</v>
      </c>
      <c r="L813" s="21" t="s">
        <v>30</v>
      </c>
      <c r="M813" s="21" t="s">
        <v>30</v>
      </c>
      <c r="N813" s="20"/>
      <c r="O813" s="20"/>
    </row>
    <row r="814" spans="1:15" ht="13.5" customHeight="1" x14ac:dyDescent="0.25">
      <c r="A814" s="1"/>
      <c r="B814" s="22">
        <v>802</v>
      </c>
      <c r="C814" s="22">
        <v>2023</v>
      </c>
      <c r="D814" s="22">
        <v>10708</v>
      </c>
      <c r="E814" s="22" t="s">
        <v>3138</v>
      </c>
      <c r="F814" s="22" t="s">
        <v>3139</v>
      </c>
      <c r="G814" s="22" t="s">
        <v>3140</v>
      </c>
      <c r="H814" s="22" t="s">
        <v>3141</v>
      </c>
      <c r="I814" s="22" t="s">
        <v>23</v>
      </c>
      <c r="J814" s="23">
        <v>2000</v>
      </c>
      <c r="K814" s="22" t="s">
        <v>184</v>
      </c>
      <c r="L814" s="23" t="s">
        <v>30</v>
      </c>
      <c r="M814" s="23" t="s">
        <v>30</v>
      </c>
      <c r="N814" s="22"/>
      <c r="O814" s="22"/>
    </row>
    <row r="815" spans="1:15" ht="13.5" customHeight="1" x14ac:dyDescent="0.25">
      <c r="A815" s="1"/>
      <c r="B815" s="20">
        <v>803</v>
      </c>
      <c r="C815" s="20">
        <v>2023</v>
      </c>
      <c r="D815" s="20">
        <v>11477</v>
      </c>
      <c r="E815" s="20" t="s">
        <v>3142</v>
      </c>
      <c r="F815" s="20" t="s">
        <v>3143</v>
      </c>
      <c r="G815" s="20" t="s">
        <v>3144</v>
      </c>
      <c r="H815" s="20" t="s">
        <v>3145</v>
      </c>
      <c r="I815" s="20" t="s">
        <v>62</v>
      </c>
      <c r="J815" s="21">
        <v>2006</v>
      </c>
      <c r="K815" s="20" t="s">
        <v>95</v>
      </c>
      <c r="L815" s="21" t="s">
        <v>30</v>
      </c>
      <c r="M815" s="21" t="s">
        <v>30</v>
      </c>
      <c r="N815" s="20"/>
      <c r="O815" s="20"/>
    </row>
    <row r="816" spans="1:15" ht="13.5" customHeight="1" x14ac:dyDescent="0.25">
      <c r="A816" s="1"/>
      <c r="B816" s="22">
        <v>804</v>
      </c>
      <c r="C816" s="22">
        <v>2023</v>
      </c>
      <c r="D816" s="22">
        <v>11478</v>
      </c>
      <c r="E816" s="22" t="s">
        <v>3146</v>
      </c>
      <c r="F816" s="22" t="s">
        <v>3147</v>
      </c>
      <c r="G816" s="22" t="s">
        <v>3148</v>
      </c>
      <c r="H816" s="22" t="s">
        <v>3149</v>
      </c>
      <c r="I816" s="22" t="s">
        <v>62</v>
      </c>
      <c r="J816" s="23">
        <v>2006</v>
      </c>
      <c r="K816" s="22" t="s">
        <v>95</v>
      </c>
      <c r="L816" s="23" t="s">
        <v>30</v>
      </c>
      <c r="M816" s="23" t="s">
        <v>30</v>
      </c>
      <c r="N816" s="22"/>
      <c r="O816" s="22"/>
    </row>
    <row r="817" spans="1:15" ht="13.5" customHeight="1" x14ac:dyDescent="0.25">
      <c r="A817" s="1"/>
      <c r="B817" s="20">
        <v>805</v>
      </c>
      <c r="C817" s="20">
        <v>2023</v>
      </c>
      <c r="D817" s="20">
        <v>367</v>
      </c>
      <c r="E817" s="20" t="s">
        <v>3150</v>
      </c>
      <c r="F817" s="20" t="s">
        <v>3151</v>
      </c>
      <c r="G817" s="20" t="s">
        <v>3152</v>
      </c>
      <c r="H817" s="20" t="s">
        <v>3153</v>
      </c>
      <c r="I817" s="20" t="s">
        <v>23</v>
      </c>
      <c r="J817" s="21">
        <v>2000</v>
      </c>
      <c r="K817" s="20" t="s">
        <v>95</v>
      </c>
      <c r="L817" s="21" t="s">
        <v>30</v>
      </c>
      <c r="M817" s="21" t="s">
        <v>30</v>
      </c>
      <c r="N817" s="20"/>
      <c r="O817" s="20"/>
    </row>
    <row r="818" spans="1:15" ht="13.5" customHeight="1" x14ac:dyDescent="0.25">
      <c r="A818" s="1"/>
      <c r="B818" s="22">
        <v>806</v>
      </c>
      <c r="C818" s="22">
        <v>2023</v>
      </c>
      <c r="D818" s="22">
        <v>10711</v>
      </c>
      <c r="E818" s="22" t="s">
        <v>3154</v>
      </c>
      <c r="F818" s="22" t="s">
        <v>3155</v>
      </c>
      <c r="G818" s="22" t="s">
        <v>3156</v>
      </c>
      <c r="H818" s="22" t="s">
        <v>3157</v>
      </c>
      <c r="I818" s="22" t="s">
        <v>23</v>
      </c>
      <c r="J818" s="23">
        <v>2000</v>
      </c>
      <c r="K818" s="22" t="s">
        <v>44</v>
      </c>
      <c r="L818" s="23" t="s">
        <v>30</v>
      </c>
      <c r="M818" s="23" t="s">
        <v>30</v>
      </c>
      <c r="N818" s="22"/>
      <c r="O818" s="22"/>
    </row>
    <row r="819" spans="1:15" ht="13.5" customHeight="1" x14ac:dyDescent="0.25">
      <c r="A819" s="1"/>
      <c r="B819" s="20">
        <v>807</v>
      </c>
      <c r="C819" s="20">
        <v>2023</v>
      </c>
      <c r="D819" s="20">
        <v>39</v>
      </c>
      <c r="E819" s="20" t="s">
        <v>3158</v>
      </c>
      <c r="F819" s="20" t="s">
        <v>3159</v>
      </c>
      <c r="G819" s="20" t="s">
        <v>3160</v>
      </c>
      <c r="H819" s="20" t="s">
        <v>3161</v>
      </c>
      <c r="I819" s="20" t="s">
        <v>223</v>
      </c>
      <c r="J819" s="21">
        <v>2000</v>
      </c>
      <c r="K819" s="20" t="s">
        <v>44</v>
      </c>
      <c r="L819" s="21" t="s">
        <v>30</v>
      </c>
      <c r="M819" s="21" t="s">
        <v>30</v>
      </c>
      <c r="N819" s="20"/>
      <c r="O819" s="20"/>
    </row>
    <row r="820" spans="1:15" ht="13.5" customHeight="1" x14ac:dyDescent="0.25">
      <c r="A820" s="1"/>
      <c r="B820" s="22">
        <v>808</v>
      </c>
      <c r="C820" s="22">
        <v>2023</v>
      </c>
      <c r="D820" s="22">
        <v>12303</v>
      </c>
      <c r="E820" s="22" t="s">
        <v>3162</v>
      </c>
      <c r="F820" s="22" t="s">
        <v>3163</v>
      </c>
      <c r="G820" s="22" t="s">
        <v>3164</v>
      </c>
      <c r="H820" s="22" t="s">
        <v>3165</v>
      </c>
      <c r="I820" s="22" t="s">
        <v>3166</v>
      </c>
      <c r="J820" s="23">
        <v>2000</v>
      </c>
      <c r="K820" s="22" t="s">
        <v>95</v>
      </c>
      <c r="L820" s="23" t="s">
        <v>30</v>
      </c>
      <c r="M820" s="23" t="s">
        <v>30</v>
      </c>
      <c r="N820" s="22" t="s">
        <v>35</v>
      </c>
      <c r="O820" s="22"/>
    </row>
    <row r="821" spans="1:15" ht="13.5" customHeight="1" x14ac:dyDescent="0.25">
      <c r="A821" s="1"/>
      <c r="B821" s="20">
        <v>809</v>
      </c>
      <c r="C821" s="20">
        <v>2023</v>
      </c>
      <c r="D821" s="20">
        <v>10706</v>
      </c>
      <c r="E821" s="20" t="s">
        <v>3167</v>
      </c>
      <c r="F821" s="20" t="s">
        <v>3168</v>
      </c>
      <c r="G821" s="20" t="s">
        <v>3169</v>
      </c>
      <c r="H821" s="20" t="s">
        <v>3170</v>
      </c>
      <c r="I821" s="20" t="s">
        <v>23</v>
      </c>
      <c r="J821" s="21">
        <v>2000</v>
      </c>
      <c r="K821" s="20" t="s">
        <v>95</v>
      </c>
      <c r="L821" s="21" t="s">
        <v>30</v>
      </c>
      <c r="M821" s="21" t="s">
        <v>30</v>
      </c>
      <c r="N821" s="20"/>
      <c r="O821" s="20"/>
    </row>
    <row r="822" spans="1:15" ht="13.5" customHeight="1" x14ac:dyDescent="0.25">
      <c r="A822" s="1"/>
      <c r="B822" s="22">
        <v>810</v>
      </c>
      <c r="C822" s="22">
        <v>2023</v>
      </c>
      <c r="D822" s="22">
        <v>11479</v>
      </c>
      <c r="E822" s="22" t="s">
        <v>3171</v>
      </c>
      <c r="F822" s="22" t="s">
        <v>3172</v>
      </c>
      <c r="G822" s="22" t="s">
        <v>3173</v>
      </c>
      <c r="H822" s="22" t="s">
        <v>3174</v>
      </c>
      <c r="I822" s="22" t="s">
        <v>62</v>
      </c>
      <c r="J822" s="23">
        <v>2006</v>
      </c>
      <c r="K822" s="22" t="s">
        <v>95</v>
      </c>
      <c r="L822" s="23" t="s">
        <v>30</v>
      </c>
      <c r="M822" s="23" t="s">
        <v>30</v>
      </c>
      <c r="N822" s="22"/>
      <c r="O822" s="22"/>
    </row>
    <row r="823" spans="1:15" ht="13.5" customHeight="1" x14ac:dyDescent="0.25">
      <c r="A823" s="1"/>
      <c r="B823" s="20">
        <v>811</v>
      </c>
      <c r="C823" s="20">
        <v>2023</v>
      </c>
      <c r="D823" s="20">
        <v>12662</v>
      </c>
      <c r="E823" s="20" t="s">
        <v>3175</v>
      </c>
      <c r="F823" s="20" t="s">
        <v>3176</v>
      </c>
      <c r="G823" s="20" t="s">
        <v>3177</v>
      </c>
      <c r="H823" s="20" t="s">
        <v>3178</v>
      </c>
      <c r="I823" s="20" t="s">
        <v>23</v>
      </c>
      <c r="J823" s="21">
        <v>2000</v>
      </c>
      <c r="K823" s="20" t="s">
        <v>34</v>
      </c>
      <c r="L823" s="21" t="s">
        <v>30</v>
      </c>
      <c r="M823" s="21"/>
      <c r="N823" s="20" t="s">
        <v>431</v>
      </c>
      <c r="O823" s="20"/>
    </row>
    <row r="824" spans="1:15" ht="13.5" customHeight="1" x14ac:dyDescent="0.25">
      <c r="A824" s="1"/>
      <c r="B824" s="22">
        <v>812</v>
      </c>
      <c r="C824" s="22">
        <v>2023</v>
      </c>
      <c r="D824" s="22">
        <v>11357</v>
      </c>
      <c r="E824" s="22" t="s">
        <v>3179</v>
      </c>
      <c r="F824" s="22" t="s">
        <v>3180</v>
      </c>
      <c r="G824" s="22" t="s">
        <v>3181</v>
      </c>
      <c r="H824" s="22" t="s">
        <v>3182</v>
      </c>
      <c r="I824" s="22" t="s">
        <v>23</v>
      </c>
      <c r="J824" s="23">
        <v>2000</v>
      </c>
      <c r="K824" s="22" t="s">
        <v>34</v>
      </c>
      <c r="L824" s="23" t="s">
        <v>30</v>
      </c>
      <c r="M824" s="23" t="s">
        <v>30</v>
      </c>
      <c r="N824" s="22"/>
      <c r="O824" s="22"/>
    </row>
    <row r="825" spans="1:15" ht="13.5" customHeight="1" x14ac:dyDescent="0.25">
      <c r="A825" s="1"/>
      <c r="B825" s="20">
        <v>813</v>
      </c>
      <c r="C825" s="20">
        <v>2023</v>
      </c>
      <c r="D825" s="20">
        <v>10343</v>
      </c>
      <c r="E825" s="20" t="s">
        <v>3183</v>
      </c>
      <c r="F825" s="20" t="s">
        <v>3184</v>
      </c>
      <c r="G825" s="20" t="s">
        <v>3185</v>
      </c>
      <c r="H825" s="20" t="s">
        <v>3186</v>
      </c>
      <c r="I825" s="20" t="s">
        <v>23</v>
      </c>
      <c r="J825" s="21">
        <v>2002</v>
      </c>
      <c r="K825" s="20" t="s">
        <v>34</v>
      </c>
      <c r="L825" s="21" t="s">
        <v>30</v>
      </c>
      <c r="M825" s="21" t="s">
        <v>30</v>
      </c>
      <c r="N825" s="20"/>
      <c r="O825" s="20"/>
    </row>
    <row r="826" spans="1:15" ht="13.5" customHeight="1" x14ac:dyDescent="0.25">
      <c r="A826" s="1"/>
      <c r="B826" s="22">
        <v>814</v>
      </c>
      <c r="C826" s="22">
        <v>2023</v>
      </c>
      <c r="D826" s="22">
        <v>10717</v>
      </c>
      <c r="E826" s="22" t="s">
        <v>3187</v>
      </c>
      <c r="F826" s="22" t="s">
        <v>3188</v>
      </c>
      <c r="G826" s="22" t="s">
        <v>3189</v>
      </c>
      <c r="H826" s="22" t="s">
        <v>3190</v>
      </c>
      <c r="I826" s="22" t="s">
        <v>23</v>
      </c>
      <c r="J826" s="23">
        <v>2000</v>
      </c>
      <c r="K826" s="22" t="s">
        <v>24</v>
      </c>
      <c r="L826" s="23" t="s">
        <v>30</v>
      </c>
      <c r="M826" s="23" t="s">
        <v>30</v>
      </c>
      <c r="N826" s="22"/>
      <c r="O826" s="22"/>
    </row>
    <row r="827" spans="1:15" ht="13.5" customHeight="1" x14ac:dyDescent="0.25">
      <c r="A827" s="1"/>
      <c r="B827" s="20">
        <v>815</v>
      </c>
      <c r="C827" s="20">
        <v>2023</v>
      </c>
      <c r="D827" s="20">
        <v>10720</v>
      </c>
      <c r="E827" s="20" t="s">
        <v>3191</v>
      </c>
      <c r="F827" s="20" t="s">
        <v>3192</v>
      </c>
      <c r="G827" s="20" t="s">
        <v>3193</v>
      </c>
      <c r="H827" s="20" t="s">
        <v>3194</v>
      </c>
      <c r="I827" s="20" t="s">
        <v>62</v>
      </c>
      <c r="J827" s="21">
        <v>2000</v>
      </c>
      <c r="K827" s="20" t="s">
        <v>24</v>
      </c>
      <c r="L827" s="21" t="s">
        <v>30</v>
      </c>
      <c r="M827" s="21" t="s">
        <v>30</v>
      </c>
      <c r="N827" s="20"/>
      <c r="O827" s="20"/>
    </row>
    <row r="828" spans="1:15" ht="13.5" customHeight="1" x14ac:dyDescent="0.25">
      <c r="A828" s="1"/>
      <c r="B828" s="22">
        <v>816</v>
      </c>
      <c r="C828" s="22">
        <v>2023</v>
      </c>
      <c r="D828" s="22">
        <v>40940</v>
      </c>
      <c r="E828" s="22" t="s">
        <v>3195</v>
      </c>
      <c r="F828" s="22" t="s">
        <v>3196</v>
      </c>
      <c r="G828" s="22" t="s">
        <v>3197</v>
      </c>
      <c r="H828" s="22" t="s">
        <v>3198</v>
      </c>
      <c r="I828" s="22" t="s">
        <v>23</v>
      </c>
      <c r="J828" s="23">
        <v>2016</v>
      </c>
      <c r="K828" s="22" t="s">
        <v>67</v>
      </c>
      <c r="L828" s="23" t="s">
        <v>30</v>
      </c>
      <c r="M828" s="23"/>
      <c r="N828" s="22" t="s">
        <v>204</v>
      </c>
      <c r="O828" s="22"/>
    </row>
    <row r="829" spans="1:15" ht="13.5" customHeight="1" x14ac:dyDescent="0.25">
      <c r="A829" s="1"/>
      <c r="B829" s="20">
        <v>817</v>
      </c>
      <c r="C829" s="20">
        <v>2023</v>
      </c>
      <c r="D829" s="20">
        <v>43477</v>
      </c>
      <c r="E829" s="20" t="s">
        <v>3199</v>
      </c>
      <c r="F829" s="20" t="s">
        <v>3200</v>
      </c>
      <c r="G829" s="20"/>
      <c r="H829" s="20" t="s">
        <v>3201</v>
      </c>
      <c r="I829" s="20" t="s">
        <v>23</v>
      </c>
      <c r="J829" s="21">
        <v>2021</v>
      </c>
      <c r="K829" s="20" t="s">
        <v>203</v>
      </c>
      <c r="L829" s="21"/>
      <c r="M829" s="21"/>
      <c r="N829" s="20" t="s">
        <v>236</v>
      </c>
      <c r="O829" s="20"/>
    </row>
    <row r="830" spans="1:15" ht="13.5" customHeight="1" x14ac:dyDescent="0.25">
      <c r="A830" s="1"/>
      <c r="B830" s="22">
        <v>818</v>
      </c>
      <c r="C830" s="22">
        <v>2023</v>
      </c>
      <c r="D830" s="22">
        <v>40171</v>
      </c>
      <c r="E830" s="22" t="s">
        <v>3202</v>
      </c>
      <c r="F830" s="22" t="s">
        <v>3203</v>
      </c>
      <c r="G830" s="22" t="s">
        <v>3204</v>
      </c>
      <c r="H830" s="22" t="s">
        <v>3205</v>
      </c>
      <c r="I830" s="22" t="s">
        <v>23</v>
      </c>
      <c r="J830" s="23">
        <v>2007</v>
      </c>
      <c r="K830" s="22" t="s">
        <v>29</v>
      </c>
      <c r="L830" s="23" t="s">
        <v>30</v>
      </c>
      <c r="M830" s="23"/>
      <c r="N830" s="22" t="s">
        <v>163</v>
      </c>
      <c r="O830" s="22"/>
    </row>
    <row r="831" spans="1:15" ht="13.5" customHeight="1" x14ac:dyDescent="0.25">
      <c r="A831" s="1"/>
      <c r="B831" s="20">
        <v>819</v>
      </c>
      <c r="C831" s="20">
        <v>2023</v>
      </c>
      <c r="D831" s="20">
        <v>43508</v>
      </c>
      <c r="E831" s="20" t="s">
        <v>3206</v>
      </c>
      <c r="F831" s="20" t="s">
        <v>3207</v>
      </c>
      <c r="G831" s="20" t="s">
        <v>3208</v>
      </c>
      <c r="H831" s="20" t="s">
        <v>3209</v>
      </c>
      <c r="I831" s="20" t="s">
        <v>23</v>
      </c>
      <c r="J831" s="21">
        <v>2021</v>
      </c>
      <c r="K831" s="20" t="s">
        <v>1475</v>
      </c>
      <c r="L831" s="21" t="s">
        <v>30</v>
      </c>
      <c r="M831" s="21"/>
      <c r="N831" s="20" t="s">
        <v>236</v>
      </c>
      <c r="O831" s="20"/>
    </row>
    <row r="832" spans="1:15" ht="13.5" customHeight="1" x14ac:dyDescent="0.25">
      <c r="A832" s="1"/>
      <c r="B832" s="22">
        <v>820</v>
      </c>
      <c r="C832" s="22">
        <v>2023</v>
      </c>
      <c r="D832" s="22">
        <v>40609</v>
      </c>
      <c r="E832" s="22" t="s">
        <v>3210</v>
      </c>
      <c r="F832" s="22" t="s">
        <v>3211</v>
      </c>
      <c r="G832" s="22"/>
      <c r="H832" s="22" t="s">
        <v>3212</v>
      </c>
      <c r="I832" s="22" t="s">
        <v>23</v>
      </c>
      <c r="J832" s="23">
        <v>2014</v>
      </c>
      <c r="K832" s="22" t="s">
        <v>184</v>
      </c>
      <c r="L832" s="23"/>
      <c r="M832" s="23"/>
      <c r="N832" s="22" t="s">
        <v>381</v>
      </c>
      <c r="O832" s="22"/>
    </row>
    <row r="833" spans="1:15" ht="13.5" customHeight="1" x14ac:dyDescent="0.25">
      <c r="A833" s="1"/>
      <c r="B833" s="20">
        <v>821</v>
      </c>
      <c r="C833" s="20">
        <v>2023</v>
      </c>
      <c r="D833" s="20">
        <v>44186</v>
      </c>
      <c r="E833" s="20" t="s">
        <v>3213</v>
      </c>
      <c r="F833" s="20" t="s">
        <v>3214</v>
      </c>
      <c r="G833" s="20"/>
      <c r="H833" s="20" t="s">
        <v>3215</v>
      </c>
      <c r="I833" s="20" t="s">
        <v>23</v>
      </c>
      <c r="J833" s="21">
        <v>2022</v>
      </c>
      <c r="K833" s="20" t="s">
        <v>39</v>
      </c>
      <c r="L833" s="21"/>
      <c r="M833" s="21"/>
      <c r="N833" s="20" t="s">
        <v>518</v>
      </c>
      <c r="O833" s="20"/>
    </row>
    <row r="834" spans="1:15" ht="13.5" customHeight="1" x14ac:dyDescent="0.25">
      <c r="A834" s="1"/>
      <c r="B834" s="22">
        <v>822</v>
      </c>
      <c r="C834" s="22">
        <v>2023</v>
      </c>
      <c r="D834" s="22">
        <v>10719</v>
      </c>
      <c r="E834" s="22" t="s">
        <v>3216</v>
      </c>
      <c r="F834" s="22" t="s">
        <v>3217</v>
      </c>
      <c r="G834" s="22" t="s">
        <v>3218</v>
      </c>
      <c r="H834" s="22" t="s">
        <v>3219</v>
      </c>
      <c r="I834" s="22" t="s">
        <v>23</v>
      </c>
      <c r="J834" s="23">
        <v>2000</v>
      </c>
      <c r="K834" s="22" t="s">
        <v>34</v>
      </c>
      <c r="L834" s="23" t="s">
        <v>30</v>
      </c>
      <c r="M834" s="23" t="s">
        <v>30</v>
      </c>
      <c r="N834" s="22"/>
      <c r="O834" s="22"/>
    </row>
    <row r="835" spans="1:15" ht="13.5" customHeight="1" x14ac:dyDescent="0.25">
      <c r="A835" s="1"/>
      <c r="B835" s="20">
        <v>823</v>
      </c>
      <c r="C835" s="20">
        <v>2023</v>
      </c>
      <c r="D835" s="20">
        <v>13404</v>
      </c>
      <c r="E835" s="20" t="s">
        <v>3220</v>
      </c>
      <c r="F835" s="20" t="s">
        <v>3221</v>
      </c>
      <c r="G835" s="20" t="s">
        <v>3222</v>
      </c>
      <c r="H835" s="20" t="s">
        <v>3223</v>
      </c>
      <c r="I835" s="20" t="s">
        <v>23</v>
      </c>
      <c r="J835" s="21">
        <v>2000</v>
      </c>
      <c r="K835" s="20" t="s">
        <v>24</v>
      </c>
      <c r="L835" s="21" t="s">
        <v>30</v>
      </c>
      <c r="M835" s="21"/>
      <c r="N835" s="20"/>
      <c r="O835" s="20"/>
    </row>
    <row r="836" spans="1:15" ht="13.5" customHeight="1" x14ac:dyDescent="0.25">
      <c r="A836" s="1"/>
      <c r="B836" s="22">
        <v>824</v>
      </c>
      <c r="C836" s="22">
        <v>2023</v>
      </c>
      <c r="D836" s="22">
        <v>10291</v>
      </c>
      <c r="E836" s="22" t="s">
        <v>3224</v>
      </c>
      <c r="F836" s="22" t="s">
        <v>3225</v>
      </c>
      <c r="G836" s="22" t="s">
        <v>3226</v>
      </c>
      <c r="H836" s="22" t="s">
        <v>3227</v>
      </c>
      <c r="I836" s="22" t="s">
        <v>23</v>
      </c>
      <c r="J836" s="23">
        <v>2000</v>
      </c>
      <c r="K836" s="22" t="s">
        <v>95</v>
      </c>
      <c r="L836" s="23" t="s">
        <v>30</v>
      </c>
      <c r="M836" s="23" t="s">
        <v>30</v>
      </c>
      <c r="N836" s="22"/>
      <c r="O836" s="22"/>
    </row>
    <row r="837" spans="1:15" ht="13.5" customHeight="1" x14ac:dyDescent="0.25">
      <c r="A837" s="1"/>
      <c r="B837" s="20">
        <v>825</v>
      </c>
      <c r="C837" s="20">
        <v>2023</v>
      </c>
      <c r="D837" s="20">
        <v>417</v>
      </c>
      <c r="E837" s="20" t="s">
        <v>3228</v>
      </c>
      <c r="F837" s="20" t="s">
        <v>3229</v>
      </c>
      <c r="G837" s="20" t="s">
        <v>3230</v>
      </c>
      <c r="H837" s="20" t="s">
        <v>3231</v>
      </c>
      <c r="I837" s="20" t="s">
        <v>23</v>
      </c>
      <c r="J837" s="21">
        <v>2000</v>
      </c>
      <c r="K837" s="20" t="s">
        <v>39</v>
      </c>
      <c r="L837" s="21" t="s">
        <v>30</v>
      </c>
      <c r="M837" s="21" t="s">
        <v>30</v>
      </c>
      <c r="N837" s="20"/>
      <c r="O837" s="20"/>
    </row>
    <row r="838" spans="1:15" ht="13.5" customHeight="1" x14ac:dyDescent="0.25">
      <c r="A838" s="1"/>
      <c r="B838" s="22">
        <v>826</v>
      </c>
      <c r="C838" s="22">
        <v>2023</v>
      </c>
      <c r="D838" s="22">
        <v>41066</v>
      </c>
      <c r="E838" s="22" t="s">
        <v>3232</v>
      </c>
      <c r="F838" s="22" t="s">
        <v>3233</v>
      </c>
      <c r="G838" s="22" t="s">
        <v>3234</v>
      </c>
      <c r="H838" s="22" t="s">
        <v>3235</v>
      </c>
      <c r="I838" s="22" t="s">
        <v>23</v>
      </c>
      <c r="J838" s="23">
        <v>2016</v>
      </c>
      <c r="K838" s="22" t="s">
        <v>67</v>
      </c>
      <c r="L838" s="23" t="s">
        <v>30</v>
      </c>
      <c r="M838" s="23"/>
      <c r="N838" s="22" t="s">
        <v>204</v>
      </c>
      <c r="O838" s="22"/>
    </row>
    <row r="839" spans="1:15" ht="13.5" customHeight="1" x14ac:dyDescent="0.25">
      <c r="A839" s="1"/>
      <c r="B839" s="20">
        <v>827</v>
      </c>
      <c r="C839" s="20">
        <v>2023</v>
      </c>
      <c r="D839" s="20">
        <v>10035</v>
      </c>
      <c r="E839" s="20" t="s">
        <v>3236</v>
      </c>
      <c r="F839" s="20" t="s">
        <v>3237</v>
      </c>
      <c r="G839" s="20" t="s">
        <v>3238</v>
      </c>
      <c r="H839" s="20" t="s">
        <v>3239</v>
      </c>
      <c r="I839" s="20" t="s">
        <v>23</v>
      </c>
      <c r="J839" s="21">
        <v>2000</v>
      </c>
      <c r="K839" s="20" t="s">
        <v>63</v>
      </c>
      <c r="L839" s="21" t="s">
        <v>30</v>
      </c>
      <c r="M839" s="21" t="s">
        <v>30</v>
      </c>
      <c r="N839" s="20"/>
      <c r="O839" s="20"/>
    </row>
    <row r="840" spans="1:15" ht="13.5" customHeight="1" x14ac:dyDescent="0.25">
      <c r="A840" s="1"/>
      <c r="B840" s="22">
        <v>828</v>
      </c>
      <c r="C840" s="22">
        <v>2023</v>
      </c>
      <c r="D840" s="22">
        <v>41127</v>
      </c>
      <c r="E840" s="22" t="s">
        <v>3240</v>
      </c>
      <c r="F840" s="22" t="s">
        <v>3241</v>
      </c>
      <c r="G840" s="22" t="s">
        <v>3242</v>
      </c>
      <c r="H840" s="22" t="s">
        <v>3243</v>
      </c>
      <c r="I840" s="22" t="s">
        <v>23</v>
      </c>
      <c r="J840" s="23">
        <v>2016</v>
      </c>
      <c r="K840" s="22" t="s">
        <v>24</v>
      </c>
      <c r="L840" s="23" t="s">
        <v>30</v>
      </c>
      <c r="M840" s="23"/>
      <c r="N840" s="22" t="s">
        <v>204</v>
      </c>
      <c r="O840" s="22"/>
    </row>
    <row r="841" spans="1:15" ht="13.5" customHeight="1" x14ac:dyDescent="0.25">
      <c r="A841" s="1"/>
      <c r="B841" s="20">
        <v>829</v>
      </c>
      <c r="C841" s="20">
        <v>2023</v>
      </c>
      <c r="D841" s="20">
        <v>373</v>
      </c>
      <c r="E841" s="20" t="s">
        <v>3244</v>
      </c>
      <c r="F841" s="20" t="s">
        <v>3245</v>
      </c>
      <c r="G841" s="20" t="s">
        <v>3246</v>
      </c>
      <c r="H841" s="20" t="s">
        <v>3247</v>
      </c>
      <c r="I841" s="20" t="s">
        <v>23</v>
      </c>
      <c r="J841" s="21">
        <v>2000</v>
      </c>
      <c r="K841" s="20" t="s">
        <v>44</v>
      </c>
      <c r="L841" s="21" t="s">
        <v>30</v>
      </c>
      <c r="M841" s="21" t="s">
        <v>30</v>
      </c>
      <c r="N841" s="20"/>
      <c r="O841" s="20"/>
    </row>
    <row r="842" spans="1:15" ht="13.5" customHeight="1" x14ac:dyDescent="0.25">
      <c r="A842" s="1"/>
      <c r="B842" s="22">
        <v>830</v>
      </c>
      <c r="C842" s="22">
        <v>2023</v>
      </c>
      <c r="D842" s="22">
        <v>12267</v>
      </c>
      <c r="E842" s="22" t="s">
        <v>3248</v>
      </c>
      <c r="F842" s="22" t="s">
        <v>3249</v>
      </c>
      <c r="G842" s="22" t="s">
        <v>3250</v>
      </c>
      <c r="H842" s="22" t="s">
        <v>3251</v>
      </c>
      <c r="I842" s="22" t="s">
        <v>62</v>
      </c>
      <c r="J842" s="23">
        <v>2008</v>
      </c>
      <c r="K842" s="22" t="s">
        <v>63</v>
      </c>
      <c r="L842" s="23" t="s">
        <v>30</v>
      </c>
      <c r="M842" s="23" t="s">
        <v>30</v>
      </c>
      <c r="N842" s="22" t="s">
        <v>35</v>
      </c>
      <c r="O842" s="22"/>
    </row>
    <row r="843" spans="1:15" ht="13.5" customHeight="1" x14ac:dyDescent="0.25">
      <c r="A843" s="1"/>
      <c r="B843" s="20">
        <v>831</v>
      </c>
      <c r="C843" s="20">
        <v>2023</v>
      </c>
      <c r="D843" s="20">
        <v>10726</v>
      </c>
      <c r="E843" s="20" t="s">
        <v>3252</v>
      </c>
      <c r="F843" s="20" t="s">
        <v>3253</v>
      </c>
      <c r="G843" s="20" t="s">
        <v>3254</v>
      </c>
      <c r="H843" s="20" t="s">
        <v>3255</v>
      </c>
      <c r="I843" s="20" t="s">
        <v>23</v>
      </c>
      <c r="J843" s="21">
        <v>2000</v>
      </c>
      <c r="K843" s="20" t="s">
        <v>29</v>
      </c>
      <c r="L843" s="21" t="s">
        <v>30</v>
      </c>
      <c r="M843" s="21" t="s">
        <v>30</v>
      </c>
      <c r="N843" s="20"/>
      <c r="O843" s="20"/>
    </row>
    <row r="844" spans="1:15" ht="13.5" customHeight="1" x14ac:dyDescent="0.25">
      <c r="A844" s="1"/>
      <c r="B844" s="22">
        <v>832</v>
      </c>
      <c r="C844" s="22">
        <v>2023</v>
      </c>
      <c r="D844" s="22">
        <v>767</v>
      </c>
      <c r="E844" s="22" t="s">
        <v>3256</v>
      </c>
      <c r="F844" s="22" t="s">
        <v>3257</v>
      </c>
      <c r="G844" s="22" t="s">
        <v>3258</v>
      </c>
      <c r="H844" s="22" t="s">
        <v>3259</v>
      </c>
      <c r="I844" s="22" t="s">
        <v>23</v>
      </c>
      <c r="J844" s="23">
        <v>2000</v>
      </c>
      <c r="K844" s="22" t="s">
        <v>95</v>
      </c>
      <c r="L844" s="23" t="s">
        <v>30</v>
      </c>
      <c r="M844" s="23" t="s">
        <v>30</v>
      </c>
      <c r="N844" s="22"/>
      <c r="O844" s="22"/>
    </row>
    <row r="845" spans="1:15" ht="13.5" customHeight="1" x14ac:dyDescent="0.25">
      <c r="A845" s="1"/>
      <c r="B845" s="20">
        <v>833</v>
      </c>
      <c r="C845" s="20">
        <v>2023</v>
      </c>
      <c r="D845" s="20">
        <v>11612</v>
      </c>
      <c r="E845" s="20" t="s">
        <v>3260</v>
      </c>
      <c r="F845" s="20" t="s">
        <v>3261</v>
      </c>
      <c r="G845" s="20" t="s">
        <v>3262</v>
      </c>
      <c r="H845" s="20" t="s">
        <v>3263</v>
      </c>
      <c r="I845" s="20" t="s">
        <v>23</v>
      </c>
      <c r="J845" s="21">
        <v>2000</v>
      </c>
      <c r="K845" s="20" t="s">
        <v>203</v>
      </c>
      <c r="L845" s="21" t="s">
        <v>30</v>
      </c>
      <c r="M845" s="21" t="s">
        <v>30</v>
      </c>
      <c r="N845" s="20" t="s">
        <v>245</v>
      </c>
      <c r="O845" s="20"/>
    </row>
    <row r="846" spans="1:15" ht="13.5" customHeight="1" x14ac:dyDescent="0.25">
      <c r="A846" s="1"/>
      <c r="B846" s="22">
        <v>834</v>
      </c>
      <c r="C846" s="22">
        <v>2023</v>
      </c>
      <c r="D846" s="22">
        <v>15013</v>
      </c>
      <c r="E846" s="22" t="s">
        <v>3264</v>
      </c>
      <c r="F846" s="22" t="s">
        <v>3265</v>
      </c>
      <c r="G846" s="22" t="s">
        <v>3266</v>
      </c>
      <c r="H846" s="22" t="s">
        <v>3267</v>
      </c>
      <c r="I846" s="22" t="s">
        <v>357</v>
      </c>
      <c r="J846" s="23">
        <v>2012</v>
      </c>
      <c r="K846" s="22" t="s">
        <v>39</v>
      </c>
      <c r="L846" s="23" t="s">
        <v>30</v>
      </c>
      <c r="M846" s="23"/>
      <c r="N846" s="22"/>
      <c r="O846" s="22"/>
    </row>
    <row r="847" spans="1:15" ht="13.5" customHeight="1" x14ac:dyDescent="0.25">
      <c r="A847" s="1"/>
      <c r="B847" s="20">
        <v>835</v>
      </c>
      <c r="C847" s="20">
        <v>2023</v>
      </c>
      <c r="D847" s="20">
        <v>10304</v>
      </c>
      <c r="E847" s="20" t="s">
        <v>3268</v>
      </c>
      <c r="F847" s="20" t="s">
        <v>3269</v>
      </c>
      <c r="G847" s="20" t="s">
        <v>3270</v>
      </c>
      <c r="H847" s="20" t="s">
        <v>3271</v>
      </c>
      <c r="I847" s="20" t="s">
        <v>357</v>
      </c>
      <c r="J847" s="21">
        <v>2002</v>
      </c>
      <c r="K847" s="20" t="s">
        <v>39</v>
      </c>
      <c r="L847" s="21" t="s">
        <v>30</v>
      </c>
      <c r="M847" s="21" t="s">
        <v>30</v>
      </c>
      <c r="N847" s="20"/>
      <c r="O847" s="20"/>
    </row>
    <row r="848" spans="1:15" ht="13.5" customHeight="1" x14ac:dyDescent="0.25">
      <c r="A848" s="1"/>
      <c r="B848" s="22">
        <v>836</v>
      </c>
      <c r="C848" s="22">
        <v>2023</v>
      </c>
      <c r="D848" s="22">
        <v>13140</v>
      </c>
      <c r="E848" s="22" t="s">
        <v>3272</v>
      </c>
      <c r="F848" s="22" t="s">
        <v>3273</v>
      </c>
      <c r="G848" s="22" t="s">
        <v>3274</v>
      </c>
      <c r="H848" s="22" t="s">
        <v>3275</v>
      </c>
      <c r="I848" s="22" t="s">
        <v>62</v>
      </c>
      <c r="J848" s="23">
        <v>2010</v>
      </c>
      <c r="K848" s="22" t="s">
        <v>67</v>
      </c>
      <c r="L848" s="23" t="s">
        <v>30</v>
      </c>
      <c r="M848" s="23" t="s">
        <v>30</v>
      </c>
      <c r="N848" s="22" t="s">
        <v>1310</v>
      </c>
      <c r="O848" s="22"/>
    </row>
    <row r="849" spans="1:15" ht="13.5" customHeight="1" x14ac:dyDescent="0.25">
      <c r="A849" s="1"/>
      <c r="B849" s="20">
        <v>837</v>
      </c>
      <c r="C849" s="20">
        <v>2023</v>
      </c>
      <c r="D849" s="20">
        <v>40803</v>
      </c>
      <c r="E849" s="20" t="s">
        <v>3276</v>
      </c>
      <c r="F849" s="20" t="s">
        <v>3277</v>
      </c>
      <c r="G849" s="20" t="s">
        <v>3278</v>
      </c>
      <c r="H849" s="20" t="s">
        <v>3279</v>
      </c>
      <c r="I849" s="20" t="s">
        <v>23</v>
      </c>
      <c r="J849" s="21">
        <v>2009</v>
      </c>
      <c r="K849" s="20" t="s">
        <v>394</v>
      </c>
      <c r="L849" s="21" t="s">
        <v>30</v>
      </c>
      <c r="M849" s="21"/>
      <c r="N849" s="20" t="s">
        <v>68</v>
      </c>
      <c r="O849" s="20"/>
    </row>
    <row r="850" spans="1:15" ht="13.5" customHeight="1" x14ac:dyDescent="0.25">
      <c r="A850" s="1"/>
      <c r="B850" s="22">
        <v>838</v>
      </c>
      <c r="C850" s="22">
        <v>2023</v>
      </c>
      <c r="D850" s="22">
        <v>12326</v>
      </c>
      <c r="E850" s="22" t="s">
        <v>3280</v>
      </c>
      <c r="F850" s="22" t="s">
        <v>3281</v>
      </c>
      <c r="G850" s="22" t="s">
        <v>3282</v>
      </c>
      <c r="H850" s="22" t="s">
        <v>3283</v>
      </c>
      <c r="I850" s="22" t="s">
        <v>357</v>
      </c>
      <c r="J850" s="23">
        <v>2012</v>
      </c>
      <c r="K850" s="22" t="s">
        <v>39</v>
      </c>
      <c r="L850" s="23" t="s">
        <v>30</v>
      </c>
      <c r="M850" s="23" t="s">
        <v>30</v>
      </c>
      <c r="N850" s="22"/>
      <c r="O850" s="22"/>
    </row>
    <row r="851" spans="1:15" ht="13.5" customHeight="1" x14ac:dyDescent="0.25">
      <c r="A851" s="1"/>
      <c r="B851" s="20">
        <v>839</v>
      </c>
      <c r="C851" s="20">
        <v>2023</v>
      </c>
      <c r="D851" s="20">
        <v>15012</v>
      </c>
      <c r="E851" s="20" t="s">
        <v>3284</v>
      </c>
      <c r="F851" s="20" t="s">
        <v>3285</v>
      </c>
      <c r="G851" s="20" t="s">
        <v>3286</v>
      </c>
      <c r="H851" s="20" t="s">
        <v>3287</v>
      </c>
      <c r="I851" s="20" t="s">
        <v>357</v>
      </c>
      <c r="J851" s="21">
        <v>2009</v>
      </c>
      <c r="K851" s="20" t="s">
        <v>39</v>
      </c>
      <c r="L851" s="21" t="s">
        <v>30</v>
      </c>
      <c r="M851" s="21"/>
      <c r="N851" s="20"/>
      <c r="O851" s="20"/>
    </row>
    <row r="852" spans="1:15" ht="13.5" customHeight="1" x14ac:dyDescent="0.25">
      <c r="A852" s="1"/>
      <c r="B852" s="22">
        <v>840</v>
      </c>
      <c r="C852" s="22">
        <v>2023</v>
      </c>
      <c r="D852" s="22">
        <v>12105</v>
      </c>
      <c r="E852" s="22" t="s">
        <v>3288</v>
      </c>
      <c r="F852" s="22" t="s">
        <v>3289</v>
      </c>
      <c r="G852" s="22"/>
      <c r="H852" s="22" t="s">
        <v>3290</v>
      </c>
      <c r="I852" s="22" t="s">
        <v>23</v>
      </c>
      <c r="J852" s="23">
        <v>2007</v>
      </c>
      <c r="K852" s="22" t="s">
        <v>39</v>
      </c>
      <c r="L852" s="23"/>
      <c r="M852" s="23" t="s">
        <v>30</v>
      </c>
      <c r="N852" s="22" t="s">
        <v>245</v>
      </c>
      <c r="O852" s="22"/>
    </row>
    <row r="853" spans="1:15" ht="13.5" customHeight="1" x14ac:dyDescent="0.25">
      <c r="A853" s="1"/>
      <c r="B853" s="20">
        <v>841</v>
      </c>
      <c r="C853" s="20">
        <v>2023</v>
      </c>
      <c r="D853" s="20">
        <v>12553</v>
      </c>
      <c r="E853" s="20" t="s">
        <v>3291</v>
      </c>
      <c r="F853" s="20" t="s">
        <v>3292</v>
      </c>
      <c r="G853" s="20" t="s">
        <v>3293</v>
      </c>
      <c r="H853" s="20" t="s">
        <v>3294</v>
      </c>
      <c r="I853" s="20" t="s">
        <v>23</v>
      </c>
      <c r="J853" s="21">
        <v>2011</v>
      </c>
      <c r="K853" s="20" t="s">
        <v>67</v>
      </c>
      <c r="L853" s="21" t="s">
        <v>30</v>
      </c>
      <c r="M853" s="21"/>
      <c r="N853" s="20" t="s">
        <v>250</v>
      </c>
      <c r="O853" s="20"/>
    </row>
    <row r="854" spans="1:15" ht="13.5" customHeight="1" x14ac:dyDescent="0.25">
      <c r="A854" s="1"/>
      <c r="B854" s="22">
        <v>842</v>
      </c>
      <c r="C854" s="22">
        <v>2023</v>
      </c>
      <c r="D854" s="22">
        <v>10728</v>
      </c>
      <c r="E854" s="22" t="s">
        <v>3295</v>
      </c>
      <c r="F854" s="22" t="s">
        <v>3296</v>
      </c>
      <c r="G854" s="22" t="s">
        <v>3297</v>
      </c>
      <c r="H854" s="22" t="s">
        <v>3298</v>
      </c>
      <c r="I854" s="22" t="s">
        <v>23</v>
      </c>
      <c r="J854" s="23">
        <v>2000</v>
      </c>
      <c r="K854" s="22" t="s">
        <v>39</v>
      </c>
      <c r="L854" s="23" t="s">
        <v>30</v>
      </c>
      <c r="M854" s="23" t="s">
        <v>30</v>
      </c>
      <c r="N854" s="22"/>
      <c r="O854" s="22"/>
    </row>
    <row r="855" spans="1:15" ht="13.5" customHeight="1" x14ac:dyDescent="0.25">
      <c r="A855" s="1"/>
      <c r="B855" s="20">
        <v>843</v>
      </c>
      <c r="C855" s="20">
        <v>2023</v>
      </c>
      <c r="D855" s="20">
        <v>10729</v>
      </c>
      <c r="E855" s="20" t="s">
        <v>3299</v>
      </c>
      <c r="F855" s="20" t="s">
        <v>3300</v>
      </c>
      <c r="G855" s="20" t="s">
        <v>3301</v>
      </c>
      <c r="H855" s="20" t="s">
        <v>3302</v>
      </c>
      <c r="I855" s="20" t="s">
        <v>23</v>
      </c>
      <c r="J855" s="21">
        <v>2000</v>
      </c>
      <c r="K855" s="20" t="s">
        <v>29</v>
      </c>
      <c r="L855" s="21" t="s">
        <v>30</v>
      </c>
      <c r="M855" s="21" t="s">
        <v>30</v>
      </c>
      <c r="N855" s="20"/>
      <c r="O855" s="20"/>
    </row>
    <row r="856" spans="1:15" ht="13.5" customHeight="1" x14ac:dyDescent="0.25">
      <c r="A856" s="1"/>
      <c r="B856" s="22">
        <v>844</v>
      </c>
      <c r="C856" s="22">
        <v>2023</v>
      </c>
      <c r="D856" s="22">
        <v>13755</v>
      </c>
      <c r="E856" s="22" t="s">
        <v>3303</v>
      </c>
      <c r="F856" s="22" t="s">
        <v>3304</v>
      </c>
      <c r="G856" s="22"/>
      <c r="H856" s="22" t="s">
        <v>3305</v>
      </c>
      <c r="I856" s="22" t="s">
        <v>23</v>
      </c>
      <c r="J856" s="23">
        <v>2013</v>
      </c>
      <c r="K856" s="22" t="s">
        <v>114</v>
      </c>
      <c r="L856" s="23"/>
      <c r="M856" s="23"/>
      <c r="N856" s="22"/>
      <c r="O856" s="22"/>
    </row>
    <row r="857" spans="1:15" ht="13.5" customHeight="1" x14ac:dyDescent="0.25">
      <c r="A857" s="1"/>
      <c r="B857" s="20">
        <v>845</v>
      </c>
      <c r="C857" s="20">
        <v>2023</v>
      </c>
      <c r="D857" s="20">
        <v>10742</v>
      </c>
      <c r="E857" s="20" t="s">
        <v>3306</v>
      </c>
      <c r="F857" s="20" t="s">
        <v>3307</v>
      </c>
      <c r="G857" s="20" t="s">
        <v>3308</v>
      </c>
      <c r="H857" s="20" t="s">
        <v>3309</v>
      </c>
      <c r="I857" s="20" t="s">
        <v>23</v>
      </c>
      <c r="J857" s="21">
        <v>2000</v>
      </c>
      <c r="K857" s="20" t="s">
        <v>39</v>
      </c>
      <c r="L857" s="21" t="s">
        <v>30</v>
      </c>
      <c r="M857" s="21" t="s">
        <v>30</v>
      </c>
      <c r="N857" s="20"/>
      <c r="O857" s="20"/>
    </row>
    <row r="858" spans="1:15" ht="13.5" customHeight="1" x14ac:dyDescent="0.25">
      <c r="A858" s="1"/>
      <c r="B858" s="22">
        <v>846</v>
      </c>
      <c r="C858" s="22">
        <v>2023</v>
      </c>
      <c r="D858" s="22">
        <v>380</v>
      </c>
      <c r="E858" s="22" t="s">
        <v>3310</v>
      </c>
      <c r="F858" s="22" t="s">
        <v>3311</v>
      </c>
      <c r="G858" s="22" t="s">
        <v>3312</v>
      </c>
      <c r="H858" s="22" t="s">
        <v>3313</v>
      </c>
      <c r="I858" s="22" t="s">
        <v>23</v>
      </c>
      <c r="J858" s="23">
        <v>2000</v>
      </c>
      <c r="K858" s="22" t="s">
        <v>39</v>
      </c>
      <c r="L858" s="23" t="s">
        <v>30</v>
      </c>
      <c r="M858" s="23" t="s">
        <v>30</v>
      </c>
      <c r="N858" s="22"/>
      <c r="O858" s="22"/>
    </row>
    <row r="859" spans="1:15" ht="13.5" customHeight="1" x14ac:dyDescent="0.25">
      <c r="A859" s="1"/>
      <c r="B859" s="20">
        <v>847</v>
      </c>
      <c r="C859" s="20">
        <v>2023</v>
      </c>
      <c r="D859" s="20">
        <v>10741</v>
      </c>
      <c r="E859" s="20" t="s">
        <v>3314</v>
      </c>
      <c r="F859" s="20" t="s">
        <v>3315</v>
      </c>
      <c r="G859" s="20"/>
      <c r="H859" s="20" t="s">
        <v>3316</v>
      </c>
      <c r="I859" s="20" t="s">
        <v>23</v>
      </c>
      <c r="J859" s="21">
        <v>2000</v>
      </c>
      <c r="K859" s="20" t="s">
        <v>39</v>
      </c>
      <c r="L859" s="21"/>
      <c r="M859" s="21" t="s">
        <v>30</v>
      </c>
      <c r="N859" s="20"/>
      <c r="O859" s="20"/>
    </row>
    <row r="860" spans="1:15" ht="13.5" customHeight="1" x14ac:dyDescent="0.25">
      <c r="A860" s="1"/>
      <c r="B860" s="22">
        <v>848</v>
      </c>
      <c r="C860" s="22">
        <v>2023</v>
      </c>
      <c r="D860" s="22">
        <v>231</v>
      </c>
      <c r="E860" s="22" t="s">
        <v>3317</v>
      </c>
      <c r="F860" s="22" t="s">
        <v>3318</v>
      </c>
      <c r="G860" s="22" t="s">
        <v>3319</v>
      </c>
      <c r="H860" s="22" t="s">
        <v>3320</v>
      </c>
      <c r="I860" s="22" t="s">
        <v>23</v>
      </c>
      <c r="J860" s="23">
        <v>2000</v>
      </c>
      <c r="K860" s="22" t="s">
        <v>67</v>
      </c>
      <c r="L860" s="23" t="s">
        <v>30</v>
      </c>
      <c r="M860" s="23" t="s">
        <v>30</v>
      </c>
      <c r="N860" s="22"/>
      <c r="O860" s="22"/>
    </row>
    <row r="861" spans="1:15" ht="13.5" customHeight="1" x14ac:dyDescent="0.25">
      <c r="A861" s="1"/>
      <c r="B861" s="20">
        <v>849</v>
      </c>
      <c r="C861" s="20">
        <v>2023</v>
      </c>
      <c r="D861" s="20">
        <v>43877</v>
      </c>
      <c r="E861" s="20" t="s">
        <v>3321</v>
      </c>
      <c r="F861" s="20" t="s">
        <v>3322</v>
      </c>
      <c r="G861" s="20" t="s">
        <v>3323</v>
      </c>
      <c r="H861" s="20" t="s">
        <v>3324</v>
      </c>
      <c r="I861" s="20" t="s">
        <v>357</v>
      </c>
      <c r="J861" s="21">
        <v>2020</v>
      </c>
      <c r="K861" s="20" t="s">
        <v>39</v>
      </c>
      <c r="L861" s="21" t="s">
        <v>30</v>
      </c>
      <c r="M861" s="21"/>
      <c r="N861" s="20" t="s">
        <v>236</v>
      </c>
      <c r="O861" s="20"/>
    </row>
    <row r="862" spans="1:15" ht="13.5" customHeight="1" x14ac:dyDescent="0.25">
      <c r="A862" s="1"/>
      <c r="B862" s="22">
        <v>850</v>
      </c>
      <c r="C862" s="22">
        <v>2023</v>
      </c>
      <c r="D862" s="22">
        <v>10730</v>
      </c>
      <c r="E862" s="22" t="s">
        <v>3325</v>
      </c>
      <c r="F862" s="22" t="s">
        <v>3326</v>
      </c>
      <c r="G862" s="22" t="s">
        <v>3327</v>
      </c>
      <c r="H862" s="22" t="s">
        <v>3328</v>
      </c>
      <c r="I862" s="22" t="s">
        <v>23</v>
      </c>
      <c r="J862" s="23">
        <v>2000</v>
      </c>
      <c r="K862" s="22" t="s">
        <v>73</v>
      </c>
      <c r="L862" s="23" t="s">
        <v>30</v>
      </c>
      <c r="M862" s="23" t="s">
        <v>30</v>
      </c>
      <c r="N862" s="22"/>
      <c r="O862" s="22"/>
    </row>
    <row r="863" spans="1:15" ht="13.5" customHeight="1" x14ac:dyDescent="0.25">
      <c r="A863" s="1"/>
      <c r="B863" s="20">
        <v>851</v>
      </c>
      <c r="C863" s="20">
        <v>2023</v>
      </c>
      <c r="D863" s="20">
        <v>58</v>
      </c>
      <c r="E863" s="20" t="s">
        <v>3329</v>
      </c>
      <c r="F863" s="20" t="s">
        <v>3330</v>
      </c>
      <c r="G863" s="20" t="s">
        <v>3331</v>
      </c>
      <c r="H863" s="20" t="s">
        <v>3332</v>
      </c>
      <c r="I863" s="20" t="s">
        <v>357</v>
      </c>
      <c r="J863" s="21">
        <v>2008</v>
      </c>
      <c r="K863" s="20" t="s">
        <v>39</v>
      </c>
      <c r="L863" s="21" t="s">
        <v>30</v>
      </c>
      <c r="M863" s="21" t="s">
        <v>30</v>
      </c>
      <c r="N863" s="20"/>
      <c r="O863" s="20"/>
    </row>
    <row r="864" spans="1:15" ht="13.5" customHeight="1" x14ac:dyDescent="0.25">
      <c r="A864" s="1"/>
      <c r="B864" s="22">
        <v>852</v>
      </c>
      <c r="C864" s="22">
        <v>2023</v>
      </c>
      <c r="D864" s="22">
        <v>16024</v>
      </c>
      <c r="E864" s="22" t="s">
        <v>3333</v>
      </c>
      <c r="F864" s="22" t="s">
        <v>3334</v>
      </c>
      <c r="G864" s="22"/>
      <c r="H864" s="22" t="s">
        <v>3335</v>
      </c>
      <c r="I864" s="22" t="s">
        <v>357</v>
      </c>
      <c r="J864" s="23">
        <v>2010</v>
      </c>
      <c r="K864" s="22" t="s">
        <v>39</v>
      </c>
      <c r="L864" s="23"/>
      <c r="M864" s="23"/>
      <c r="N864" s="22" t="s">
        <v>1310</v>
      </c>
      <c r="O864" s="22"/>
    </row>
    <row r="865" spans="1:15" ht="13.5" customHeight="1" x14ac:dyDescent="0.25">
      <c r="A865" s="1"/>
      <c r="B865" s="20">
        <v>853</v>
      </c>
      <c r="C865" s="20">
        <v>2023</v>
      </c>
      <c r="D865" s="20">
        <v>12072</v>
      </c>
      <c r="E865" s="20" t="s">
        <v>3336</v>
      </c>
      <c r="F865" s="20" t="s">
        <v>3337</v>
      </c>
      <c r="G865" s="20" t="s">
        <v>3338</v>
      </c>
      <c r="H865" s="20" t="s">
        <v>3339</v>
      </c>
      <c r="I865" s="20" t="s">
        <v>23</v>
      </c>
      <c r="J865" s="21">
        <v>2007</v>
      </c>
      <c r="K865" s="20" t="s">
        <v>39</v>
      </c>
      <c r="L865" s="21" t="s">
        <v>30</v>
      </c>
      <c r="M865" s="21" t="s">
        <v>30</v>
      </c>
      <c r="N865" s="20" t="s">
        <v>245</v>
      </c>
      <c r="O865" s="20"/>
    </row>
    <row r="866" spans="1:15" ht="13.5" customHeight="1" x14ac:dyDescent="0.25">
      <c r="A866" s="1"/>
      <c r="B866" s="22">
        <v>854</v>
      </c>
      <c r="C866" s="22">
        <v>2023</v>
      </c>
      <c r="D866" s="22">
        <v>11480</v>
      </c>
      <c r="E866" s="22" t="s">
        <v>3340</v>
      </c>
      <c r="F866" s="22" t="s">
        <v>3341</v>
      </c>
      <c r="G866" s="22" t="s">
        <v>3342</v>
      </c>
      <c r="H866" s="22" t="s">
        <v>3343</v>
      </c>
      <c r="I866" s="22" t="s">
        <v>62</v>
      </c>
      <c r="J866" s="23">
        <v>2006</v>
      </c>
      <c r="K866" s="22" t="s">
        <v>95</v>
      </c>
      <c r="L866" s="23" t="s">
        <v>30</v>
      </c>
      <c r="M866" s="23" t="s">
        <v>30</v>
      </c>
      <c r="N866" s="22"/>
      <c r="O866" s="22"/>
    </row>
    <row r="867" spans="1:15" ht="13.5" customHeight="1" x14ac:dyDescent="0.25">
      <c r="A867" s="1"/>
      <c r="B867" s="20">
        <v>855</v>
      </c>
      <c r="C867" s="20">
        <v>2023</v>
      </c>
      <c r="D867" s="20">
        <v>10029</v>
      </c>
      <c r="E867" s="20" t="s">
        <v>3344</v>
      </c>
      <c r="F867" s="20" t="s">
        <v>3345</v>
      </c>
      <c r="G867" s="20"/>
      <c r="H867" s="20" t="s">
        <v>3346</v>
      </c>
      <c r="I867" s="20" t="s">
        <v>23</v>
      </c>
      <c r="J867" s="21">
        <v>2000</v>
      </c>
      <c r="K867" s="20" t="s">
        <v>39</v>
      </c>
      <c r="L867" s="21"/>
      <c r="M867" s="21" t="s">
        <v>30</v>
      </c>
      <c r="N867" s="20"/>
      <c r="O867" s="20"/>
    </row>
    <row r="868" spans="1:15" ht="13.5" customHeight="1" x14ac:dyDescent="0.25">
      <c r="A868" s="1"/>
      <c r="B868" s="22">
        <v>856</v>
      </c>
      <c r="C868" s="22">
        <v>2023</v>
      </c>
      <c r="D868" s="22">
        <v>59</v>
      </c>
      <c r="E868" s="22" t="s">
        <v>3347</v>
      </c>
      <c r="F868" s="22" t="s">
        <v>3348</v>
      </c>
      <c r="G868" s="22" t="s">
        <v>3349</v>
      </c>
      <c r="H868" s="22" t="s">
        <v>3350</v>
      </c>
      <c r="I868" s="22" t="s">
        <v>357</v>
      </c>
      <c r="J868" s="23">
        <v>2000</v>
      </c>
      <c r="K868" s="22" t="s">
        <v>39</v>
      </c>
      <c r="L868" s="23" t="s">
        <v>30</v>
      </c>
      <c r="M868" s="23" t="s">
        <v>30</v>
      </c>
      <c r="N868" s="22"/>
      <c r="O868" s="22"/>
    </row>
    <row r="869" spans="1:15" ht="13.5" customHeight="1" x14ac:dyDescent="0.25">
      <c r="A869" s="1"/>
      <c r="B869" s="20">
        <v>857</v>
      </c>
      <c r="C869" s="20">
        <v>2023</v>
      </c>
      <c r="D869" s="20">
        <v>399</v>
      </c>
      <c r="E869" s="20" t="s">
        <v>3351</v>
      </c>
      <c r="F869" s="20" t="s">
        <v>3352</v>
      </c>
      <c r="G869" s="20" t="s">
        <v>3353</v>
      </c>
      <c r="H869" s="20" t="s">
        <v>3354</v>
      </c>
      <c r="I869" s="20" t="s">
        <v>357</v>
      </c>
      <c r="J869" s="21">
        <v>2000</v>
      </c>
      <c r="K869" s="20" t="s">
        <v>39</v>
      </c>
      <c r="L869" s="21" t="s">
        <v>30</v>
      </c>
      <c r="M869" s="21" t="s">
        <v>30</v>
      </c>
      <c r="N869" s="20"/>
      <c r="O869" s="20"/>
    </row>
    <row r="870" spans="1:15" ht="13.5" customHeight="1" x14ac:dyDescent="0.25">
      <c r="A870" s="1"/>
      <c r="B870" s="22">
        <v>858</v>
      </c>
      <c r="C870" s="22">
        <v>2023</v>
      </c>
      <c r="D870" s="22">
        <v>10733</v>
      </c>
      <c r="E870" s="22" t="s">
        <v>3355</v>
      </c>
      <c r="F870" s="22" t="s">
        <v>3356</v>
      </c>
      <c r="G870" s="22" t="s">
        <v>3357</v>
      </c>
      <c r="H870" s="22" t="s">
        <v>3358</v>
      </c>
      <c r="I870" s="22" t="s">
        <v>62</v>
      </c>
      <c r="J870" s="23">
        <v>2000</v>
      </c>
      <c r="K870" s="22" t="s">
        <v>24</v>
      </c>
      <c r="L870" s="23" t="s">
        <v>30</v>
      </c>
      <c r="M870" s="23" t="s">
        <v>30</v>
      </c>
      <c r="N870" s="22"/>
      <c r="O870" s="22"/>
    </row>
    <row r="871" spans="1:15" ht="13.5" customHeight="1" x14ac:dyDescent="0.25">
      <c r="A871" s="1"/>
      <c r="B871" s="20">
        <v>859</v>
      </c>
      <c r="C871" s="20">
        <v>2023</v>
      </c>
      <c r="D871" s="20">
        <v>44210</v>
      </c>
      <c r="E871" s="20" t="s">
        <v>3359</v>
      </c>
      <c r="F871" s="20" t="s">
        <v>3360</v>
      </c>
      <c r="G871" s="20" t="s">
        <v>3361</v>
      </c>
      <c r="H871" s="20" t="s">
        <v>3362</v>
      </c>
      <c r="I871" s="20" t="s">
        <v>23</v>
      </c>
      <c r="J871" s="21"/>
      <c r="K871" s="20" t="s">
        <v>24</v>
      </c>
      <c r="L871" s="21" t="s">
        <v>30</v>
      </c>
      <c r="M871" s="21"/>
      <c r="N871" s="20" t="s">
        <v>518</v>
      </c>
      <c r="O871" s="20"/>
    </row>
    <row r="872" spans="1:15" ht="13.5" customHeight="1" x14ac:dyDescent="0.25">
      <c r="A872" s="1"/>
      <c r="B872" s="22">
        <v>860</v>
      </c>
      <c r="C872" s="22">
        <v>2023</v>
      </c>
      <c r="D872" s="22">
        <v>10740</v>
      </c>
      <c r="E872" s="22" t="s">
        <v>3363</v>
      </c>
      <c r="F872" s="22" t="s">
        <v>3364</v>
      </c>
      <c r="G872" s="22" t="s">
        <v>3365</v>
      </c>
      <c r="H872" s="22" t="s">
        <v>3366</v>
      </c>
      <c r="I872" s="22" t="s">
        <v>62</v>
      </c>
      <c r="J872" s="23">
        <v>2000</v>
      </c>
      <c r="K872" s="22" t="s">
        <v>63</v>
      </c>
      <c r="L872" s="23" t="s">
        <v>30</v>
      </c>
      <c r="M872" s="23" t="s">
        <v>30</v>
      </c>
      <c r="N872" s="22"/>
      <c r="O872" s="22"/>
    </row>
    <row r="873" spans="1:15" ht="13.5" customHeight="1" x14ac:dyDescent="0.25">
      <c r="A873" s="1"/>
      <c r="B873" s="20">
        <v>861</v>
      </c>
      <c r="C873" s="20">
        <v>2023</v>
      </c>
      <c r="D873" s="20">
        <v>10734</v>
      </c>
      <c r="E873" s="20" t="s">
        <v>3367</v>
      </c>
      <c r="F873" s="20" t="s">
        <v>3368</v>
      </c>
      <c r="G873" s="20" t="s">
        <v>3369</v>
      </c>
      <c r="H873" s="20" t="s">
        <v>3370</v>
      </c>
      <c r="I873" s="20" t="s">
        <v>23</v>
      </c>
      <c r="J873" s="21">
        <v>2000</v>
      </c>
      <c r="K873" s="20" t="s">
        <v>73</v>
      </c>
      <c r="L873" s="21" t="s">
        <v>30</v>
      </c>
      <c r="M873" s="21" t="s">
        <v>30</v>
      </c>
      <c r="N873" s="20"/>
      <c r="O873" s="20"/>
    </row>
    <row r="874" spans="1:15" ht="13.5" customHeight="1" x14ac:dyDescent="0.25">
      <c r="A874" s="1"/>
      <c r="B874" s="22">
        <v>862</v>
      </c>
      <c r="C874" s="22">
        <v>2023</v>
      </c>
      <c r="D874" s="22">
        <v>418</v>
      </c>
      <c r="E874" s="22" t="s">
        <v>3371</v>
      </c>
      <c r="F874" s="22" t="s">
        <v>3372</v>
      </c>
      <c r="G874" s="22" t="s">
        <v>3373</v>
      </c>
      <c r="H874" s="22" t="s">
        <v>3374</v>
      </c>
      <c r="I874" s="22" t="s">
        <v>23</v>
      </c>
      <c r="J874" s="23">
        <v>2000</v>
      </c>
      <c r="K874" s="22" t="s">
        <v>34</v>
      </c>
      <c r="L874" s="23" t="s">
        <v>30</v>
      </c>
      <c r="M874" s="23" t="s">
        <v>30</v>
      </c>
      <c r="N874" s="22"/>
      <c r="O874" s="22"/>
    </row>
    <row r="875" spans="1:15" ht="13.5" customHeight="1" x14ac:dyDescent="0.25">
      <c r="A875" s="1"/>
      <c r="B875" s="20">
        <v>863</v>
      </c>
      <c r="C875" s="20">
        <v>2023</v>
      </c>
      <c r="D875" s="20">
        <v>41636</v>
      </c>
      <c r="E875" s="20" t="s">
        <v>3375</v>
      </c>
      <c r="F875" s="20" t="s">
        <v>3376</v>
      </c>
      <c r="G875" s="20" t="s">
        <v>3377</v>
      </c>
      <c r="H875" s="20" t="s">
        <v>3378</v>
      </c>
      <c r="I875" s="20" t="s">
        <v>23</v>
      </c>
      <c r="J875" s="21">
        <v>2000</v>
      </c>
      <c r="K875" s="20" t="s">
        <v>184</v>
      </c>
      <c r="L875" s="21" t="s">
        <v>30</v>
      </c>
      <c r="M875" s="21"/>
      <c r="N875" s="20" t="s">
        <v>105</v>
      </c>
      <c r="O875" s="20"/>
    </row>
    <row r="876" spans="1:15" ht="13.5" customHeight="1" x14ac:dyDescent="0.25">
      <c r="A876" s="1"/>
      <c r="B876" s="22">
        <v>864</v>
      </c>
      <c r="C876" s="22">
        <v>2023</v>
      </c>
      <c r="D876" s="22">
        <v>40656</v>
      </c>
      <c r="E876" s="22" t="s">
        <v>3379</v>
      </c>
      <c r="F876" s="22" t="s">
        <v>3380</v>
      </c>
      <c r="G876" s="22" t="s">
        <v>3381</v>
      </c>
      <c r="H876" s="22" t="s">
        <v>3382</v>
      </c>
      <c r="I876" s="22" t="s">
        <v>23</v>
      </c>
      <c r="J876" s="23">
        <v>2014</v>
      </c>
      <c r="K876" s="22" t="s">
        <v>73</v>
      </c>
      <c r="L876" s="23" t="s">
        <v>30</v>
      </c>
      <c r="M876" s="23"/>
      <c r="N876" s="22" t="s">
        <v>53</v>
      </c>
      <c r="O876" s="22"/>
    </row>
    <row r="877" spans="1:15" ht="13.5" customHeight="1" x14ac:dyDescent="0.25">
      <c r="A877" s="1"/>
      <c r="B877" s="20">
        <v>865</v>
      </c>
      <c r="C877" s="20">
        <v>2023</v>
      </c>
      <c r="D877" s="20">
        <v>40702</v>
      </c>
      <c r="E877" s="20" t="s">
        <v>3383</v>
      </c>
      <c r="F877" s="20" t="s">
        <v>3384</v>
      </c>
      <c r="G877" s="20" t="s">
        <v>3385</v>
      </c>
      <c r="H877" s="20" t="s">
        <v>3386</v>
      </c>
      <c r="I877" s="20" t="s">
        <v>190</v>
      </c>
      <c r="J877" s="21">
        <v>2007</v>
      </c>
      <c r="K877" s="20" t="s">
        <v>114</v>
      </c>
      <c r="L877" s="21" t="s">
        <v>30</v>
      </c>
      <c r="M877" s="21"/>
      <c r="N877" s="20" t="s">
        <v>53</v>
      </c>
      <c r="O877" s="20"/>
    </row>
    <row r="878" spans="1:15" ht="13.5" customHeight="1" x14ac:dyDescent="0.25">
      <c r="A878" s="1"/>
      <c r="B878" s="22">
        <v>866</v>
      </c>
      <c r="C878" s="22">
        <v>2023</v>
      </c>
      <c r="D878" s="22">
        <v>106</v>
      </c>
      <c r="E878" s="22" t="s">
        <v>3387</v>
      </c>
      <c r="F878" s="22" t="s">
        <v>3388</v>
      </c>
      <c r="G878" s="22" t="s">
        <v>3389</v>
      </c>
      <c r="H878" s="22" t="s">
        <v>3390</v>
      </c>
      <c r="I878" s="22" t="s">
        <v>357</v>
      </c>
      <c r="J878" s="23">
        <v>2000</v>
      </c>
      <c r="K878" s="22" t="s">
        <v>39</v>
      </c>
      <c r="L878" s="23" t="s">
        <v>30</v>
      </c>
      <c r="M878" s="23" t="s">
        <v>30</v>
      </c>
      <c r="N878" s="22"/>
      <c r="O878" s="22"/>
    </row>
    <row r="879" spans="1:15" ht="13.5" customHeight="1" x14ac:dyDescent="0.25">
      <c r="A879" s="1"/>
      <c r="B879" s="20">
        <v>867</v>
      </c>
      <c r="C879" s="20">
        <v>2023</v>
      </c>
      <c r="D879" s="20">
        <v>60</v>
      </c>
      <c r="E879" s="20" t="s">
        <v>3391</v>
      </c>
      <c r="F879" s="20" t="s">
        <v>3392</v>
      </c>
      <c r="G879" s="20" t="s">
        <v>3393</v>
      </c>
      <c r="H879" s="20" t="s">
        <v>3394</v>
      </c>
      <c r="I879" s="20" t="s">
        <v>357</v>
      </c>
      <c r="J879" s="21">
        <v>2009</v>
      </c>
      <c r="K879" s="20" t="s">
        <v>39</v>
      </c>
      <c r="L879" s="21" t="s">
        <v>30</v>
      </c>
      <c r="M879" s="21"/>
      <c r="N879" s="20"/>
      <c r="O879" s="20"/>
    </row>
    <row r="880" spans="1:15" ht="13.5" customHeight="1" x14ac:dyDescent="0.25">
      <c r="A880" s="1"/>
      <c r="B880" s="22">
        <v>868</v>
      </c>
      <c r="C880" s="22">
        <v>2023</v>
      </c>
      <c r="D880" s="22">
        <v>41412</v>
      </c>
      <c r="E880" s="22" t="s">
        <v>3395</v>
      </c>
      <c r="F880" s="22" t="s">
        <v>3396</v>
      </c>
      <c r="G880" s="22"/>
      <c r="H880" s="22" t="s">
        <v>3397</v>
      </c>
      <c r="I880" s="22" t="s">
        <v>23</v>
      </c>
      <c r="J880" s="23">
        <v>2016</v>
      </c>
      <c r="K880" s="22" t="s">
        <v>475</v>
      </c>
      <c r="L880" s="23"/>
      <c r="M880" s="23"/>
      <c r="N880" s="22" t="s">
        <v>1470</v>
      </c>
      <c r="O880" s="22"/>
    </row>
    <row r="881" spans="1:15" ht="13.5" customHeight="1" x14ac:dyDescent="0.25">
      <c r="A881" s="1"/>
      <c r="B881" s="20">
        <v>869</v>
      </c>
      <c r="C881" s="20">
        <v>2023</v>
      </c>
      <c r="D881" s="20">
        <v>42000</v>
      </c>
      <c r="E881" s="20" t="s">
        <v>3398</v>
      </c>
      <c r="F881" s="20" t="s">
        <v>3399</v>
      </c>
      <c r="G881" s="20"/>
      <c r="H881" s="20" t="s">
        <v>3400</v>
      </c>
      <c r="I881" s="20" t="s">
        <v>23</v>
      </c>
      <c r="J881" s="21">
        <v>2008</v>
      </c>
      <c r="K881" s="20" t="s">
        <v>39</v>
      </c>
      <c r="L881" s="21"/>
      <c r="M881" s="21"/>
      <c r="N881" s="20" t="s">
        <v>151</v>
      </c>
      <c r="O881" s="20"/>
    </row>
    <row r="882" spans="1:15" ht="13.5" customHeight="1" x14ac:dyDescent="0.25">
      <c r="A882" s="1"/>
      <c r="B882" s="22">
        <v>870</v>
      </c>
      <c r="C882" s="22">
        <v>2023</v>
      </c>
      <c r="D882" s="22">
        <v>13580</v>
      </c>
      <c r="E882" s="22" t="s">
        <v>3401</v>
      </c>
      <c r="F882" s="22" t="s">
        <v>3402</v>
      </c>
      <c r="G882" s="22" t="s">
        <v>3403</v>
      </c>
      <c r="H882" s="22" t="s">
        <v>3404</v>
      </c>
      <c r="I882" s="22" t="s">
        <v>23</v>
      </c>
      <c r="J882" s="23">
        <v>2011</v>
      </c>
      <c r="K882" s="22" t="s">
        <v>34</v>
      </c>
      <c r="L882" s="23" t="s">
        <v>30</v>
      </c>
      <c r="M882" s="23"/>
      <c r="N882" s="22" t="s">
        <v>275</v>
      </c>
      <c r="O882" s="22"/>
    </row>
    <row r="883" spans="1:15" ht="13.5" customHeight="1" x14ac:dyDescent="0.25">
      <c r="A883" s="1"/>
      <c r="B883" s="20">
        <v>871</v>
      </c>
      <c r="C883" s="20">
        <v>2023</v>
      </c>
      <c r="D883" s="20">
        <v>42087</v>
      </c>
      <c r="E883" s="20" t="s">
        <v>3405</v>
      </c>
      <c r="F883" s="20" t="s">
        <v>3406</v>
      </c>
      <c r="G883" s="20" t="s">
        <v>3407</v>
      </c>
      <c r="H883" s="20" t="s">
        <v>3408</v>
      </c>
      <c r="I883" s="20" t="s">
        <v>23</v>
      </c>
      <c r="J883" s="21">
        <v>2018</v>
      </c>
      <c r="K883" s="20" t="s">
        <v>203</v>
      </c>
      <c r="L883" s="21" t="s">
        <v>30</v>
      </c>
      <c r="M883" s="21"/>
      <c r="N883" s="20" t="s">
        <v>213</v>
      </c>
      <c r="O883" s="20"/>
    </row>
    <row r="884" spans="1:15" ht="13.5" customHeight="1" x14ac:dyDescent="0.25">
      <c r="A884" s="1"/>
      <c r="B884" s="22">
        <v>872</v>
      </c>
      <c r="C884" s="22">
        <v>2023</v>
      </c>
      <c r="D884" s="22">
        <v>13577</v>
      </c>
      <c r="E884" s="22" t="s">
        <v>3409</v>
      </c>
      <c r="F884" s="22" t="s">
        <v>3410</v>
      </c>
      <c r="G884" s="22"/>
      <c r="H884" s="22" t="s">
        <v>3411</v>
      </c>
      <c r="I884" s="22" t="s">
        <v>23</v>
      </c>
      <c r="J884" s="23">
        <v>2002</v>
      </c>
      <c r="K884" s="22" t="s">
        <v>34</v>
      </c>
      <c r="L884" s="23"/>
      <c r="M884" s="23"/>
      <c r="N884" s="22" t="s">
        <v>275</v>
      </c>
      <c r="O884" s="22"/>
    </row>
    <row r="885" spans="1:15" ht="13.5" customHeight="1" x14ac:dyDescent="0.25">
      <c r="A885" s="1"/>
      <c r="B885" s="20">
        <v>873</v>
      </c>
      <c r="C885" s="20">
        <v>2023</v>
      </c>
      <c r="D885" s="20">
        <v>10745</v>
      </c>
      <c r="E885" s="20" t="s">
        <v>3412</v>
      </c>
      <c r="F885" s="20" t="s">
        <v>3413</v>
      </c>
      <c r="G885" s="20" t="s">
        <v>3414</v>
      </c>
      <c r="H885" s="20" t="s">
        <v>3415</v>
      </c>
      <c r="I885" s="20" t="s">
        <v>23</v>
      </c>
      <c r="J885" s="21">
        <v>2000</v>
      </c>
      <c r="K885" s="20" t="s">
        <v>184</v>
      </c>
      <c r="L885" s="21" t="s">
        <v>30</v>
      </c>
      <c r="M885" s="21" t="s">
        <v>30</v>
      </c>
      <c r="N885" s="20"/>
      <c r="O885" s="20"/>
    </row>
    <row r="886" spans="1:15" ht="13.5" customHeight="1" x14ac:dyDescent="0.25">
      <c r="A886" s="1"/>
      <c r="B886" s="22">
        <v>874</v>
      </c>
      <c r="C886" s="22">
        <v>2023</v>
      </c>
      <c r="D886" s="22">
        <v>41314</v>
      </c>
      <c r="E886" s="22" t="s">
        <v>3416</v>
      </c>
      <c r="F886" s="22" t="s">
        <v>3417</v>
      </c>
      <c r="G886" s="22" t="s">
        <v>3418</v>
      </c>
      <c r="H886" s="22" t="s">
        <v>3419</v>
      </c>
      <c r="I886" s="22" t="s">
        <v>23</v>
      </c>
      <c r="J886" s="23">
        <v>2017</v>
      </c>
      <c r="K886" s="22" t="s">
        <v>67</v>
      </c>
      <c r="L886" s="23" t="s">
        <v>30</v>
      </c>
      <c r="M886" s="23"/>
      <c r="N886" s="22" t="s">
        <v>265</v>
      </c>
      <c r="O886" s="22"/>
    </row>
    <row r="887" spans="1:15" ht="13.5" customHeight="1" x14ac:dyDescent="0.25">
      <c r="A887" s="1"/>
      <c r="B887" s="20">
        <v>875</v>
      </c>
      <c r="C887" s="20">
        <v>2023</v>
      </c>
      <c r="D887" s="20">
        <v>439</v>
      </c>
      <c r="E887" s="20" t="s">
        <v>3420</v>
      </c>
      <c r="F887" s="20" t="s">
        <v>3421</v>
      </c>
      <c r="G887" s="20" t="s">
        <v>3422</v>
      </c>
      <c r="H887" s="20" t="s">
        <v>3423</v>
      </c>
      <c r="I887" s="20" t="s">
        <v>23</v>
      </c>
      <c r="J887" s="21">
        <v>2000</v>
      </c>
      <c r="K887" s="20" t="s">
        <v>34</v>
      </c>
      <c r="L887" s="21" t="s">
        <v>30</v>
      </c>
      <c r="M887" s="21" t="s">
        <v>30</v>
      </c>
      <c r="N887" s="20"/>
      <c r="O887" s="20"/>
    </row>
    <row r="888" spans="1:15" ht="13.5" customHeight="1" x14ac:dyDescent="0.25">
      <c r="A888" s="1"/>
      <c r="B888" s="22">
        <v>876</v>
      </c>
      <c r="C888" s="22">
        <v>2023</v>
      </c>
      <c r="D888" s="22">
        <v>12110</v>
      </c>
      <c r="E888" s="22" t="s">
        <v>3424</v>
      </c>
      <c r="F888" s="22" t="s">
        <v>3425</v>
      </c>
      <c r="G888" s="22" t="s">
        <v>3426</v>
      </c>
      <c r="H888" s="22" t="s">
        <v>3427</v>
      </c>
      <c r="I888" s="22" t="s">
        <v>23</v>
      </c>
      <c r="J888" s="23">
        <v>2000</v>
      </c>
      <c r="K888" s="22" t="s">
        <v>184</v>
      </c>
      <c r="L888" s="23" t="s">
        <v>30</v>
      </c>
      <c r="M888" s="23" t="s">
        <v>30</v>
      </c>
      <c r="N888" s="22" t="s">
        <v>74</v>
      </c>
      <c r="O888" s="22"/>
    </row>
    <row r="889" spans="1:15" ht="13.5" customHeight="1" x14ac:dyDescent="0.25">
      <c r="A889" s="1"/>
      <c r="B889" s="20">
        <v>877</v>
      </c>
      <c r="C889" s="20">
        <v>2023</v>
      </c>
      <c r="D889" s="20">
        <v>10747</v>
      </c>
      <c r="E889" s="20" t="s">
        <v>3428</v>
      </c>
      <c r="F889" s="20" t="s">
        <v>3429</v>
      </c>
      <c r="G889" s="20" t="s">
        <v>3430</v>
      </c>
      <c r="H889" s="20" t="s">
        <v>3431</v>
      </c>
      <c r="I889" s="20" t="s">
        <v>62</v>
      </c>
      <c r="J889" s="21">
        <v>2000</v>
      </c>
      <c r="K889" s="20" t="s">
        <v>34</v>
      </c>
      <c r="L889" s="21" t="s">
        <v>30</v>
      </c>
      <c r="M889" s="21" t="s">
        <v>30</v>
      </c>
      <c r="N889" s="20"/>
      <c r="O889" s="20"/>
    </row>
    <row r="890" spans="1:15" ht="13.5" customHeight="1" x14ac:dyDescent="0.25">
      <c r="A890" s="1"/>
      <c r="B890" s="22">
        <v>878</v>
      </c>
      <c r="C890" s="22">
        <v>2023</v>
      </c>
      <c r="D890" s="22">
        <v>12142</v>
      </c>
      <c r="E890" s="22" t="s">
        <v>3432</v>
      </c>
      <c r="F890" s="22" t="s">
        <v>3433</v>
      </c>
      <c r="G890" s="22" t="s">
        <v>3434</v>
      </c>
      <c r="H890" s="22" t="s">
        <v>3435</v>
      </c>
      <c r="I890" s="22" t="s">
        <v>23</v>
      </c>
      <c r="J890" s="23">
        <v>2000</v>
      </c>
      <c r="K890" s="22" t="s">
        <v>73</v>
      </c>
      <c r="L890" s="23" t="s">
        <v>30</v>
      </c>
      <c r="M890" s="23" t="s">
        <v>30</v>
      </c>
      <c r="N890" s="22" t="s">
        <v>74</v>
      </c>
      <c r="O890" s="22"/>
    </row>
    <row r="891" spans="1:15" ht="13.5" customHeight="1" x14ac:dyDescent="0.25">
      <c r="A891" s="1"/>
      <c r="B891" s="20">
        <v>879</v>
      </c>
      <c r="C891" s="20">
        <v>2023</v>
      </c>
      <c r="D891" s="20">
        <v>10746</v>
      </c>
      <c r="E891" s="20" t="s">
        <v>3436</v>
      </c>
      <c r="F891" s="20" t="s">
        <v>3437</v>
      </c>
      <c r="G891" s="20" t="s">
        <v>3438</v>
      </c>
      <c r="H891" s="20" t="s">
        <v>3439</v>
      </c>
      <c r="I891" s="20" t="s">
        <v>23</v>
      </c>
      <c r="J891" s="21">
        <v>2000</v>
      </c>
      <c r="K891" s="20" t="s">
        <v>73</v>
      </c>
      <c r="L891" s="21" t="s">
        <v>30</v>
      </c>
      <c r="M891" s="21" t="s">
        <v>30</v>
      </c>
      <c r="N891" s="20"/>
      <c r="O891" s="20"/>
    </row>
    <row r="892" spans="1:15" ht="13.5" customHeight="1" x14ac:dyDescent="0.25">
      <c r="A892" s="1"/>
      <c r="B892" s="22">
        <v>880</v>
      </c>
      <c r="C892" s="22">
        <v>2023</v>
      </c>
      <c r="D892" s="22">
        <v>42454</v>
      </c>
      <c r="E892" s="22" t="s">
        <v>3440</v>
      </c>
      <c r="F892" s="22" t="s">
        <v>3441</v>
      </c>
      <c r="G892" s="22" t="s">
        <v>3442</v>
      </c>
      <c r="H892" s="22" t="s">
        <v>3443</v>
      </c>
      <c r="I892" s="22" t="s">
        <v>23</v>
      </c>
      <c r="J892" s="23">
        <v>2019</v>
      </c>
      <c r="K892" s="22" t="s">
        <v>67</v>
      </c>
      <c r="L892" s="23" t="s">
        <v>30</v>
      </c>
      <c r="M892" s="23"/>
      <c r="N892" s="22" t="s">
        <v>218</v>
      </c>
      <c r="O892" s="22"/>
    </row>
    <row r="893" spans="1:15" ht="13.5" customHeight="1" x14ac:dyDescent="0.25">
      <c r="A893" s="1"/>
      <c r="B893" s="20">
        <v>881</v>
      </c>
      <c r="C893" s="20">
        <v>2023</v>
      </c>
      <c r="D893" s="20">
        <v>41463</v>
      </c>
      <c r="E893" s="20" t="s">
        <v>3444</v>
      </c>
      <c r="F893" s="20" t="s">
        <v>3445</v>
      </c>
      <c r="G893" s="20" t="s">
        <v>3446</v>
      </c>
      <c r="H893" s="20" t="s">
        <v>3447</v>
      </c>
      <c r="I893" s="20" t="s">
        <v>23</v>
      </c>
      <c r="J893" s="21">
        <v>2016</v>
      </c>
      <c r="K893" s="20" t="s">
        <v>73</v>
      </c>
      <c r="L893" s="21" t="s">
        <v>30</v>
      </c>
      <c r="M893" s="21"/>
      <c r="N893" s="20" t="s">
        <v>204</v>
      </c>
      <c r="O893" s="20"/>
    </row>
    <row r="894" spans="1:15" ht="13.5" customHeight="1" x14ac:dyDescent="0.25">
      <c r="A894" s="1"/>
      <c r="B894" s="22">
        <v>882</v>
      </c>
      <c r="C894" s="22">
        <v>2023</v>
      </c>
      <c r="D894" s="22">
        <v>10743</v>
      </c>
      <c r="E894" s="22" t="s">
        <v>3448</v>
      </c>
      <c r="F894" s="22" t="s">
        <v>3449</v>
      </c>
      <c r="G894" s="22" t="s">
        <v>3450</v>
      </c>
      <c r="H894" s="22" t="s">
        <v>3451</v>
      </c>
      <c r="I894" s="22" t="s">
        <v>23</v>
      </c>
      <c r="J894" s="23">
        <v>2000</v>
      </c>
      <c r="K894" s="22" t="s">
        <v>73</v>
      </c>
      <c r="L894" s="23" t="s">
        <v>30</v>
      </c>
      <c r="M894" s="23" t="s">
        <v>30</v>
      </c>
      <c r="N894" s="22"/>
      <c r="O894" s="22"/>
    </row>
    <row r="895" spans="1:15" ht="13.5" customHeight="1" x14ac:dyDescent="0.25">
      <c r="A895" s="1"/>
      <c r="B895" s="20">
        <v>883</v>
      </c>
      <c r="C895" s="20">
        <v>2023</v>
      </c>
      <c r="D895" s="20">
        <v>10750</v>
      </c>
      <c r="E895" s="20" t="s">
        <v>3452</v>
      </c>
      <c r="F895" s="20" t="s">
        <v>3453</v>
      </c>
      <c r="G895" s="20" t="s">
        <v>3454</v>
      </c>
      <c r="H895" s="20" t="s">
        <v>3455</v>
      </c>
      <c r="I895" s="20" t="s">
        <v>23</v>
      </c>
      <c r="J895" s="21">
        <v>2000</v>
      </c>
      <c r="K895" s="20" t="s">
        <v>34</v>
      </c>
      <c r="L895" s="21" t="s">
        <v>30</v>
      </c>
      <c r="M895" s="21" t="s">
        <v>30</v>
      </c>
      <c r="N895" s="20"/>
      <c r="O895" s="20"/>
    </row>
    <row r="896" spans="1:15" ht="13.5" customHeight="1" x14ac:dyDescent="0.25">
      <c r="A896" s="1"/>
      <c r="B896" s="22">
        <v>884</v>
      </c>
      <c r="C896" s="22">
        <v>2023</v>
      </c>
      <c r="D896" s="22">
        <v>10040</v>
      </c>
      <c r="E896" s="22" t="s">
        <v>3456</v>
      </c>
      <c r="F896" s="22" t="s">
        <v>3457</v>
      </c>
      <c r="G896" s="22" t="s">
        <v>3458</v>
      </c>
      <c r="H896" s="22" t="s">
        <v>3459</v>
      </c>
      <c r="I896" s="22" t="s">
        <v>23</v>
      </c>
      <c r="J896" s="23">
        <v>2000</v>
      </c>
      <c r="K896" s="22" t="s">
        <v>95</v>
      </c>
      <c r="L896" s="23" t="s">
        <v>30</v>
      </c>
      <c r="M896" s="23" t="s">
        <v>30</v>
      </c>
      <c r="N896" s="22"/>
      <c r="O896" s="22"/>
    </row>
    <row r="897" spans="1:15" ht="13.5" customHeight="1" x14ac:dyDescent="0.25">
      <c r="A897" s="1"/>
      <c r="B897" s="20">
        <v>885</v>
      </c>
      <c r="C897" s="20">
        <v>2023</v>
      </c>
      <c r="D897" s="20">
        <v>10751</v>
      </c>
      <c r="E897" s="20" t="s">
        <v>3460</v>
      </c>
      <c r="F897" s="20" t="s">
        <v>3461</v>
      </c>
      <c r="G897" s="20"/>
      <c r="H897" s="20" t="s">
        <v>3462</v>
      </c>
      <c r="I897" s="20" t="s">
        <v>23</v>
      </c>
      <c r="J897" s="21">
        <v>2000</v>
      </c>
      <c r="K897" s="20" t="s">
        <v>63</v>
      </c>
      <c r="L897" s="21"/>
      <c r="M897" s="21" t="s">
        <v>30</v>
      </c>
      <c r="N897" s="20"/>
      <c r="O897" s="20"/>
    </row>
    <row r="898" spans="1:15" ht="13.5" customHeight="1" x14ac:dyDescent="0.25">
      <c r="A898" s="1"/>
      <c r="B898" s="22">
        <v>886</v>
      </c>
      <c r="C898" s="22">
        <v>2023</v>
      </c>
      <c r="D898" s="22">
        <v>10228</v>
      </c>
      <c r="E898" s="22" t="s">
        <v>3463</v>
      </c>
      <c r="F898" s="22" t="s">
        <v>3464</v>
      </c>
      <c r="G898" s="22" t="s">
        <v>3465</v>
      </c>
      <c r="H898" s="22" t="s">
        <v>3466</v>
      </c>
      <c r="I898" s="22" t="s">
        <v>23</v>
      </c>
      <c r="J898" s="23">
        <v>2000</v>
      </c>
      <c r="K898" s="22" t="s">
        <v>34</v>
      </c>
      <c r="L898" s="23" t="s">
        <v>30</v>
      </c>
      <c r="M898" s="23" t="s">
        <v>30</v>
      </c>
      <c r="N898" s="22"/>
      <c r="O898" s="22"/>
    </row>
    <row r="899" spans="1:15" ht="13.5" customHeight="1" x14ac:dyDescent="0.25">
      <c r="A899" s="1"/>
      <c r="B899" s="20">
        <v>887</v>
      </c>
      <c r="C899" s="20">
        <v>2023</v>
      </c>
      <c r="D899" s="20">
        <v>40319</v>
      </c>
      <c r="E899" s="20" t="s">
        <v>3467</v>
      </c>
      <c r="F899" s="20" t="s">
        <v>3468</v>
      </c>
      <c r="G899" s="20" t="s">
        <v>3469</v>
      </c>
      <c r="H899" s="20" t="s">
        <v>3470</v>
      </c>
      <c r="I899" s="20" t="s">
        <v>23</v>
      </c>
      <c r="J899" s="21">
        <v>2013</v>
      </c>
      <c r="K899" s="20" t="s">
        <v>394</v>
      </c>
      <c r="L899" s="21" t="s">
        <v>30</v>
      </c>
      <c r="M899" s="21"/>
      <c r="N899" s="20" t="s">
        <v>101</v>
      </c>
      <c r="O899" s="20"/>
    </row>
    <row r="900" spans="1:15" ht="13.5" customHeight="1" x14ac:dyDescent="0.25">
      <c r="A900" s="1"/>
      <c r="B900" s="22">
        <v>888</v>
      </c>
      <c r="C900" s="22">
        <v>2023</v>
      </c>
      <c r="D900" s="22">
        <v>15015</v>
      </c>
      <c r="E900" s="22" t="s">
        <v>3471</v>
      </c>
      <c r="F900" s="22" t="s">
        <v>3472</v>
      </c>
      <c r="G900" s="22" t="s">
        <v>3473</v>
      </c>
      <c r="H900" s="22" t="s">
        <v>3474</v>
      </c>
      <c r="I900" s="22" t="s">
        <v>357</v>
      </c>
      <c r="J900" s="23">
        <v>2012</v>
      </c>
      <c r="K900" s="22" t="s">
        <v>39</v>
      </c>
      <c r="L900" s="23" t="s">
        <v>30</v>
      </c>
      <c r="M900" s="23"/>
      <c r="N900" s="22"/>
      <c r="O900" s="22"/>
    </row>
    <row r="901" spans="1:15" ht="13.5" customHeight="1" x14ac:dyDescent="0.25">
      <c r="A901" s="1"/>
      <c r="B901" s="20">
        <v>889</v>
      </c>
      <c r="C901" s="20">
        <v>2023</v>
      </c>
      <c r="D901" s="20">
        <v>251</v>
      </c>
      <c r="E901" s="20" t="s">
        <v>3475</v>
      </c>
      <c r="F901" s="20" t="s">
        <v>3476</v>
      </c>
      <c r="G901" s="20" t="s">
        <v>3477</v>
      </c>
      <c r="H901" s="20" t="s">
        <v>3478</v>
      </c>
      <c r="I901" s="20" t="s">
        <v>23</v>
      </c>
      <c r="J901" s="21">
        <v>2000</v>
      </c>
      <c r="K901" s="20" t="s">
        <v>34</v>
      </c>
      <c r="L901" s="21" t="s">
        <v>30</v>
      </c>
      <c r="M901" s="21" t="s">
        <v>30</v>
      </c>
      <c r="N901" s="20"/>
      <c r="O901" s="20"/>
    </row>
    <row r="902" spans="1:15" ht="13.5" customHeight="1" x14ac:dyDescent="0.25">
      <c r="A902" s="1"/>
      <c r="B902" s="22">
        <v>890</v>
      </c>
      <c r="C902" s="22">
        <v>2023</v>
      </c>
      <c r="D902" s="22">
        <v>12026</v>
      </c>
      <c r="E902" s="22" t="s">
        <v>3479</v>
      </c>
      <c r="F902" s="22" t="s">
        <v>3480</v>
      </c>
      <c r="G902" s="22" t="s">
        <v>3481</v>
      </c>
      <c r="H902" s="22" t="s">
        <v>3482</v>
      </c>
      <c r="I902" s="22" t="s">
        <v>23</v>
      </c>
      <c r="J902" s="23">
        <v>2000</v>
      </c>
      <c r="K902" s="22" t="s">
        <v>34</v>
      </c>
      <c r="L902" s="23" t="s">
        <v>30</v>
      </c>
      <c r="M902" s="23" t="s">
        <v>30</v>
      </c>
      <c r="N902" s="22" t="s">
        <v>74</v>
      </c>
      <c r="O902" s="22"/>
    </row>
    <row r="903" spans="1:15" ht="13.5" customHeight="1" x14ac:dyDescent="0.25">
      <c r="A903" s="1"/>
      <c r="B903" s="20">
        <v>891</v>
      </c>
      <c r="C903" s="20">
        <v>2023</v>
      </c>
      <c r="D903" s="20">
        <v>40203</v>
      </c>
      <c r="E903" s="20" t="s">
        <v>3483</v>
      </c>
      <c r="F903" s="20" t="s">
        <v>3484</v>
      </c>
      <c r="G903" s="20"/>
      <c r="H903" s="20" t="s">
        <v>3485</v>
      </c>
      <c r="I903" s="20" t="s">
        <v>23</v>
      </c>
      <c r="J903" s="21">
        <v>2013</v>
      </c>
      <c r="K903" s="20" t="s">
        <v>34</v>
      </c>
      <c r="L903" s="21"/>
      <c r="M903" s="21"/>
      <c r="N903" s="20"/>
      <c r="O903" s="20"/>
    </row>
    <row r="904" spans="1:15" ht="13.5" customHeight="1" x14ac:dyDescent="0.25">
      <c r="A904" s="1"/>
      <c r="B904" s="22">
        <v>892</v>
      </c>
      <c r="C904" s="22">
        <v>2023</v>
      </c>
      <c r="D904" s="22">
        <v>11626</v>
      </c>
      <c r="E904" s="22" t="s">
        <v>3486</v>
      </c>
      <c r="F904" s="22" t="s">
        <v>3487</v>
      </c>
      <c r="G904" s="22" t="s">
        <v>3488</v>
      </c>
      <c r="H904" s="22" t="s">
        <v>3489</v>
      </c>
      <c r="I904" s="22" t="s">
        <v>23</v>
      </c>
      <c r="J904" s="23">
        <v>2000</v>
      </c>
      <c r="K904" s="22" t="s">
        <v>34</v>
      </c>
      <c r="L904" s="23" t="s">
        <v>30</v>
      </c>
      <c r="M904" s="23" t="s">
        <v>30</v>
      </c>
      <c r="N904" s="22" t="s">
        <v>74</v>
      </c>
      <c r="O904" s="22"/>
    </row>
    <row r="905" spans="1:15" ht="13.5" customHeight="1" x14ac:dyDescent="0.25">
      <c r="A905" s="1"/>
      <c r="B905" s="20">
        <v>893</v>
      </c>
      <c r="C905" s="20">
        <v>2023</v>
      </c>
      <c r="D905" s="20">
        <v>11627</v>
      </c>
      <c r="E905" s="20" t="s">
        <v>3490</v>
      </c>
      <c r="F905" s="20" t="s">
        <v>3491</v>
      </c>
      <c r="G905" s="20" t="s">
        <v>3492</v>
      </c>
      <c r="H905" s="20" t="s">
        <v>3493</v>
      </c>
      <c r="I905" s="20" t="s">
        <v>23</v>
      </c>
      <c r="J905" s="21">
        <v>2000</v>
      </c>
      <c r="K905" s="20" t="s">
        <v>34</v>
      </c>
      <c r="L905" s="21" t="s">
        <v>30</v>
      </c>
      <c r="M905" s="21" t="s">
        <v>30</v>
      </c>
      <c r="N905" s="20" t="s">
        <v>74</v>
      </c>
      <c r="O905" s="20"/>
    </row>
    <row r="906" spans="1:15" ht="13.5" customHeight="1" x14ac:dyDescent="0.25">
      <c r="A906" s="1"/>
      <c r="B906" s="22">
        <v>894</v>
      </c>
      <c r="C906" s="22">
        <v>2023</v>
      </c>
      <c r="D906" s="22">
        <v>44164</v>
      </c>
      <c r="E906" s="22" t="s">
        <v>3494</v>
      </c>
      <c r="F906" s="22" t="s">
        <v>3495</v>
      </c>
      <c r="G906" s="22"/>
      <c r="H906" s="22" t="s">
        <v>3496</v>
      </c>
      <c r="I906" s="22" t="s">
        <v>23</v>
      </c>
      <c r="J906" s="23">
        <v>2022</v>
      </c>
      <c r="K906" s="22" t="s">
        <v>34</v>
      </c>
      <c r="L906" s="23"/>
      <c r="M906" s="23"/>
      <c r="N906" s="22" t="s">
        <v>518</v>
      </c>
      <c r="O906" s="22"/>
    </row>
    <row r="907" spans="1:15" ht="13.5" customHeight="1" x14ac:dyDescent="0.25">
      <c r="A907" s="1"/>
      <c r="B907" s="20">
        <v>895</v>
      </c>
      <c r="C907" s="20">
        <v>2023</v>
      </c>
      <c r="D907" s="20">
        <v>41775</v>
      </c>
      <c r="E907" s="20" t="s">
        <v>3497</v>
      </c>
      <c r="F907" s="20" t="s">
        <v>3498</v>
      </c>
      <c r="G907" s="20" t="s">
        <v>3499</v>
      </c>
      <c r="H907" s="20" t="s">
        <v>3500</v>
      </c>
      <c r="I907" s="20" t="s">
        <v>23</v>
      </c>
      <c r="J907" s="21">
        <v>2017</v>
      </c>
      <c r="K907" s="20" t="s">
        <v>475</v>
      </c>
      <c r="L907" s="21" t="s">
        <v>30</v>
      </c>
      <c r="M907" s="21"/>
      <c r="N907" s="20" t="s">
        <v>105</v>
      </c>
      <c r="O907" s="20"/>
    </row>
    <row r="908" spans="1:15" ht="13.5" customHeight="1" x14ac:dyDescent="0.25">
      <c r="A908" s="1"/>
      <c r="B908" s="22">
        <v>896</v>
      </c>
      <c r="C908" s="22">
        <v>2023</v>
      </c>
      <c r="D908" s="22">
        <v>40098</v>
      </c>
      <c r="E908" s="22" t="s">
        <v>3501</v>
      </c>
      <c r="F908" s="22" t="s">
        <v>3502</v>
      </c>
      <c r="G908" s="22" t="s">
        <v>3503</v>
      </c>
      <c r="H908" s="22" t="s">
        <v>3504</v>
      </c>
      <c r="I908" s="22" t="s">
        <v>23</v>
      </c>
      <c r="J908" s="23">
        <v>2012</v>
      </c>
      <c r="K908" s="22" t="s">
        <v>67</v>
      </c>
      <c r="L908" s="23" t="s">
        <v>30</v>
      </c>
      <c r="M908" s="23"/>
      <c r="N908" s="22" t="s">
        <v>163</v>
      </c>
      <c r="O908" s="22"/>
    </row>
    <row r="909" spans="1:15" ht="13.5" customHeight="1" x14ac:dyDescent="0.25">
      <c r="A909" s="1"/>
      <c r="B909" s="20">
        <v>897</v>
      </c>
      <c r="C909" s="20">
        <v>2023</v>
      </c>
      <c r="D909" s="20">
        <v>12291</v>
      </c>
      <c r="E909" s="20" t="s">
        <v>3505</v>
      </c>
      <c r="F909" s="20" t="s">
        <v>3506</v>
      </c>
      <c r="G909" s="20" t="s">
        <v>3507</v>
      </c>
      <c r="H909" s="20" t="s">
        <v>3508</v>
      </c>
      <c r="I909" s="20" t="s">
        <v>23</v>
      </c>
      <c r="J909" s="21">
        <v>2000</v>
      </c>
      <c r="K909" s="20" t="s">
        <v>34</v>
      </c>
      <c r="L909" s="21" t="s">
        <v>30</v>
      </c>
      <c r="M909" s="21" t="s">
        <v>30</v>
      </c>
      <c r="N909" s="20" t="s">
        <v>35</v>
      </c>
      <c r="O909" s="20"/>
    </row>
    <row r="910" spans="1:15" ht="13.5" customHeight="1" x14ac:dyDescent="0.25">
      <c r="A910" s="1"/>
      <c r="B910" s="22">
        <v>898</v>
      </c>
      <c r="C910" s="22">
        <v>2023</v>
      </c>
      <c r="D910" s="22">
        <v>12664</v>
      </c>
      <c r="E910" s="22" t="s">
        <v>3509</v>
      </c>
      <c r="F910" s="22" t="s">
        <v>3510</v>
      </c>
      <c r="G910" s="22" t="s">
        <v>3511</v>
      </c>
      <c r="H910" s="22" t="s">
        <v>3512</v>
      </c>
      <c r="I910" s="22" t="s">
        <v>23</v>
      </c>
      <c r="J910" s="23">
        <v>2009</v>
      </c>
      <c r="K910" s="22" t="s">
        <v>39</v>
      </c>
      <c r="L910" s="23" t="s">
        <v>30</v>
      </c>
      <c r="M910" s="23"/>
      <c r="N910" s="22" t="s">
        <v>431</v>
      </c>
      <c r="O910" s="22"/>
    </row>
    <row r="911" spans="1:15" ht="13.5" customHeight="1" x14ac:dyDescent="0.25">
      <c r="A911" s="1"/>
      <c r="B911" s="20">
        <v>899</v>
      </c>
      <c r="C911" s="20">
        <v>2023</v>
      </c>
      <c r="D911" s="20">
        <v>40944</v>
      </c>
      <c r="E911" s="20" t="s">
        <v>3513</v>
      </c>
      <c r="F911" s="20" t="s">
        <v>3514</v>
      </c>
      <c r="G911" s="20" t="s">
        <v>3515</v>
      </c>
      <c r="H911" s="20" t="s">
        <v>3516</v>
      </c>
      <c r="I911" s="20" t="s">
        <v>23</v>
      </c>
      <c r="J911" s="21">
        <v>2015</v>
      </c>
      <c r="K911" s="20" t="s">
        <v>39</v>
      </c>
      <c r="L911" s="21" t="s">
        <v>30</v>
      </c>
      <c r="M911" s="21"/>
      <c r="N911" s="20" t="s">
        <v>68</v>
      </c>
      <c r="O911" s="20"/>
    </row>
    <row r="912" spans="1:15" ht="13.5" customHeight="1" x14ac:dyDescent="0.25">
      <c r="A912" s="1"/>
      <c r="B912" s="22">
        <v>900</v>
      </c>
      <c r="C912" s="22">
        <v>2023</v>
      </c>
      <c r="D912" s="22">
        <v>12288</v>
      </c>
      <c r="E912" s="22" t="s">
        <v>3517</v>
      </c>
      <c r="F912" s="22" t="s">
        <v>3518</v>
      </c>
      <c r="G912" s="22" t="s">
        <v>3519</v>
      </c>
      <c r="H912" s="22" t="s">
        <v>3520</v>
      </c>
      <c r="I912" s="22" t="s">
        <v>23</v>
      </c>
      <c r="J912" s="23">
        <v>2007</v>
      </c>
      <c r="K912" s="22" t="s">
        <v>39</v>
      </c>
      <c r="L912" s="23" t="s">
        <v>30</v>
      </c>
      <c r="M912" s="23" t="s">
        <v>30</v>
      </c>
      <c r="N912" s="22" t="s">
        <v>74</v>
      </c>
      <c r="O912" s="22"/>
    </row>
    <row r="913" spans="1:15" ht="13.5" customHeight="1" x14ac:dyDescent="0.25">
      <c r="A913" s="1"/>
      <c r="B913" s="20">
        <v>901</v>
      </c>
      <c r="C913" s="20">
        <v>2023</v>
      </c>
      <c r="D913" s="20">
        <v>12088</v>
      </c>
      <c r="E913" s="20" t="s">
        <v>3521</v>
      </c>
      <c r="F913" s="20" t="s">
        <v>3522</v>
      </c>
      <c r="G913" s="20" t="s">
        <v>3523</v>
      </c>
      <c r="H913" s="20" t="s">
        <v>3524</v>
      </c>
      <c r="I913" s="20" t="s">
        <v>23</v>
      </c>
      <c r="J913" s="21">
        <v>2007</v>
      </c>
      <c r="K913" s="20" t="s">
        <v>34</v>
      </c>
      <c r="L913" s="21" t="s">
        <v>30</v>
      </c>
      <c r="M913" s="21" t="s">
        <v>30</v>
      </c>
      <c r="N913" s="20" t="s">
        <v>74</v>
      </c>
      <c r="O913" s="20"/>
    </row>
    <row r="914" spans="1:15" ht="13.5" customHeight="1" x14ac:dyDescent="0.25">
      <c r="A914" s="1"/>
      <c r="B914" s="22">
        <v>902</v>
      </c>
      <c r="C914" s="22">
        <v>2023</v>
      </c>
      <c r="D914" s="22">
        <v>43465</v>
      </c>
      <c r="E914" s="22" t="s">
        <v>3525</v>
      </c>
      <c r="F914" s="22" t="s">
        <v>3526</v>
      </c>
      <c r="G914" s="22" t="s">
        <v>3527</v>
      </c>
      <c r="H914" s="22" t="s">
        <v>3528</v>
      </c>
      <c r="I914" s="22" t="s">
        <v>23</v>
      </c>
      <c r="J914" s="23">
        <v>2010</v>
      </c>
      <c r="K914" s="22" t="s">
        <v>39</v>
      </c>
      <c r="L914" s="23" t="s">
        <v>30</v>
      </c>
      <c r="M914" s="23"/>
      <c r="N914" s="22" t="s">
        <v>270</v>
      </c>
      <c r="O914" s="22"/>
    </row>
    <row r="915" spans="1:15" ht="13.5" customHeight="1" x14ac:dyDescent="0.25">
      <c r="A915" s="1"/>
      <c r="B915" s="20">
        <v>903</v>
      </c>
      <c r="C915" s="20">
        <v>2023</v>
      </c>
      <c r="D915" s="20">
        <v>12070</v>
      </c>
      <c r="E915" s="20" t="s">
        <v>3529</v>
      </c>
      <c r="F915" s="20" t="s">
        <v>3530</v>
      </c>
      <c r="G915" s="20" t="s">
        <v>3531</v>
      </c>
      <c r="H915" s="20" t="s">
        <v>3532</v>
      </c>
      <c r="I915" s="20" t="s">
        <v>23</v>
      </c>
      <c r="J915" s="21">
        <v>2000</v>
      </c>
      <c r="K915" s="20" t="s">
        <v>39</v>
      </c>
      <c r="L915" s="21" t="s">
        <v>30</v>
      </c>
      <c r="M915" s="21" t="s">
        <v>30</v>
      </c>
      <c r="N915" s="20" t="s">
        <v>74</v>
      </c>
      <c r="O915" s="20"/>
    </row>
    <row r="916" spans="1:15" ht="13.5" customHeight="1" x14ac:dyDescent="0.25">
      <c r="A916" s="1"/>
      <c r="B916" s="22">
        <v>904</v>
      </c>
      <c r="C916" s="22">
        <v>2023</v>
      </c>
      <c r="D916" s="22">
        <v>12098</v>
      </c>
      <c r="E916" s="22" t="s">
        <v>3533</v>
      </c>
      <c r="F916" s="22" t="s">
        <v>3534</v>
      </c>
      <c r="G916" s="22" t="s">
        <v>3535</v>
      </c>
      <c r="H916" s="22" t="s">
        <v>3536</v>
      </c>
      <c r="I916" s="22" t="s">
        <v>23</v>
      </c>
      <c r="J916" s="23">
        <v>2000</v>
      </c>
      <c r="K916" s="22" t="s">
        <v>39</v>
      </c>
      <c r="L916" s="23" t="s">
        <v>30</v>
      </c>
      <c r="M916" s="23" t="s">
        <v>30</v>
      </c>
      <c r="N916" s="22" t="s">
        <v>74</v>
      </c>
      <c r="O916" s="22"/>
    </row>
    <row r="917" spans="1:15" ht="13.5" customHeight="1" x14ac:dyDescent="0.25">
      <c r="A917" s="1"/>
      <c r="B917" s="20">
        <v>905</v>
      </c>
      <c r="C917" s="20">
        <v>2023</v>
      </c>
      <c r="D917" s="20">
        <v>12648</v>
      </c>
      <c r="E917" s="20" t="s">
        <v>3537</v>
      </c>
      <c r="F917" s="20" t="s">
        <v>3538</v>
      </c>
      <c r="G917" s="20" t="s">
        <v>3539</v>
      </c>
      <c r="H917" s="20" t="s">
        <v>3540</v>
      </c>
      <c r="I917" s="20" t="s">
        <v>23</v>
      </c>
      <c r="J917" s="21">
        <v>2009</v>
      </c>
      <c r="K917" s="20" t="s">
        <v>63</v>
      </c>
      <c r="L917" s="21" t="s">
        <v>30</v>
      </c>
      <c r="M917" s="21"/>
      <c r="N917" s="20" t="s">
        <v>431</v>
      </c>
      <c r="O917" s="20"/>
    </row>
    <row r="918" spans="1:15" ht="13.5" customHeight="1" x14ac:dyDescent="0.25">
      <c r="A918" s="1"/>
      <c r="B918" s="22">
        <v>906</v>
      </c>
      <c r="C918" s="22">
        <v>2023</v>
      </c>
      <c r="D918" s="22">
        <v>13226</v>
      </c>
      <c r="E918" s="22" t="s">
        <v>3541</v>
      </c>
      <c r="F918" s="22" t="s">
        <v>3542</v>
      </c>
      <c r="G918" s="22" t="s">
        <v>3543</v>
      </c>
      <c r="H918" s="22" t="s">
        <v>3544</v>
      </c>
      <c r="I918" s="22" t="s">
        <v>3545</v>
      </c>
      <c r="J918" s="23">
        <v>2010</v>
      </c>
      <c r="K918" s="22" t="s">
        <v>44</v>
      </c>
      <c r="L918" s="23" t="s">
        <v>30</v>
      </c>
      <c r="M918" s="23"/>
      <c r="N918" s="22" t="s">
        <v>173</v>
      </c>
      <c r="O918" s="22"/>
    </row>
    <row r="919" spans="1:15" ht="13.5" customHeight="1" x14ac:dyDescent="0.25">
      <c r="A919" s="1"/>
      <c r="B919" s="20">
        <v>907</v>
      </c>
      <c r="C919" s="20">
        <v>2023</v>
      </c>
      <c r="D919" s="20">
        <v>12262</v>
      </c>
      <c r="E919" s="20" t="s">
        <v>3546</v>
      </c>
      <c r="F919" s="20" t="s">
        <v>3547</v>
      </c>
      <c r="G919" s="20" t="s">
        <v>3548</v>
      </c>
      <c r="H919" s="20" t="s">
        <v>3549</v>
      </c>
      <c r="I919" s="20" t="s">
        <v>23</v>
      </c>
      <c r="J919" s="21">
        <v>2007</v>
      </c>
      <c r="K919" s="20" t="s">
        <v>39</v>
      </c>
      <c r="L919" s="21" t="s">
        <v>30</v>
      </c>
      <c r="M919" s="21" t="s">
        <v>30</v>
      </c>
      <c r="N919" s="20" t="s">
        <v>74</v>
      </c>
      <c r="O919" s="20"/>
    </row>
    <row r="920" spans="1:15" ht="13.5" customHeight="1" x14ac:dyDescent="0.25">
      <c r="A920" s="1"/>
      <c r="B920" s="22">
        <v>908</v>
      </c>
      <c r="C920" s="22">
        <v>2023</v>
      </c>
      <c r="D920" s="22">
        <v>13193</v>
      </c>
      <c r="E920" s="22" t="s">
        <v>3550</v>
      </c>
      <c r="F920" s="22" t="s">
        <v>3551</v>
      </c>
      <c r="G920" s="22" t="s">
        <v>3552</v>
      </c>
      <c r="H920" s="22" t="s">
        <v>3553</v>
      </c>
      <c r="I920" s="22" t="s">
        <v>23</v>
      </c>
      <c r="J920" s="23">
        <v>2010</v>
      </c>
      <c r="K920" s="22" t="s">
        <v>39</v>
      </c>
      <c r="L920" s="23" t="s">
        <v>30</v>
      </c>
      <c r="M920" s="23" t="s">
        <v>30</v>
      </c>
      <c r="N920" s="22" t="s">
        <v>1310</v>
      </c>
      <c r="O920" s="22"/>
    </row>
    <row r="921" spans="1:15" ht="13.5" customHeight="1" x14ac:dyDescent="0.25">
      <c r="A921" s="1"/>
      <c r="B921" s="20">
        <v>909</v>
      </c>
      <c r="C921" s="20">
        <v>2023</v>
      </c>
      <c r="D921" s="20">
        <v>12055</v>
      </c>
      <c r="E921" s="20" t="s">
        <v>3554</v>
      </c>
      <c r="F921" s="20" t="s">
        <v>3555</v>
      </c>
      <c r="G921" s="20" t="s">
        <v>3556</v>
      </c>
      <c r="H921" s="20" t="s">
        <v>3557</v>
      </c>
      <c r="I921" s="20" t="s">
        <v>23</v>
      </c>
      <c r="J921" s="21">
        <v>2000</v>
      </c>
      <c r="K921" s="20" t="s">
        <v>39</v>
      </c>
      <c r="L921" s="21" t="s">
        <v>30</v>
      </c>
      <c r="M921" s="21" t="s">
        <v>30</v>
      </c>
      <c r="N921" s="20" t="s">
        <v>74</v>
      </c>
      <c r="O921" s="20"/>
    </row>
    <row r="922" spans="1:15" ht="13.5" customHeight="1" x14ac:dyDescent="0.25">
      <c r="A922" s="1"/>
      <c r="B922" s="22">
        <v>910</v>
      </c>
      <c r="C922" s="22">
        <v>2023</v>
      </c>
      <c r="D922" s="22">
        <v>13312</v>
      </c>
      <c r="E922" s="22" t="s">
        <v>3558</v>
      </c>
      <c r="F922" s="22" t="s">
        <v>3559</v>
      </c>
      <c r="G922" s="22" t="s">
        <v>3560</v>
      </c>
      <c r="H922" s="22" t="s">
        <v>3561</v>
      </c>
      <c r="I922" s="22" t="s">
        <v>23</v>
      </c>
      <c r="J922" s="23">
        <v>2010</v>
      </c>
      <c r="K922" s="22" t="s">
        <v>39</v>
      </c>
      <c r="L922" s="23" t="s">
        <v>30</v>
      </c>
      <c r="M922" s="23"/>
      <c r="N922" s="22" t="s">
        <v>173</v>
      </c>
      <c r="O922" s="22"/>
    </row>
    <row r="923" spans="1:15" ht="13.5" customHeight="1" x14ac:dyDescent="0.25">
      <c r="A923" s="1"/>
      <c r="B923" s="20">
        <v>911</v>
      </c>
      <c r="C923" s="20">
        <v>2023</v>
      </c>
      <c r="D923" s="20">
        <v>42360</v>
      </c>
      <c r="E923" s="20" t="s">
        <v>3562</v>
      </c>
      <c r="F923" s="20" t="s">
        <v>3563</v>
      </c>
      <c r="G923" s="20" t="s">
        <v>3564</v>
      </c>
      <c r="H923" s="20" t="s">
        <v>3565</v>
      </c>
      <c r="I923" s="20" t="s">
        <v>23</v>
      </c>
      <c r="J923" s="21">
        <v>2018</v>
      </c>
      <c r="K923" s="20" t="s">
        <v>34</v>
      </c>
      <c r="L923" s="21" t="s">
        <v>30</v>
      </c>
      <c r="M923" s="21"/>
      <c r="N923" s="20" t="s">
        <v>151</v>
      </c>
      <c r="O923" s="20"/>
    </row>
    <row r="924" spans="1:15" ht="13.5" customHeight="1" x14ac:dyDescent="0.25">
      <c r="A924" s="1"/>
      <c r="B924" s="22">
        <v>912</v>
      </c>
      <c r="C924" s="22">
        <v>2023</v>
      </c>
      <c r="D924" s="22">
        <v>15010</v>
      </c>
      <c r="E924" s="22" t="s">
        <v>3566</v>
      </c>
      <c r="F924" s="22" t="s">
        <v>3567</v>
      </c>
      <c r="G924" s="22" t="s">
        <v>3568</v>
      </c>
      <c r="H924" s="22" t="s">
        <v>3569</v>
      </c>
      <c r="I924" s="22" t="s">
        <v>23</v>
      </c>
      <c r="J924" s="23">
        <v>2000</v>
      </c>
      <c r="K924" s="22" t="s">
        <v>39</v>
      </c>
      <c r="L924" s="23" t="s">
        <v>30</v>
      </c>
      <c r="M924" s="23" t="s">
        <v>30</v>
      </c>
      <c r="N924" s="22"/>
      <c r="O924" s="22"/>
    </row>
    <row r="925" spans="1:15" ht="13.5" customHeight="1" x14ac:dyDescent="0.25">
      <c r="A925" s="1"/>
      <c r="B925" s="20">
        <v>913</v>
      </c>
      <c r="C925" s="20">
        <v>2023</v>
      </c>
      <c r="D925" s="20">
        <v>10753</v>
      </c>
      <c r="E925" s="20" t="s">
        <v>3570</v>
      </c>
      <c r="F925" s="20" t="s">
        <v>3571</v>
      </c>
      <c r="G925" s="20" t="s">
        <v>3572</v>
      </c>
      <c r="H925" s="20" t="s">
        <v>3573</v>
      </c>
      <c r="I925" s="20" t="s">
        <v>23</v>
      </c>
      <c r="J925" s="21">
        <v>2000</v>
      </c>
      <c r="K925" s="20" t="s">
        <v>34</v>
      </c>
      <c r="L925" s="21" t="s">
        <v>30</v>
      </c>
      <c r="M925" s="21" t="s">
        <v>30</v>
      </c>
      <c r="N925" s="20"/>
      <c r="O925" s="20"/>
    </row>
    <row r="926" spans="1:15" ht="13.5" customHeight="1" x14ac:dyDescent="0.25">
      <c r="A926" s="1"/>
      <c r="B926" s="22">
        <v>914</v>
      </c>
      <c r="C926" s="22">
        <v>2023</v>
      </c>
      <c r="D926" s="22">
        <v>11</v>
      </c>
      <c r="E926" s="22" t="s">
        <v>3574</v>
      </c>
      <c r="F926" s="22" t="s">
        <v>3575</v>
      </c>
      <c r="G926" s="22" t="s">
        <v>3576</v>
      </c>
      <c r="H926" s="22" t="s">
        <v>3577</v>
      </c>
      <c r="I926" s="22" t="s">
        <v>23</v>
      </c>
      <c r="J926" s="23">
        <v>2000</v>
      </c>
      <c r="K926" s="22" t="s">
        <v>34</v>
      </c>
      <c r="L926" s="23" t="s">
        <v>30</v>
      </c>
      <c r="M926" s="23" t="s">
        <v>30</v>
      </c>
      <c r="N926" s="22"/>
      <c r="O926" s="22"/>
    </row>
    <row r="927" spans="1:15" ht="13.5" customHeight="1" x14ac:dyDescent="0.25">
      <c r="A927" s="1"/>
      <c r="B927" s="20">
        <v>915</v>
      </c>
      <c r="C927" s="20">
        <v>2023</v>
      </c>
      <c r="D927" s="20">
        <v>10787</v>
      </c>
      <c r="E927" s="20" t="s">
        <v>3578</v>
      </c>
      <c r="F927" s="20" t="s">
        <v>3579</v>
      </c>
      <c r="G927" s="20" t="s">
        <v>3580</v>
      </c>
      <c r="H927" s="20" t="s">
        <v>3581</v>
      </c>
      <c r="I927" s="20" t="s">
        <v>23</v>
      </c>
      <c r="J927" s="21">
        <v>2000</v>
      </c>
      <c r="K927" s="20" t="s">
        <v>34</v>
      </c>
      <c r="L927" s="21" t="s">
        <v>30</v>
      </c>
      <c r="M927" s="21" t="s">
        <v>30</v>
      </c>
      <c r="N927" s="20"/>
      <c r="O927" s="20"/>
    </row>
    <row r="928" spans="1:15" ht="13.5" customHeight="1" x14ac:dyDescent="0.25">
      <c r="A928" s="1"/>
      <c r="B928" s="22">
        <v>916</v>
      </c>
      <c r="C928" s="22">
        <v>2023</v>
      </c>
      <c r="D928" s="22">
        <v>15034</v>
      </c>
      <c r="E928" s="22" t="s">
        <v>3582</v>
      </c>
      <c r="F928" s="22" t="s">
        <v>3583</v>
      </c>
      <c r="G928" s="22" t="s">
        <v>3584</v>
      </c>
      <c r="H928" s="22" t="s">
        <v>3585</v>
      </c>
      <c r="I928" s="22" t="s">
        <v>357</v>
      </c>
      <c r="J928" s="23">
        <v>2009</v>
      </c>
      <c r="K928" s="22" t="s">
        <v>39</v>
      </c>
      <c r="L928" s="23" t="s">
        <v>30</v>
      </c>
      <c r="M928" s="23"/>
      <c r="N928" s="22"/>
      <c r="O928" s="22"/>
    </row>
    <row r="929" spans="1:15" ht="13.5" customHeight="1" x14ac:dyDescent="0.25">
      <c r="A929" s="1"/>
      <c r="B929" s="20">
        <v>917</v>
      </c>
      <c r="C929" s="20">
        <v>2023</v>
      </c>
      <c r="D929" s="20">
        <v>15004</v>
      </c>
      <c r="E929" s="20" t="s">
        <v>3586</v>
      </c>
      <c r="F929" s="20" t="s">
        <v>3587</v>
      </c>
      <c r="G929" s="20" t="s">
        <v>3588</v>
      </c>
      <c r="H929" s="20" t="s">
        <v>3589</v>
      </c>
      <c r="I929" s="20" t="s">
        <v>357</v>
      </c>
      <c r="J929" s="21">
        <v>2009</v>
      </c>
      <c r="K929" s="20" t="s">
        <v>39</v>
      </c>
      <c r="L929" s="21" t="s">
        <v>30</v>
      </c>
      <c r="M929" s="21"/>
      <c r="N929" s="20"/>
      <c r="O929" s="20"/>
    </row>
    <row r="930" spans="1:15" ht="13.5" customHeight="1" x14ac:dyDescent="0.25">
      <c r="A930" s="1"/>
      <c r="B930" s="22">
        <v>918</v>
      </c>
      <c r="C930" s="22">
        <v>2023</v>
      </c>
      <c r="D930" s="22">
        <v>15005</v>
      </c>
      <c r="E930" s="22" t="s">
        <v>3590</v>
      </c>
      <c r="F930" s="22" t="s">
        <v>3591</v>
      </c>
      <c r="G930" s="22" t="s">
        <v>3592</v>
      </c>
      <c r="H930" s="22" t="s">
        <v>3593</v>
      </c>
      <c r="I930" s="22" t="s">
        <v>357</v>
      </c>
      <c r="J930" s="23">
        <v>2012</v>
      </c>
      <c r="K930" s="22" t="s">
        <v>39</v>
      </c>
      <c r="L930" s="23" t="s">
        <v>30</v>
      </c>
      <c r="M930" s="23"/>
      <c r="N930" s="22"/>
      <c r="O930" s="22"/>
    </row>
    <row r="931" spans="1:15" ht="13.5" customHeight="1" x14ac:dyDescent="0.25">
      <c r="A931" s="1"/>
      <c r="B931" s="20">
        <v>919</v>
      </c>
      <c r="C931" s="20">
        <v>2023</v>
      </c>
      <c r="D931" s="20">
        <v>287</v>
      </c>
      <c r="E931" s="20" t="s">
        <v>3594</v>
      </c>
      <c r="F931" s="20" t="s">
        <v>3595</v>
      </c>
      <c r="G931" s="20" t="s">
        <v>3596</v>
      </c>
      <c r="H931" s="20" t="s">
        <v>3597</v>
      </c>
      <c r="I931" s="20" t="s">
        <v>23</v>
      </c>
      <c r="J931" s="21">
        <v>2000</v>
      </c>
      <c r="K931" s="20" t="s">
        <v>114</v>
      </c>
      <c r="L931" s="21" t="s">
        <v>30</v>
      </c>
      <c r="M931" s="21" t="s">
        <v>30</v>
      </c>
      <c r="N931" s="20"/>
      <c r="O931" s="20"/>
    </row>
    <row r="932" spans="1:15" ht="13.5" customHeight="1" x14ac:dyDescent="0.25">
      <c r="A932" s="1"/>
      <c r="B932" s="22">
        <v>920</v>
      </c>
      <c r="C932" s="22">
        <v>2023</v>
      </c>
      <c r="D932" s="22">
        <v>41884</v>
      </c>
      <c r="E932" s="22" t="s">
        <v>3598</v>
      </c>
      <c r="F932" s="22" t="s">
        <v>3599</v>
      </c>
      <c r="G932" s="22" t="s">
        <v>3600</v>
      </c>
      <c r="H932" s="22" t="s">
        <v>3601</v>
      </c>
      <c r="I932" s="22" t="s">
        <v>23</v>
      </c>
      <c r="J932" s="23">
        <v>2018</v>
      </c>
      <c r="K932" s="22" t="s">
        <v>44</v>
      </c>
      <c r="L932" s="23" t="s">
        <v>30</v>
      </c>
      <c r="M932" s="23"/>
      <c r="N932" s="22" t="s">
        <v>213</v>
      </c>
      <c r="O932" s="22"/>
    </row>
    <row r="933" spans="1:15" ht="13.5" customHeight="1" x14ac:dyDescent="0.25">
      <c r="A933" s="1"/>
      <c r="B933" s="20">
        <v>921</v>
      </c>
      <c r="C933" s="20">
        <v>2023</v>
      </c>
      <c r="D933" s="20">
        <v>10791</v>
      </c>
      <c r="E933" s="20" t="s">
        <v>3602</v>
      </c>
      <c r="F933" s="20" t="s">
        <v>3603</v>
      </c>
      <c r="G933" s="20" t="s">
        <v>3604</v>
      </c>
      <c r="H933" s="20" t="s">
        <v>3605</v>
      </c>
      <c r="I933" s="20" t="s">
        <v>23</v>
      </c>
      <c r="J933" s="21">
        <v>2000</v>
      </c>
      <c r="K933" s="20" t="s">
        <v>114</v>
      </c>
      <c r="L933" s="21" t="s">
        <v>30</v>
      </c>
      <c r="M933" s="21" t="s">
        <v>30</v>
      </c>
      <c r="N933" s="20"/>
      <c r="O933" s="20"/>
    </row>
    <row r="934" spans="1:15" ht="13.5" customHeight="1" x14ac:dyDescent="0.25">
      <c r="A934" s="1"/>
      <c r="B934" s="22">
        <v>922</v>
      </c>
      <c r="C934" s="22">
        <v>2023</v>
      </c>
      <c r="D934" s="22">
        <v>10257</v>
      </c>
      <c r="E934" s="22" t="s">
        <v>3606</v>
      </c>
      <c r="F934" s="22" t="s">
        <v>3607</v>
      </c>
      <c r="G934" s="22" t="s">
        <v>3608</v>
      </c>
      <c r="H934" s="22" t="s">
        <v>3609</v>
      </c>
      <c r="I934" s="22" t="s">
        <v>23</v>
      </c>
      <c r="J934" s="23">
        <v>2003</v>
      </c>
      <c r="K934" s="22" t="s">
        <v>29</v>
      </c>
      <c r="L934" s="23" t="s">
        <v>30</v>
      </c>
      <c r="M934" s="23" t="s">
        <v>30</v>
      </c>
      <c r="N934" s="22"/>
      <c r="O934" s="22"/>
    </row>
    <row r="935" spans="1:15" ht="13.5" customHeight="1" x14ac:dyDescent="0.25">
      <c r="A935" s="1"/>
      <c r="B935" s="20">
        <v>923</v>
      </c>
      <c r="C935" s="20">
        <v>2023</v>
      </c>
      <c r="D935" s="20">
        <v>10796</v>
      </c>
      <c r="E935" s="20" t="s">
        <v>3610</v>
      </c>
      <c r="F935" s="20" t="s">
        <v>3611</v>
      </c>
      <c r="G935" s="20" t="s">
        <v>3612</v>
      </c>
      <c r="H935" s="20" t="s">
        <v>3613</v>
      </c>
      <c r="I935" s="20" t="s">
        <v>23</v>
      </c>
      <c r="J935" s="21">
        <v>2000</v>
      </c>
      <c r="K935" s="20" t="s">
        <v>29</v>
      </c>
      <c r="L935" s="21" t="s">
        <v>30</v>
      </c>
      <c r="M935" s="21" t="s">
        <v>30</v>
      </c>
      <c r="N935" s="20"/>
      <c r="O935" s="20"/>
    </row>
    <row r="936" spans="1:15" ht="13.5" customHeight="1" x14ac:dyDescent="0.25">
      <c r="A936" s="1"/>
      <c r="B936" s="22">
        <v>924</v>
      </c>
      <c r="C936" s="22">
        <v>2023</v>
      </c>
      <c r="D936" s="22">
        <v>40558</v>
      </c>
      <c r="E936" s="22" t="s">
        <v>3614</v>
      </c>
      <c r="F936" s="22" t="s">
        <v>3615</v>
      </c>
      <c r="G936" s="22" t="s">
        <v>3616</v>
      </c>
      <c r="H936" s="22" t="s">
        <v>3617</v>
      </c>
      <c r="I936" s="22" t="s">
        <v>23</v>
      </c>
      <c r="J936" s="23">
        <v>2014</v>
      </c>
      <c r="K936" s="22" t="s">
        <v>29</v>
      </c>
      <c r="L936" s="23" t="s">
        <v>30</v>
      </c>
      <c r="M936" s="23"/>
      <c r="N936" s="22" t="s">
        <v>163</v>
      </c>
      <c r="O936" s="22"/>
    </row>
    <row r="937" spans="1:15" ht="13.5" customHeight="1" x14ac:dyDescent="0.25">
      <c r="A937" s="1"/>
      <c r="B937" s="20">
        <v>925</v>
      </c>
      <c r="C937" s="20">
        <v>2023</v>
      </c>
      <c r="D937" s="20">
        <v>10799</v>
      </c>
      <c r="E937" s="20" t="s">
        <v>3618</v>
      </c>
      <c r="F937" s="20" t="s">
        <v>3619</v>
      </c>
      <c r="G937" s="20" t="s">
        <v>3620</v>
      </c>
      <c r="H937" s="20" t="s">
        <v>3621</v>
      </c>
      <c r="I937" s="20" t="s">
        <v>23</v>
      </c>
      <c r="J937" s="21">
        <v>2000</v>
      </c>
      <c r="K937" s="20" t="s">
        <v>29</v>
      </c>
      <c r="L937" s="21" t="s">
        <v>30</v>
      </c>
      <c r="M937" s="21" t="s">
        <v>30</v>
      </c>
      <c r="N937" s="20"/>
      <c r="O937" s="20"/>
    </row>
    <row r="938" spans="1:15" ht="13.5" customHeight="1" x14ac:dyDescent="0.25">
      <c r="A938" s="1"/>
      <c r="B938" s="22">
        <v>926</v>
      </c>
      <c r="C938" s="22">
        <v>2023</v>
      </c>
      <c r="D938" s="22">
        <v>12212</v>
      </c>
      <c r="E938" s="22" t="s">
        <v>3622</v>
      </c>
      <c r="F938" s="22" t="s">
        <v>3623</v>
      </c>
      <c r="G938" s="22" t="s">
        <v>3624</v>
      </c>
      <c r="H938" s="22" t="s">
        <v>3625</v>
      </c>
      <c r="I938" s="22" t="s">
        <v>62</v>
      </c>
      <c r="J938" s="23">
        <v>2008</v>
      </c>
      <c r="K938" s="22" t="s">
        <v>34</v>
      </c>
      <c r="L938" s="23" t="s">
        <v>30</v>
      </c>
      <c r="M938" s="23" t="s">
        <v>30</v>
      </c>
      <c r="N938" s="22" t="s">
        <v>352</v>
      </c>
      <c r="O938" s="22"/>
    </row>
    <row r="939" spans="1:15" ht="13.5" customHeight="1" x14ac:dyDescent="0.25">
      <c r="A939" s="1"/>
      <c r="B939" s="20">
        <v>927</v>
      </c>
      <c r="C939" s="20">
        <v>2023</v>
      </c>
      <c r="D939" s="20">
        <v>11334</v>
      </c>
      <c r="E939" s="20" t="s">
        <v>3626</v>
      </c>
      <c r="F939" s="20" t="s">
        <v>3627</v>
      </c>
      <c r="G939" s="20" t="s">
        <v>3628</v>
      </c>
      <c r="H939" s="20" t="s">
        <v>3629</v>
      </c>
      <c r="I939" s="20" t="s">
        <v>23</v>
      </c>
      <c r="J939" s="21">
        <v>2005</v>
      </c>
      <c r="K939" s="20" t="s">
        <v>114</v>
      </c>
      <c r="L939" s="21" t="s">
        <v>30</v>
      </c>
      <c r="M939" s="21" t="s">
        <v>30</v>
      </c>
      <c r="N939" s="20"/>
      <c r="O939" s="20"/>
    </row>
    <row r="940" spans="1:15" ht="13.5" customHeight="1" x14ac:dyDescent="0.25">
      <c r="A940" s="1"/>
      <c r="B940" s="22">
        <v>928</v>
      </c>
      <c r="C940" s="22">
        <v>2023</v>
      </c>
      <c r="D940" s="22">
        <v>10755</v>
      </c>
      <c r="E940" s="22" t="s">
        <v>3630</v>
      </c>
      <c r="F940" s="22" t="s">
        <v>3631</v>
      </c>
      <c r="G940" s="22" t="s">
        <v>3632</v>
      </c>
      <c r="H940" s="22" t="s">
        <v>3633</v>
      </c>
      <c r="I940" s="22" t="s">
        <v>23</v>
      </c>
      <c r="J940" s="23">
        <v>2000</v>
      </c>
      <c r="K940" s="22" t="s">
        <v>73</v>
      </c>
      <c r="L940" s="23" t="s">
        <v>30</v>
      </c>
      <c r="M940" s="23" t="s">
        <v>30</v>
      </c>
      <c r="N940" s="22"/>
      <c r="O940" s="22"/>
    </row>
    <row r="941" spans="1:15" ht="13.5" customHeight="1" x14ac:dyDescent="0.25">
      <c r="A941" s="1"/>
      <c r="B941" s="20">
        <v>929</v>
      </c>
      <c r="C941" s="20">
        <v>2023</v>
      </c>
      <c r="D941" s="20">
        <v>41062</v>
      </c>
      <c r="E941" s="20" t="s">
        <v>3634</v>
      </c>
      <c r="F941" s="20" t="s">
        <v>3635</v>
      </c>
      <c r="G941" s="20"/>
      <c r="H941" s="20" t="s">
        <v>3636</v>
      </c>
      <c r="I941" s="20" t="s">
        <v>23</v>
      </c>
      <c r="J941" s="21">
        <v>2016</v>
      </c>
      <c r="K941" s="20" t="s">
        <v>95</v>
      </c>
      <c r="L941" s="21"/>
      <c r="M941" s="21"/>
      <c r="N941" s="20" t="s">
        <v>204</v>
      </c>
      <c r="O941" s="20"/>
    </row>
    <row r="942" spans="1:15" ht="13.5" customHeight="1" x14ac:dyDescent="0.25">
      <c r="A942" s="1"/>
      <c r="B942" s="22">
        <v>930</v>
      </c>
      <c r="C942" s="22">
        <v>2023</v>
      </c>
      <c r="D942" s="22">
        <v>10789</v>
      </c>
      <c r="E942" s="22" t="s">
        <v>3637</v>
      </c>
      <c r="F942" s="22" t="s">
        <v>3638</v>
      </c>
      <c r="G942" s="22" t="s">
        <v>3639</v>
      </c>
      <c r="H942" s="22" t="s">
        <v>3640</v>
      </c>
      <c r="I942" s="22" t="s">
        <v>62</v>
      </c>
      <c r="J942" s="23">
        <v>2000</v>
      </c>
      <c r="K942" s="22" t="s">
        <v>24</v>
      </c>
      <c r="L942" s="23" t="s">
        <v>30</v>
      </c>
      <c r="M942" s="23" t="s">
        <v>30</v>
      </c>
      <c r="N942" s="22"/>
      <c r="O942" s="22"/>
    </row>
    <row r="943" spans="1:15" ht="13.5" customHeight="1" x14ac:dyDescent="0.25">
      <c r="A943" s="1"/>
      <c r="B943" s="20">
        <v>931</v>
      </c>
      <c r="C943" s="20">
        <v>2023</v>
      </c>
      <c r="D943" s="20">
        <v>13188</v>
      </c>
      <c r="E943" s="20" t="s">
        <v>3641</v>
      </c>
      <c r="F943" s="20" t="s">
        <v>3642</v>
      </c>
      <c r="G943" s="20" t="s">
        <v>3643</v>
      </c>
      <c r="H943" s="20" t="s">
        <v>3644</v>
      </c>
      <c r="I943" s="20" t="s">
        <v>62</v>
      </c>
      <c r="J943" s="21">
        <v>2010</v>
      </c>
      <c r="K943" s="20" t="s">
        <v>24</v>
      </c>
      <c r="L943" s="21" t="s">
        <v>30</v>
      </c>
      <c r="M943" s="21" t="s">
        <v>30</v>
      </c>
      <c r="N943" s="20" t="s">
        <v>1310</v>
      </c>
      <c r="O943" s="20"/>
    </row>
    <row r="944" spans="1:15" ht="13.5" customHeight="1" x14ac:dyDescent="0.25">
      <c r="A944" s="1"/>
      <c r="B944" s="22">
        <v>932</v>
      </c>
      <c r="C944" s="22">
        <v>2023</v>
      </c>
      <c r="D944" s="22">
        <v>40</v>
      </c>
      <c r="E944" s="22" t="s">
        <v>3645</v>
      </c>
      <c r="F944" s="22" t="s">
        <v>3646</v>
      </c>
      <c r="G944" s="22" t="s">
        <v>3647</v>
      </c>
      <c r="H944" s="22" t="s">
        <v>3648</v>
      </c>
      <c r="I944" s="22" t="s">
        <v>23</v>
      </c>
      <c r="J944" s="23">
        <v>2000</v>
      </c>
      <c r="K944" s="22" t="s">
        <v>34</v>
      </c>
      <c r="L944" s="23" t="s">
        <v>30</v>
      </c>
      <c r="M944" s="23" t="s">
        <v>30</v>
      </c>
      <c r="N944" s="22"/>
      <c r="O944" s="22"/>
    </row>
    <row r="945" spans="1:15" ht="13.5" customHeight="1" x14ac:dyDescent="0.25">
      <c r="A945" s="1"/>
      <c r="B945" s="20">
        <v>933</v>
      </c>
      <c r="C945" s="20">
        <v>2023</v>
      </c>
      <c r="D945" s="20">
        <v>11251</v>
      </c>
      <c r="E945" s="20" t="s">
        <v>3649</v>
      </c>
      <c r="F945" s="20" t="s">
        <v>3650</v>
      </c>
      <c r="G945" s="20" t="s">
        <v>3651</v>
      </c>
      <c r="H945" s="20" t="s">
        <v>3652</v>
      </c>
      <c r="I945" s="20" t="s">
        <v>23</v>
      </c>
      <c r="J945" s="21">
        <v>2000</v>
      </c>
      <c r="K945" s="20" t="s">
        <v>73</v>
      </c>
      <c r="L945" s="21" t="s">
        <v>30</v>
      </c>
      <c r="M945" s="21" t="s">
        <v>30</v>
      </c>
      <c r="N945" s="20"/>
      <c r="O945" s="20"/>
    </row>
    <row r="946" spans="1:15" ht="13.5" customHeight="1" x14ac:dyDescent="0.25">
      <c r="A946" s="1"/>
      <c r="B946" s="22">
        <v>934</v>
      </c>
      <c r="C946" s="22">
        <v>2023</v>
      </c>
      <c r="D946" s="22">
        <v>10786</v>
      </c>
      <c r="E946" s="22" t="s">
        <v>3653</v>
      </c>
      <c r="F946" s="22" t="s">
        <v>3654</v>
      </c>
      <c r="G946" s="22" t="s">
        <v>3655</v>
      </c>
      <c r="H946" s="22" t="s">
        <v>3656</v>
      </c>
      <c r="I946" s="22" t="s">
        <v>62</v>
      </c>
      <c r="J946" s="23">
        <v>2000</v>
      </c>
      <c r="K946" s="22" t="s">
        <v>63</v>
      </c>
      <c r="L946" s="23" t="s">
        <v>30</v>
      </c>
      <c r="M946" s="23" t="s">
        <v>30</v>
      </c>
      <c r="N946" s="22"/>
      <c r="O946" s="22"/>
    </row>
    <row r="947" spans="1:15" ht="13.5" customHeight="1" x14ac:dyDescent="0.25">
      <c r="A947" s="1"/>
      <c r="B947" s="20">
        <v>935</v>
      </c>
      <c r="C947" s="20">
        <v>2023</v>
      </c>
      <c r="D947" s="20">
        <v>20</v>
      </c>
      <c r="E947" s="20" t="s">
        <v>3657</v>
      </c>
      <c r="F947" s="20" t="s">
        <v>3658</v>
      </c>
      <c r="G947" s="20" t="s">
        <v>3659</v>
      </c>
      <c r="H947" s="20" t="s">
        <v>3660</v>
      </c>
      <c r="I947" s="20" t="s">
        <v>223</v>
      </c>
      <c r="J947" s="21">
        <v>2000</v>
      </c>
      <c r="K947" s="20" t="s">
        <v>44</v>
      </c>
      <c r="L947" s="21" t="s">
        <v>30</v>
      </c>
      <c r="M947" s="21" t="s">
        <v>30</v>
      </c>
      <c r="N947" s="20"/>
      <c r="O947" s="20"/>
    </row>
    <row r="948" spans="1:15" ht="13.5" customHeight="1" x14ac:dyDescent="0.25">
      <c r="A948" s="1"/>
      <c r="B948" s="22">
        <v>936</v>
      </c>
      <c r="C948" s="22">
        <v>2023</v>
      </c>
      <c r="D948" s="22">
        <v>40192</v>
      </c>
      <c r="E948" s="22" t="s">
        <v>3661</v>
      </c>
      <c r="F948" s="22" t="s">
        <v>3662</v>
      </c>
      <c r="G948" s="22"/>
      <c r="H948" s="22" t="s">
        <v>3663</v>
      </c>
      <c r="I948" s="22" t="s">
        <v>23</v>
      </c>
      <c r="J948" s="23">
        <v>2012</v>
      </c>
      <c r="K948" s="22" t="s">
        <v>24</v>
      </c>
      <c r="L948" s="23"/>
      <c r="M948" s="23"/>
      <c r="N948" s="22"/>
      <c r="O948" s="22"/>
    </row>
    <row r="949" spans="1:15" ht="13.5" customHeight="1" x14ac:dyDescent="0.25">
      <c r="A949" s="1"/>
      <c r="B949" s="20">
        <v>937</v>
      </c>
      <c r="C949" s="20">
        <v>2023</v>
      </c>
      <c r="D949" s="20">
        <v>12124</v>
      </c>
      <c r="E949" s="20" t="s">
        <v>3664</v>
      </c>
      <c r="F949" s="20" t="s">
        <v>3665</v>
      </c>
      <c r="G949" s="20" t="s">
        <v>3666</v>
      </c>
      <c r="H949" s="20" t="s">
        <v>3667</v>
      </c>
      <c r="I949" s="20" t="s">
        <v>23</v>
      </c>
      <c r="J949" s="21">
        <v>2000</v>
      </c>
      <c r="K949" s="20" t="s">
        <v>203</v>
      </c>
      <c r="L949" s="21" t="s">
        <v>30</v>
      </c>
      <c r="M949" s="21" t="s">
        <v>30</v>
      </c>
      <c r="N949" s="20" t="s">
        <v>74</v>
      </c>
      <c r="O949" s="20"/>
    </row>
    <row r="950" spans="1:15" ht="13.5" customHeight="1" x14ac:dyDescent="0.25">
      <c r="A950" s="1"/>
      <c r="B950" s="22">
        <v>938</v>
      </c>
      <c r="C950" s="22">
        <v>2023</v>
      </c>
      <c r="D950" s="22">
        <v>11370</v>
      </c>
      <c r="E950" s="22" t="s">
        <v>3668</v>
      </c>
      <c r="F950" s="22" t="s">
        <v>3669</v>
      </c>
      <c r="G950" s="22"/>
      <c r="H950" s="22" t="s">
        <v>3670</v>
      </c>
      <c r="I950" s="22" t="s">
        <v>23</v>
      </c>
      <c r="J950" s="23">
        <v>2008</v>
      </c>
      <c r="K950" s="22" t="s">
        <v>67</v>
      </c>
      <c r="L950" s="23"/>
      <c r="M950" s="23" t="s">
        <v>30</v>
      </c>
      <c r="N950" s="22"/>
      <c r="O950" s="22"/>
    </row>
    <row r="951" spans="1:15" ht="13.5" customHeight="1" x14ac:dyDescent="0.25">
      <c r="A951" s="1"/>
      <c r="B951" s="20">
        <v>939</v>
      </c>
      <c r="C951" s="20">
        <v>2023</v>
      </c>
      <c r="D951" s="20">
        <v>134</v>
      </c>
      <c r="E951" s="20" t="s">
        <v>3671</v>
      </c>
      <c r="F951" s="20" t="s">
        <v>3672</v>
      </c>
      <c r="G951" s="20" t="s">
        <v>3673</v>
      </c>
      <c r="H951" s="20" t="s">
        <v>3674</v>
      </c>
      <c r="I951" s="20" t="s">
        <v>23</v>
      </c>
      <c r="J951" s="21">
        <v>2000</v>
      </c>
      <c r="K951" s="20" t="s">
        <v>39</v>
      </c>
      <c r="L951" s="21" t="s">
        <v>30</v>
      </c>
      <c r="M951" s="21" t="s">
        <v>30</v>
      </c>
      <c r="N951" s="20"/>
      <c r="O951" s="20"/>
    </row>
    <row r="952" spans="1:15" ht="13.5" customHeight="1" x14ac:dyDescent="0.25">
      <c r="A952" s="1"/>
      <c r="B952" s="22">
        <v>940</v>
      </c>
      <c r="C952" s="22">
        <v>2023</v>
      </c>
      <c r="D952" s="22">
        <v>42411</v>
      </c>
      <c r="E952" s="22" t="s">
        <v>3675</v>
      </c>
      <c r="F952" s="22" t="s">
        <v>3676</v>
      </c>
      <c r="G952" s="22" t="s">
        <v>3677</v>
      </c>
      <c r="H952" s="22" t="s">
        <v>3678</v>
      </c>
      <c r="I952" s="22" t="s">
        <v>190</v>
      </c>
      <c r="J952" s="23">
        <v>2014</v>
      </c>
      <c r="K952" s="22" t="s">
        <v>24</v>
      </c>
      <c r="L952" s="23" t="s">
        <v>30</v>
      </c>
      <c r="M952" s="23"/>
      <c r="N952" s="22" t="s">
        <v>151</v>
      </c>
      <c r="O952" s="22"/>
    </row>
    <row r="953" spans="1:15" ht="13.5" customHeight="1" x14ac:dyDescent="0.25">
      <c r="A953" s="1"/>
      <c r="B953" s="20">
        <v>941</v>
      </c>
      <c r="C953" s="20">
        <v>2023</v>
      </c>
      <c r="D953" s="20">
        <v>10780</v>
      </c>
      <c r="E953" s="20" t="s">
        <v>3679</v>
      </c>
      <c r="F953" s="20" t="s">
        <v>3680</v>
      </c>
      <c r="G953" s="20" t="s">
        <v>3681</v>
      </c>
      <c r="H953" s="20" t="s">
        <v>3682</v>
      </c>
      <c r="I953" s="20" t="s">
        <v>23</v>
      </c>
      <c r="J953" s="21">
        <v>2000</v>
      </c>
      <c r="K953" s="20" t="s">
        <v>73</v>
      </c>
      <c r="L953" s="21" t="s">
        <v>30</v>
      </c>
      <c r="M953" s="21" t="s">
        <v>30</v>
      </c>
      <c r="N953" s="20"/>
      <c r="O953" s="20"/>
    </row>
    <row r="954" spans="1:15" ht="13.5" customHeight="1" x14ac:dyDescent="0.25">
      <c r="A954" s="1"/>
      <c r="B954" s="22">
        <v>942</v>
      </c>
      <c r="C954" s="22">
        <v>2023</v>
      </c>
      <c r="D954" s="22">
        <v>12539</v>
      </c>
      <c r="E954" s="22" t="s">
        <v>3683</v>
      </c>
      <c r="F954" s="22" t="s">
        <v>3684</v>
      </c>
      <c r="G954" s="22" t="s">
        <v>3685</v>
      </c>
      <c r="H954" s="22" t="s">
        <v>3686</v>
      </c>
      <c r="I954" s="22" t="s">
        <v>23</v>
      </c>
      <c r="J954" s="23">
        <v>2009</v>
      </c>
      <c r="K954" s="22" t="s">
        <v>34</v>
      </c>
      <c r="L954" s="23" t="s">
        <v>30</v>
      </c>
      <c r="M954" s="23" t="s">
        <v>30</v>
      </c>
      <c r="N954" s="22" t="s">
        <v>1103</v>
      </c>
      <c r="O954" s="22"/>
    </row>
    <row r="955" spans="1:15" ht="13.5" customHeight="1" x14ac:dyDescent="0.25">
      <c r="A955" s="1"/>
      <c r="B955" s="20">
        <v>943</v>
      </c>
      <c r="C955" s="20">
        <v>2023</v>
      </c>
      <c r="D955" s="20">
        <v>11739</v>
      </c>
      <c r="E955" s="20" t="s">
        <v>3687</v>
      </c>
      <c r="F955" s="20" t="s">
        <v>3688</v>
      </c>
      <c r="G955" s="20"/>
      <c r="H955" s="20" t="s">
        <v>3689</v>
      </c>
      <c r="I955" s="20" t="s">
        <v>23</v>
      </c>
      <c r="J955" s="21">
        <v>2006</v>
      </c>
      <c r="K955" s="20" t="s">
        <v>39</v>
      </c>
      <c r="L955" s="21"/>
      <c r="M955" s="21" t="s">
        <v>30</v>
      </c>
      <c r="N955" s="20" t="s">
        <v>74</v>
      </c>
      <c r="O955" s="20"/>
    </row>
    <row r="956" spans="1:15" ht="13.5" customHeight="1" x14ac:dyDescent="0.25">
      <c r="A956" s="1"/>
      <c r="B956" s="22">
        <v>944</v>
      </c>
      <c r="C956" s="22">
        <v>2023</v>
      </c>
      <c r="D956" s="22">
        <v>11294</v>
      </c>
      <c r="E956" s="22" t="s">
        <v>3690</v>
      </c>
      <c r="F956" s="22" t="s">
        <v>3691</v>
      </c>
      <c r="G956" s="22" t="s">
        <v>3692</v>
      </c>
      <c r="H956" s="22" t="s">
        <v>3693</v>
      </c>
      <c r="I956" s="22" t="s">
        <v>23</v>
      </c>
      <c r="J956" s="23">
        <v>2000</v>
      </c>
      <c r="K956" s="22" t="s">
        <v>475</v>
      </c>
      <c r="L956" s="23" t="s">
        <v>30</v>
      </c>
      <c r="M956" s="23" t="s">
        <v>30</v>
      </c>
      <c r="N956" s="22"/>
      <c r="O956" s="22"/>
    </row>
    <row r="957" spans="1:15" ht="13.5" customHeight="1" x14ac:dyDescent="0.25">
      <c r="A957" s="1"/>
      <c r="B957" s="20">
        <v>945</v>
      </c>
      <c r="C957" s="20">
        <v>2023</v>
      </c>
      <c r="D957" s="20">
        <v>10778</v>
      </c>
      <c r="E957" s="20" t="s">
        <v>3694</v>
      </c>
      <c r="F957" s="20" t="s">
        <v>3695</v>
      </c>
      <c r="G957" s="20" t="s">
        <v>3696</v>
      </c>
      <c r="H957" s="20" t="s">
        <v>3697</v>
      </c>
      <c r="I957" s="20" t="s">
        <v>23</v>
      </c>
      <c r="J957" s="21">
        <v>2000</v>
      </c>
      <c r="K957" s="20" t="s">
        <v>67</v>
      </c>
      <c r="L957" s="21" t="s">
        <v>30</v>
      </c>
      <c r="M957" s="21" t="s">
        <v>30</v>
      </c>
      <c r="N957" s="20"/>
      <c r="O957" s="20"/>
    </row>
    <row r="958" spans="1:15" ht="13.5" customHeight="1" x14ac:dyDescent="0.25">
      <c r="A958" s="1"/>
      <c r="B958" s="22">
        <v>946</v>
      </c>
      <c r="C958" s="22">
        <v>2023</v>
      </c>
      <c r="D958" s="22">
        <v>420</v>
      </c>
      <c r="E958" s="22" t="s">
        <v>3698</v>
      </c>
      <c r="F958" s="22" t="s">
        <v>3699</v>
      </c>
      <c r="G958" s="22" t="s">
        <v>3700</v>
      </c>
      <c r="H958" s="22" t="s">
        <v>3701</v>
      </c>
      <c r="I958" s="22" t="s">
        <v>23</v>
      </c>
      <c r="J958" s="23">
        <v>2000</v>
      </c>
      <c r="K958" s="22" t="s">
        <v>95</v>
      </c>
      <c r="L958" s="23" t="s">
        <v>30</v>
      </c>
      <c r="M958" s="23" t="s">
        <v>30</v>
      </c>
      <c r="N958" s="22"/>
      <c r="O958" s="22"/>
    </row>
    <row r="959" spans="1:15" ht="13.5" customHeight="1" x14ac:dyDescent="0.25">
      <c r="A959" s="1"/>
      <c r="B959" s="20">
        <v>947</v>
      </c>
      <c r="C959" s="20">
        <v>2023</v>
      </c>
      <c r="D959" s="20">
        <v>13691</v>
      </c>
      <c r="E959" s="20" t="s">
        <v>3702</v>
      </c>
      <c r="F959" s="20" t="s">
        <v>3703</v>
      </c>
      <c r="G959" s="20"/>
      <c r="H959" s="20" t="s">
        <v>3704</v>
      </c>
      <c r="I959" s="20" t="s">
        <v>23</v>
      </c>
      <c r="J959" s="21">
        <v>2012</v>
      </c>
      <c r="K959" s="20" t="s">
        <v>39</v>
      </c>
      <c r="L959" s="21"/>
      <c r="M959" s="21"/>
      <c r="N959" s="20" t="s">
        <v>324</v>
      </c>
      <c r="O959" s="20"/>
    </row>
    <row r="960" spans="1:15" ht="13.5" customHeight="1" x14ac:dyDescent="0.25">
      <c r="A960" s="1"/>
      <c r="B960" s="22">
        <v>948</v>
      </c>
      <c r="C960" s="22">
        <v>2023</v>
      </c>
      <c r="D960" s="22">
        <v>40636</v>
      </c>
      <c r="E960" s="22" t="s">
        <v>3705</v>
      </c>
      <c r="F960" s="22" t="s">
        <v>3706</v>
      </c>
      <c r="G960" s="22" t="s">
        <v>3707</v>
      </c>
      <c r="H960" s="22" t="s">
        <v>3708</v>
      </c>
      <c r="I960" s="22" t="s">
        <v>23</v>
      </c>
      <c r="J960" s="23">
        <v>2014</v>
      </c>
      <c r="K960" s="22" t="s">
        <v>184</v>
      </c>
      <c r="L960" s="23" t="s">
        <v>30</v>
      </c>
      <c r="M960" s="23"/>
      <c r="N960" s="22" t="s">
        <v>381</v>
      </c>
      <c r="O960" s="22"/>
    </row>
    <row r="961" spans="1:15" ht="13.5" customHeight="1" x14ac:dyDescent="0.25">
      <c r="A961" s="1"/>
      <c r="B961" s="20">
        <v>949</v>
      </c>
      <c r="C961" s="20">
        <v>2023</v>
      </c>
      <c r="D961" s="20">
        <v>43576</v>
      </c>
      <c r="E961" s="20" t="s">
        <v>3709</v>
      </c>
      <c r="F961" s="20" t="s">
        <v>3710</v>
      </c>
      <c r="G961" s="20" t="s">
        <v>3711</v>
      </c>
      <c r="H961" s="20" t="s">
        <v>3712</v>
      </c>
      <c r="I961" s="20" t="s">
        <v>23</v>
      </c>
      <c r="J961" s="21">
        <v>2021</v>
      </c>
      <c r="K961" s="20" t="s">
        <v>394</v>
      </c>
      <c r="L961" s="21" t="s">
        <v>30</v>
      </c>
      <c r="M961" s="21"/>
      <c r="N961" s="20" t="s">
        <v>236</v>
      </c>
      <c r="O961" s="20"/>
    </row>
    <row r="962" spans="1:15" ht="13.5" customHeight="1" x14ac:dyDescent="0.25">
      <c r="A962" s="1"/>
      <c r="B962" s="22">
        <v>950</v>
      </c>
      <c r="C962" s="22">
        <v>2023</v>
      </c>
      <c r="D962" s="22">
        <v>43439</v>
      </c>
      <c r="E962" s="22" t="s">
        <v>3713</v>
      </c>
      <c r="F962" s="22" t="s">
        <v>3714</v>
      </c>
      <c r="G962" s="22" t="s">
        <v>3715</v>
      </c>
      <c r="H962" s="22" t="s">
        <v>3716</v>
      </c>
      <c r="I962" s="22" t="s">
        <v>190</v>
      </c>
      <c r="J962" s="23">
        <v>2020</v>
      </c>
      <c r="K962" s="22" t="s">
        <v>114</v>
      </c>
      <c r="L962" s="23" t="s">
        <v>30</v>
      </c>
      <c r="M962" s="23"/>
      <c r="N962" s="22" t="s">
        <v>48</v>
      </c>
      <c r="O962" s="22"/>
    </row>
    <row r="963" spans="1:15" ht="13.5" customHeight="1" x14ac:dyDescent="0.25">
      <c r="A963" s="1"/>
      <c r="B963" s="20">
        <v>951</v>
      </c>
      <c r="C963" s="20">
        <v>2023</v>
      </c>
      <c r="D963" s="20">
        <v>10368</v>
      </c>
      <c r="E963" s="20" t="s">
        <v>3717</v>
      </c>
      <c r="F963" s="20" t="s">
        <v>3718</v>
      </c>
      <c r="G963" s="20" t="s">
        <v>3719</v>
      </c>
      <c r="H963" s="20" t="s">
        <v>3720</v>
      </c>
      <c r="I963" s="20" t="s">
        <v>23</v>
      </c>
      <c r="J963" s="21">
        <v>2004</v>
      </c>
      <c r="K963" s="20" t="s">
        <v>475</v>
      </c>
      <c r="L963" s="21" t="s">
        <v>30</v>
      </c>
      <c r="M963" s="21" t="s">
        <v>30</v>
      </c>
      <c r="N963" s="20"/>
      <c r="O963" s="20"/>
    </row>
    <row r="964" spans="1:15" ht="13.5" customHeight="1" x14ac:dyDescent="0.25">
      <c r="A964" s="1"/>
      <c r="B964" s="22">
        <v>952</v>
      </c>
      <c r="C964" s="22">
        <v>2023</v>
      </c>
      <c r="D964" s="22">
        <v>11365</v>
      </c>
      <c r="E964" s="22" t="s">
        <v>3721</v>
      </c>
      <c r="F964" s="22" t="s">
        <v>3722</v>
      </c>
      <c r="G964" s="22" t="s">
        <v>3723</v>
      </c>
      <c r="H964" s="22" t="s">
        <v>3724</v>
      </c>
      <c r="I964" s="22" t="s">
        <v>23</v>
      </c>
      <c r="J964" s="23">
        <v>2005</v>
      </c>
      <c r="K964" s="22" t="s">
        <v>29</v>
      </c>
      <c r="L964" s="23" t="s">
        <v>30</v>
      </c>
      <c r="M964" s="23" t="s">
        <v>30</v>
      </c>
      <c r="N964" s="22"/>
      <c r="O964" s="22"/>
    </row>
    <row r="965" spans="1:15" ht="13.5" customHeight="1" x14ac:dyDescent="0.25">
      <c r="A965" s="1"/>
      <c r="B965" s="20">
        <v>953</v>
      </c>
      <c r="C965" s="20">
        <v>2023</v>
      </c>
      <c r="D965" s="20">
        <v>10784</v>
      </c>
      <c r="E965" s="20" t="s">
        <v>3725</v>
      </c>
      <c r="F965" s="20" t="s">
        <v>3726</v>
      </c>
      <c r="G965" s="20" t="s">
        <v>3727</v>
      </c>
      <c r="H965" s="20" t="s">
        <v>3728</v>
      </c>
      <c r="I965" s="20" t="s">
        <v>23</v>
      </c>
      <c r="J965" s="21">
        <v>2001</v>
      </c>
      <c r="K965" s="20" t="s">
        <v>95</v>
      </c>
      <c r="L965" s="21" t="s">
        <v>30</v>
      </c>
      <c r="M965" s="21" t="s">
        <v>30</v>
      </c>
      <c r="N965" s="20"/>
      <c r="O965" s="20"/>
    </row>
    <row r="966" spans="1:15" ht="13.5" customHeight="1" x14ac:dyDescent="0.25">
      <c r="A966" s="1"/>
      <c r="B966" s="22">
        <v>954</v>
      </c>
      <c r="C966" s="22">
        <v>2023</v>
      </c>
      <c r="D966" s="22">
        <v>10775</v>
      </c>
      <c r="E966" s="22" t="s">
        <v>3729</v>
      </c>
      <c r="F966" s="22" t="s">
        <v>3730</v>
      </c>
      <c r="G966" s="22" t="s">
        <v>3731</v>
      </c>
      <c r="H966" s="22" t="s">
        <v>3732</v>
      </c>
      <c r="I966" s="22" t="s">
        <v>23</v>
      </c>
      <c r="J966" s="23">
        <v>2001</v>
      </c>
      <c r="K966" s="22" t="s">
        <v>73</v>
      </c>
      <c r="L966" s="23" t="s">
        <v>30</v>
      </c>
      <c r="M966" s="23" t="s">
        <v>30</v>
      </c>
      <c r="N966" s="22"/>
      <c r="O966" s="22"/>
    </row>
    <row r="967" spans="1:15" ht="13.5" customHeight="1" x14ac:dyDescent="0.25">
      <c r="A967" s="1"/>
      <c r="B967" s="20">
        <v>955</v>
      </c>
      <c r="C967" s="20">
        <v>2023</v>
      </c>
      <c r="D967" s="20">
        <v>11153</v>
      </c>
      <c r="E967" s="20" t="s">
        <v>3733</v>
      </c>
      <c r="F967" s="20" t="s">
        <v>3734</v>
      </c>
      <c r="G967" s="20" t="s">
        <v>3735</v>
      </c>
      <c r="H967" s="20" t="s">
        <v>3736</v>
      </c>
      <c r="I967" s="20" t="s">
        <v>23</v>
      </c>
      <c r="J967" s="21">
        <v>2000</v>
      </c>
      <c r="K967" s="20" t="s">
        <v>73</v>
      </c>
      <c r="L967" s="21" t="s">
        <v>30</v>
      </c>
      <c r="M967" s="21" t="s">
        <v>30</v>
      </c>
      <c r="N967" s="20"/>
      <c r="O967" s="20"/>
    </row>
    <row r="968" spans="1:15" ht="13.5" customHeight="1" x14ac:dyDescent="0.25">
      <c r="A968" s="1"/>
      <c r="B968" s="22">
        <v>956</v>
      </c>
      <c r="C968" s="22">
        <v>2023</v>
      </c>
      <c r="D968" s="22">
        <v>10447</v>
      </c>
      <c r="E968" s="22" t="s">
        <v>3737</v>
      </c>
      <c r="F968" s="22" t="s">
        <v>3738</v>
      </c>
      <c r="G968" s="22" t="s">
        <v>3739</v>
      </c>
      <c r="H968" s="22" t="s">
        <v>3740</v>
      </c>
      <c r="I968" s="22" t="s">
        <v>23</v>
      </c>
      <c r="J968" s="23">
        <v>2000</v>
      </c>
      <c r="K968" s="22" t="s">
        <v>203</v>
      </c>
      <c r="L968" s="23" t="s">
        <v>30</v>
      </c>
      <c r="M968" s="23" t="s">
        <v>30</v>
      </c>
      <c r="N968" s="22"/>
      <c r="O968" s="22"/>
    </row>
    <row r="969" spans="1:15" ht="13.5" customHeight="1" x14ac:dyDescent="0.25">
      <c r="A969" s="1"/>
      <c r="B969" s="20">
        <v>957</v>
      </c>
      <c r="C969" s="20">
        <v>2023</v>
      </c>
      <c r="D969" s="20">
        <v>11196</v>
      </c>
      <c r="E969" s="20" t="s">
        <v>3741</v>
      </c>
      <c r="F969" s="20" t="s">
        <v>3742</v>
      </c>
      <c r="G969" s="20" t="s">
        <v>3743</v>
      </c>
      <c r="H969" s="20" t="s">
        <v>3744</v>
      </c>
      <c r="I969" s="20" t="s">
        <v>23</v>
      </c>
      <c r="J969" s="21">
        <v>2000</v>
      </c>
      <c r="K969" s="20" t="s">
        <v>394</v>
      </c>
      <c r="L969" s="21" t="s">
        <v>30</v>
      </c>
      <c r="M969" s="21" t="s">
        <v>30</v>
      </c>
      <c r="N969" s="20"/>
      <c r="O969" s="20"/>
    </row>
    <row r="970" spans="1:15" ht="13.5" customHeight="1" x14ac:dyDescent="0.25">
      <c r="A970" s="1"/>
      <c r="B970" s="22">
        <v>958</v>
      </c>
      <c r="C970" s="22">
        <v>2023</v>
      </c>
      <c r="D970" s="22">
        <v>12572</v>
      </c>
      <c r="E970" s="22" t="s">
        <v>3745</v>
      </c>
      <c r="F970" s="22" t="s">
        <v>3746</v>
      </c>
      <c r="G970" s="22" t="s">
        <v>3747</v>
      </c>
      <c r="H970" s="22" t="s">
        <v>3748</v>
      </c>
      <c r="I970" s="22" t="s">
        <v>23</v>
      </c>
      <c r="J970" s="23">
        <v>2009</v>
      </c>
      <c r="K970" s="22" t="s">
        <v>67</v>
      </c>
      <c r="L970" s="23" t="s">
        <v>30</v>
      </c>
      <c r="M970" s="23" t="s">
        <v>30</v>
      </c>
      <c r="N970" s="22" t="s">
        <v>1103</v>
      </c>
      <c r="O970" s="22"/>
    </row>
    <row r="971" spans="1:15" ht="13.5" customHeight="1" x14ac:dyDescent="0.25">
      <c r="A971" s="1"/>
      <c r="B971" s="20">
        <v>959</v>
      </c>
      <c r="C971" s="20">
        <v>2023</v>
      </c>
      <c r="D971" s="20">
        <v>42405</v>
      </c>
      <c r="E971" s="20" t="s">
        <v>3749</v>
      </c>
      <c r="F971" s="20" t="s">
        <v>3750</v>
      </c>
      <c r="G971" s="20"/>
      <c r="H971" s="20" t="s">
        <v>3751</v>
      </c>
      <c r="I971" s="20" t="s">
        <v>3752</v>
      </c>
      <c r="J971" s="21">
        <v>2018</v>
      </c>
      <c r="K971" s="20" t="s">
        <v>67</v>
      </c>
      <c r="L971" s="21"/>
      <c r="M971" s="21"/>
      <c r="N971" s="20" t="s">
        <v>151</v>
      </c>
      <c r="O971" s="20"/>
    </row>
    <row r="972" spans="1:15" ht="13.5" customHeight="1" x14ac:dyDescent="0.25">
      <c r="A972" s="1"/>
      <c r="B972" s="22">
        <v>960</v>
      </c>
      <c r="C972" s="22">
        <v>2023</v>
      </c>
      <c r="D972" s="22">
        <v>40819</v>
      </c>
      <c r="E972" s="22" t="s">
        <v>3753</v>
      </c>
      <c r="F972" s="22" t="s">
        <v>3754</v>
      </c>
      <c r="G972" s="22" t="s">
        <v>3755</v>
      </c>
      <c r="H972" s="22" t="s">
        <v>3756</v>
      </c>
      <c r="I972" s="22" t="s">
        <v>23</v>
      </c>
      <c r="J972" s="23">
        <v>2015</v>
      </c>
      <c r="K972" s="22" t="s">
        <v>44</v>
      </c>
      <c r="L972" s="23" t="s">
        <v>30</v>
      </c>
      <c r="M972" s="23"/>
      <c r="N972" s="22" t="s">
        <v>185</v>
      </c>
      <c r="O972" s="22"/>
    </row>
    <row r="973" spans="1:15" ht="13.5" customHeight="1" x14ac:dyDescent="0.25">
      <c r="A973" s="1"/>
      <c r="B973" s="20">
        <v>961</v>
      </c>
      <c r="C973" s="20">
        <v>2023</v>
      </c>
      <c r="D973" s="20">
        <v>41042</v>
      </c>
      <c r="E973" s="20" t="s">
        <v>3757</v>
      </c>
      <c r="F973" s="20" t="s">
        <v>3758</v>
      </c>
      <c r="G973" s="20" t="s">
        <v>3759</v>
      </c>
      <c r="H973" s="20" t="s">
        <v>3760</v>
      </c>
      <c r="I973" s="20" t="s">
        <v>23</v>
      </c>
      <c r="J973" s="21">
        <v>2016</v>
      </c>
      <c r="K973" s="20" t="s">
        <v>203</v>
      </c>
      <c r="L973" s="21" t="s">
        <v>30</v>
      </c>
      <c r="M973" s="21"/>
      <c r="N973" s="20" t="s">
        <v>204</v>
      </c>
      <c r="O973" s="20"/>
    </row>
    <row r="974" spans="1:15" ht="13.5" customHeight="1" x14ac:dyDescent="0.25">
      <c r="A974" s="1"/>
      <c r="B974" s="22">
        <v>962</v>
      </c>
      <c r="C974" s="22">
        <v>2023</v>
      </c>
      <c r="D974" s="22">
        <v>40593</v>
      </c>
      <c r="E974" s="22" t="s">
        <v>3761</v>
      </c>
      <c r="F974" s="22" t="s">
        <v>3762</v>
      </c>
      <c r="G974" s="22"/>
      <c r="H974" s="22" t="s">
        <v>3763</v>
      </c>
      <c r="I974" s="22" t="s">
        <v>23</v>
      </c>
      <c r="J974" s="23">
        <v>2013</v>
      </c>
      <c r="K974" s="22" t="s">
        <v>114</v>
      </c>
      <c r="L974" s="23"/>
      <c r="M974" s="23"/>
      <c r="N974" s="22" t="s">
        <v>101</v>
      </c>
      <c r="O974" s="22"/>
    </row>
    <row r="975" spans="1:15" ht="13.5" customHeight="1" x14ac:dyDescent="0.25">
      <c r="A975" s="1"/>
      <c r="B975" s="20">
        <v>963</v>
      </c>
      <c r="C975" s="20">
        <v>2023</v>
      </c>
      <c r="D975" s="20">
        <v>12239</v>
      </c>
      <c r="E975" s="20" t="s">
        <v>3764</v>
      </c>
      <c r="F975" s="20" t="s">
        <v>3765</v>
      </c>
      <c r="G975" s="20" t="s">
        <v>3766</v>
      </c>
      <c r="H975" s="20" t="s">
        <v>3767</v>
      </c>
      <c r="I975" s="20" t="s">
        <v>3768</v>
      </c>
      <c r="J975" s="21">
        <v>2008</v>
      </c>
      <c r="K975" s="20" t="s">
        <v>67</v>
      </c>
      <c r="L975" s="21" t="s">
        <v>30</v>
      </c>
      <c r="M975" s="21" t="s">
        <v>30</v>
      </c>
      <c r="N975" s="20" t="s">
        <v>35</v>
      </c>
      <c r="O975" s="20"/>
    </row>
    <row r="976" spans="1:15" ht="13.5" customHeight="1" x14ac:dyDescent="0.25">
      <c r="A976" s="1"/>
      <c r="B976" s="22">
        <v>964</v>
      </c>
      <c r="C976" s="22">
        <v>2023</v>
      </c>
      <c r="D976" s="22">
        <v>12529</v>
      </c>
      <c r="E976" s="22" t="s">
        <v>3769</v>
      </c>
      <c r="F976" s="22" t="s">
        <v>3770</v>
      </c>
      <c r="G976" s="22" t="s">
        <v>3771</v>
      </c>
      <c r="H976" s="22" t="s">
        <v>3772</v>
      </c>
      <c r="I976" s="22" t="s">
        <v>23</v>
      </c>
      <c r="J976" s="23">
        <v>2000</v>
      </c>
      <c r="K976" s="22" t="s">
        <v>39</v>
      </c>
      <c r="L976" s="23" t="s">
        <v>30</v>
      </c>
      <c r="M976" s="23"/>
      <c r="N976" s="22" t="s">
        <v>431</v>
      </c>
      <c r="O976" s="22"/>
    </row>
    <row r="977" spans="1:15" ht="13.5" customHeight="1" x14ac:dyDescent="0.25">
      <c r="A977" s="1"/>
      <c r="B977" s="20">
        <v>965</v>
      </c>
      <c r="C977" s="20">
        <v>2023</v>
      </c>
      <c r="D977" s="20">
        <v>484</v>
      </c>
      <c r="E977" s="20" t="s">
        <v>3773</v>
      </c>
      <c r="F977" s="20" t="s">
        <v>3774</v>
      </c>
      <c r="G977" s="20" t="s">
        <v>3775</v>
      </c>
      <c r="H977" s="20" t="s">
        <v>3776</v>
      </c>
      <c r="I977" s="20" t="s">
        <v>23</v>
      </c>
      <c r="J977" s="21">
        <v>2000</v>
      </c>
      <c r="K977" s="20" t="s">
        <v>95</v>
      </c>
      <c r="L977" s="21" t="s">
        <v>30</v>
      </c>
      <c r="M977" s="21" t="s">
        <v>30</v>
      </c>
      <c r="N977" s="20"/>
      <c r="O977" s="20"/>
    </row>
    <row r="978" spans="1:15" ht="13.5" customHeight="1" x14ac:dyDescent="0.25">
      <c r="A978" s="1"/>
      <c r="B978" s="22">
        <v>966</v>
      </c>
      <c r="C978" s="22">
        <v>2023</v>
      </c>
      <c r="D978" s="22">
        <v>42380</v>
      </c>
      <c r="E978" s="22" t="s">
        <v>3777</v>
      </c>
      <c r="F978" s="22" t="s">
        <v>3778</v>
      </c>
      <c r="G978" s="22" t="s">
        <v>3779</v>
      </c>
      <c r="H978" s="22" t="s">
        <v>3780</v>
      </c>
      <c r="I978" s="22" t="s">
        <v>23</v>
      </c>
      <c r="J978" s="23">
        <v>2019</v>
      </c>
      <c r="K978" s="22" t="s">
        <v>203</v>
      </c>
      <c r="L978" s="23" t="s">
        <v>30</v>
      </c>
      <c r="M978" s="23"/>
      <c r="N978" s="22" t="s">
        <v>218</v>
      </c>
      <c r="O978" s="22"/>
    </row>
    <row r="979" spans="1:15" ht="13.5" customHeight="1" x14ac:dyDescent="0.25">
      <c r="A979" s="1"/>
      <c r="B979" s="20">
        <v>967</v>
      </c>
      <c r="C979" s="20">
        <v>2023</v>
      </c>
      <c r="D979" s="20">
        <v>40999</v>
      </c>
      <c r="E979" s="20" t="s">
        <v>3781</v>
      </c>
      <c r="F979" s="20" t="s">
        <v>3782</v>
      </c>
      <c r="G979" s="20" t="s">
        <v>3783</v>
      </c>
      <c r="H979" s="20" t="s">
        <v>3784</v>
      </c>
      <c r="I979" s="20" t="s">
        <v>23</v>
      </c>
      <c r="J979" s="21">
        <v>2016</v>
      </c>
      <c r="K979" s="20" t="s">
        <v>67</v>
      </c>
      <c r="L979" s="21" t="s">
        <v>30</v>
      </c>
      <c r="M979" s="21"/>
      <c r="N979" s="20" t="s">
        <v>1470</v>
      </c>
      <c r="O979" s="20"/>
    </row>
    <row r="980" spans="1:15" ht="13.5" customHeight="1" x14ac:dyDescent="0.25">
      <c r="A980" s="1"/>
      <c r="B980" s="22">
        <v>968</v>
      </c>
      <c r="C980" s="22">
        <v>2023</v>
      </c>
      <c r="D980" s="22">
        <v>10147</v>
      </c>
      <c r="E980" s="22" t="s">
        <v>3785</v>
      </c>
      <c r="F980" s="22" t="s">
        <v>3786</v>
      </c>
      <c r="G980" s="22" t="s">
        <v>3787</v>
      </c>
      <c r="H980" s="22" t="s">
        <v>3788</v>
      </c>
      <c r="I980" s="22" t="s">
        <v>23</v>
      </c>
      <c r="J980" s="23">
        <v>2000</v>
      </c>
      <c r="K980" s="22" t="s">
        <v>39</v>
      </c>
      <c r="L980" s="23" t="s">
        <v>30</v>
      </c>
      <c r="M980" s="23" t="s">
        <v>30</v>
      </c>
      <c r="N980" s="22"/>
      <c r="O980" s="22"/>
    </row>
    <row r="981" spans="1:15" ht="13.5" customHeight="1" x14ac:dyDescent="0.25">
      <c r="A981" s="1"/>
      <c r="B981" s="20">
        <v>969</v>
      </c>
      <c r="C981" s="20">
        <v>2023</v>
      </c>
      <c r="D981" s="20">
        <v>11096</v>
      </c>
      <c r="E981" s="20" t="s">
        <v>3789</v>
      </c>
      <c r="F981" s="20" t="s">
        <v>3790</v>
      </c>
      <c r="G981" s="20" t="s">
        <v>3791</v>
      </c>
      <c r="H981" s="20" t="s">
        <v>3792</v>
      </c>
      <c r="I981" s="20" t="s">
        <v>23</v>
      </c>
      <c r="J981" s="21">
        <v>2000</v>
      </c>
      <c r="K981" s="20" t="s">
        <v>39</v>
      </c>
      <c r="L981" s="21" t="s">
        <v>30</v>
      </c>
      <c r="M981" s="21" t="s">
        <v>30</v>
      </c>
      <c r="N981" s="20"/>
      <c r="O981" s="20"/>
    </row>
    <row r="982" spans="1:15" ht="13.5" customHeight="1" x14ac:dyDescent="0.25">
      <c r="A982" s="1"/>
      <c r="B982" s="22">
        <v>970</v>
      </c>
      <c r="C982" s="22">
        <v>2023</v>
      </c>
      <c r="D982" s="22">
        <v>41811</v>
      </c>
      <c r="E982" s="22" t="s">
        <v>3793</v>
      </c>
      <c r="F982" s="22" t="s">
        <v>3794</v>
      </c>
      <c r="G982" s="22"/>
      <c r="H982" s="22" t="s">
        <v>3795</v>
      </c>
      <c r="I982" s="22" t="s">
        <v>23</v>
      </c>
      <c r="J982" s="23">
        <v>2018</v>
      </c>
      <c r="K982" s="22" t="s">
        <v>203</v>
      </c>
      <c r="L982" s="23"/>
      <c r="M982" s="23"/>
      <c r="N982" s="22" t="s">
        <v>151</v>
      </c>
      <c r="O982" s="22"/>
    </row>
    <row r="983" spans="1:15" ht="13.5" customHeight="1" x14ac:dyDescent="0.25">
      <c r="A983" s="1"/>
      <c r="B983" s="20">
        <v>971</v>
      </c>
      <c r="C983" s="20">
        <v>2023</v>
      </c>
      <c r="D983" s="20">
        <v>384</v>
      </c>
      <c r="E983" s="20" t="s">
        <v>3796</v>
      </c>
      <c r="F983" s="20" t="s">
        <v>3797</v>
      </c>
      <c r="G983" s="20"/>
      <c r="H983" s="20" t="s">
        <v>3798</v>
      </c>
      <c r="I983" s="20" t="s">
        <v>23</v>
      </c>
      <c r="J983" s="21">
        <v>2000</v>
      </c>
      <c r="K983" s="20" t="s">
        <v>39</v>
      </c>
      <c r="L983" s="21"/>
      <c r="M983" s="21" t="s">
        <v>30</v>
      </c>
      <c r="N983" s="20"/>
      <c r="O983" s="20"/>
    </row>
    <row r="984" spans="1:15" ht="13.5" customHeight="1" x14ac:dyDescent="0.25">
      <c r="A984" s="1"/>
      <c r="B984" s="22">
        <v>972</v>
      </c>
      <c r="C984" s="22">
        <v>2023</v>
      </c>
      <c r="D984" s="22">
        <v>42413</v>
      </c>
      <c r="E984" s="22" t="s">
        <v>3799</v>
      </c>
      <c r="F984" s="22" t="s">
        <v>3800</v>
      </c>
      <c r="G984" s="22" t="s">
        <v>3801</v>
      </c>
      <c r="H984" s="22" t="s">
        <v>3802</v>
      </c>
      <c r="I984" s="22" t="s">
        <v>23</v>
      </c>
      <c r="J984" s="23">
        <v>2018</v>
      </c>
      <c r="K984" s="22" t="s">
        <v>184</v>
      </c>
      <c r="L984" s="23" t="s">
        <v>30</v>
      </c>
      <c r="M984" s="23"/>
      <c r="N984" s="22" t="s">
        <v>213</v>
      </c>
      <c r="O984" s="22"/>
    </row>
    <row r="985" spans="1:15" ht="13.5" customHeight="1" x14ac:dyDescent="0.25">
      <c r="A985" s="1"/>
      <c r="B985" s="20">
        <v>973</v>
      </c>
      <c r="C985" s="20">
        <v>2023</v>
      </c>
      <c r="D985" s="20">
        <v>11548</v>
      </c>
      <c r="E985" s="20" t="s">
        <v>3803</v>
      </c>
      <c r="F985" s="20" t="s">
        <v>3804</v>
      </c>
      <c r="G985" s="20"/>
      <c r="H985" s="20" t="s">
        <v>3805</v>
      </c>
      <c r="I985" s="20" t="s">
        <v>23</v>
      </c>
      <c r="J985" s="21">
        <v>2006</v>
      </c>
      <c r="K985" s="20" t="s">
        <v>39</v>
      </c>
      <c r="L985" s="21"/>
      <c r="M985" s="21" t="s">
        <v>30</v>
      </c>
      <c r="N985" s="20"/>
      <c r="O985" s="20"/>
    </row>
    <row r="986" spans="1:15" ht="13.5" customHeight="1" x14ac:dyDescent="0.25">
      <c r="A986" s="1"/>
      <c r="B986" s="22">
        <v>974</v>
      </c>
      <c r="C986" s="22">
        <v>2023</v>
      </c>
      <c r="D986" s="22">
        <v>11263</v>
      </c>
      <c r="E986" s="22" t="s">
        <v>3806</v>
      </c>
      <c r="F986" s="22" t="s">
        <v>3807</v>
      </c>
      <c r="G986" s="22" t="s">
        <v>3808</v>
      </c>
      <c r="H986" s="22" t="s">
        <v>3809</v>
      </c>
      <c r="I986" s="22" t="s">
        <v>23</v>
      </c>
      <c r="J986" s="23">
        <v>2000</v>
      </c>
      <c r="K986" s="22" t="s">
        <v>114</v>
      </c>
      <c r="L986" s="23" t="s">
        <v>30</v>
      </c>
      <c r="M986" s="23" t="s">
        <v>30</v>
      </c>
      <c r="N986" s="22"/>
      <c r="O986" s="22"/>
    </row>
    <row r="987" spans="1:15" ht="13.5" customHeight="1" x14ac:dyDescent="0.25">
      <c r="A987" s="1"/>
      <c r="B987" s="20">
        <v>975</v>
      </c>
      <c r="C987" s="20">
        <v>2023</v>
      </c>
      <c r="D987" s="20">
        <v>11412</v>
      </c>
      <c r="E987" s="20" t="s">
        <v>3810</v>
      </c>
      <c r="F987" s="20" t="s">
        <v>3811</v>
      </c>
      <c r="G987" s="20" t="s">
        <v>3812</v>
      </c>
      <c r="H987" s="20" t="s">
        <v>3813</v>
      </c>
      <c r="I987" s="20" t="s">
        <v>23</v>
      </c>
      <c r="J987" s="21">
        <v>2006</v>
      </c>
      <c r="K987" s="20" t="s">
        <v>73</v>
      </c>
      <c r="L987" s="21" t="s">
        <v>30</v>
      </c>
      <c r="M987" s="21" t="s">
        <v>30</v>
      </c>
      <c r="N987" s="20"/>
      <c r="O987" s="20"/>
    </row>
    <row r="988" spans="1:15" ht="13.5" customHeight="1" x14ac:dyDescent="0.25">
      <c r="A988" s="1"/>
      <c r="B988" s="22">
        <v>976</v>
      </c>
      <c r="C988" s="22">
        <v>2023</v>
      </c>
      <c r="D988" s="22">
        <v>12555</v>
      </c>
      <c r="E988" s="22" t="s">
        <v>3814</v>
      </c>
      <c r="F988" s="22" t="s">
        <v>3815</v>
      </c>
      <c r="G988" s="22" t="s">
        <v>3816</v>
      </c>
      <c r="H988" s="22" t="s">
        <v>3817</v>
      </c>
      <c r="I988" s="22" t="s">
        <v>3818</v>
      </c>
      <c r="J988" s="23">
        <v>2009</v>
      </c>
      <c r="K988" s="22" t="s">
        <v>67</v>
      </c>
      <c r="L988" s="23" t="s">
        <v>30</v>
      </c>
      <c r="M988" s="23"/>
      <c r="N988" s="22" t="s">
        <v>431</v>
      </c>
      <c r="O988" s="22"/>
    </row>
    <row r="989" spans="1:15" ht="13.5" customHeight="1" x14ac:dyDescent="0.25">
      <c r="A989" s="1"/>
      <c r="B989" s="20">
        <v>977</v>
      </c>
      <c r="C989" s="20">
        <v>2023</v>
      </c>
      <c r="D989" s="20">
        <v>41060</v>
      </c>
      <c r="E989" s="20" t="s">
        <v>3819</v>
      </c>
      <c r="F989" s="20" t="s">
        <v>3820</v>
      </c>
      <c r="G989" s="20" t="s">
        <v>3821</v>
      </c>
      <c r="H989" s="20" t="s">
        <v>3822</v>
      </c>
      <c r="I989" s="20" t="s">
        <v>23</v>
      </c>
      <c r="J989" s="21">
        <v>2016</v>
      </c>
      <c r="K989" s="20" t="s">
        <v>114</v>
      </c>
      <c r="L989" s="21" t="s">
        <v>30</v>
      </c>
      <c r="M989" s="21"/>
      <c r="N989" s="20" t="s">
        <v>204</v>
      </c>
      <c r="O989" s="20"/>
    </row>
    <row r="990" spans="1:15" ht="13.5" customHeight="1" x14ac:dyDescent="0.25">
      <c r="A990" s="1"/>
      <c r="B990" s="22">
        <v>978</v>
      </c>
      <c r="C990" s="22">
        <v>2023</v>
      </c>
      <c r="D990" s="22">
        <v>13410</v>
      </c>
      <c r="E990" s="22" t="s">
        <v>3823</v>
      </c>
      <c r="F990" s="22" t="s">
        <v>3824</v>
      </c>
      <c r="G990" s="22" t="s">
        <v>3825</v>
      </c>
      <c r="H990" s="22" t="s">
        <v>3826</v>
      </c>
      <c r="I990" s="22" t="s">
        <v>23</v>
      </c>
      <c r="J990" s="23">
        <v>2011</v>
      </c>
      <c r="K990" s="22" t="s">
        <v>39</v>
      </c>
      <c r="L990" s="23" t="s">
        <v>30</v>
      </c>
      <c r="M990" s="23"/>
      <c r="N990" s="22" t="s">
        <v>275</v>
      </c>
      <c r="O990" s="22"/>
    </row>
    <row r="991" spans="1:15" ht="13.5" customHeight="1" x14ac:dyDescent="0.25">
      <c r="A991" s="1"/>
      <c r="B991" s="20">
        <v>979</v>
      </c>
      <c r="C991" s="20">
        <v>2023</v>
      </c>
      <c r="D991" s="20">
        <v>42803</v>
      </c>
      <c r="E991" s="20" t="s">
        <v>3827</v>
      </c>
      <c r="F991" s="20" t="s">
        <v>3828</v>
      </c>
      <c r="G991" s="20"/>
      <c r="H991" s="20" t="s">
        <v>3829</v>
      </c>
      <c r="I991" s="20" t="s">
        <v>23</v>
      </c>
      <c r="J991" s="21">
        <v>2019</v>
      </c>
      <c r="K991" s="20" t="s">
        <v>44</v>
      </c>
      <c r="L991" s="21"/>
      <c r="M991" s="21"/>
      <c r="N991" s="20" t="s">
        <v>218</v>
      </c>
      <c r="O991" s="20"/>
    </row>
    <row r="992" spans="1:15" ht="13.5" customHeight="1" x14ac:dyDescent="0.25">
      <c r="A992" s="1"/>
      <c r="B992" s="22">
        <v>980</v>
      </c>
      <c r="C992" s="22">
        <v>2023</v>
      </c>
      <c r="D992" s="22">
        <v>40435</v>
      </c>
      <c r="E992" s="22" t="s">
        <v>3830</v>
      </c>
      <c r="F992" s="22" t="s">
        <v>3831</v>
      </c>
      <c r="G992" s="22" t="s">
        <v>3832</v>
      </c>
      <c r="H992" s="22" t="s">
        <v>3833</v>
      </c>
      <c r="I992" s="22" t="s">
        <v>23</v>
      </c>
      <c r="J992" s="23">
        <v>2013</v>
      </c>
      <c r="K992" s="22" t="s">
        <v>67</v>
      </c>
      <c r="L992" s="23" t="s">
        <v>30</v>
      </c>
      <c r="M992" s="23"/>
      <c r="N992" s="22" t="s">
        <v>260</v>
      </c>
      <c r="O992" s="22"/>
    </row>
    <row r="993" spans="1:15" ht="13.5" customHeight="1" x14ac:dyDescent="0.25">
      <c r="A993" s="1"/>
      <c r="B993" s="20">
        <v>981</v>
      </c>
      <c r="C993" s="20">
        <v>2023</v>
      </c>
      <c r="D993" s="20">
        <v>13158</v>
      </c>
      <c r="E993" s="20" t="s">
        <v>3834</v>
      </c>
      <c r="F993" s="20" t="s">
        <v>3835</v>
      </c>
      <c r="G993" s="20" t="s">
        <v>3836</v>
      </c>
      <c r="H993" s="20" t="s">
        <v>3837</v>
      </c>
      <c r="I993" s="20" t="s">
        <v>23</v>
      </c>
      <c r="J993" s="21">
        <v>2000</v>
      </c>
      <c r="K993" s="20" t="s">
        <v>73</v>
      </c>
      <c r="L993" s="21" t="s">
        <v>30</v>
      </c>
      <c r="M993" s="21"/>
      <c r="N993" s="20" t="s">
        <v>173</v>
      </c>
      <c r="O993" s="20"/>
    </row>
    <row r="994" spans="1:15" ht="13.5" customHeight="1" x14ac:dyDescent="0.25">
      <c r="A994" s="1"/>
      <c r="B994" s="22">
        <v>982</v>
      </c>
      <c r="C994" s="22">
        <v>2023</v>
      </c>
      <c r="D994" s="22">
        <v>531</v>
      </c>
      <c r="E994" s="22" t="s">
        <v>3838</v>
      </c>
      <c r="F994" s="22" t="s">
        <v>3839</v>
      </c>
      <c r="G994" s="22"/>
      <c r="H994" s="22" t="s">
        <v>3840</v>
      </c>
      <c r="I994" s="22" t="s">
        <v>23</v>
      </c>
      <c r="J994" s="23">
        <v>2000</v>
      </c>
      <c r="K994" s="22" t="s">
        <v>95</v>
      </c>
      <c r="L994" s="23"/>
      <c r="M994" s="23" t="s">
        <v>30</v>
      </c>
      <c r="N994" s="22"/>
      <c r="O994" s="22"/>
    </row>
    <row r="995" spans="1:15" ht="13.5" customHeight="1" x14ac:dyDescent="0.25">
      <c r="A995" s="1"/>
      <c r="B995" s="20">
        <v>983</v>
      </c>
      <c r="C995" s="20">
        <v>2023</v>
      </c>
      <c r="D995" s="20">
        <v>42495</v>
      </c>
      <c r="E995" s="20" t="s">
        <v>3841</v>
      </c>
      <c r="F995" s="20" t="s">
        <v>3842</v>
      </c>
      <c r="G995" s="20" t="s">
        <v>3843</v>
      </c>
      <c r="H995" s="20" t="s">
        <v>3844</v>
      </c>
      <c r="I995" s="20" t="s">
        <v>23</v>
      </c>
      <c r="J995" s="21">
        <v>2006</v>
      </c>
      <c r="K995" s="20" t="s">
        <v>475</v>
      </c>
      <c r="L995" s="21" t="s">
        <v>30</v>
      </c>
      <c r="M995" s="21"/>
      <c r="N995" s="20" t="s">
        <v>123</v>
      </c>
      <c r="O995" s="20"/>
    </row>
    <row r="996" spans="1:15" ht="13.5" customHeight="1" x14ac:dyDescent="0.25">
      <c r="A996" s="1"/>
      <c r="B996" s="22">
        <v>984</v>
      </c>
      <c r="C996" s="22">
        <v>2023</v>
      </c>
      <c r="D996" s="22">
        <v>40095</v>
      </c>
      <c r="E996" s="22" t="s">
        <v>3845</v>
      </c>
      <c r="F996" s="22" t="s">
        <v>3846</v>
      </c>
      <c r="G996" s="22"/>
      <c r="H996" s="22" t="s">
        <v>3847</v>
      </c>
      <c r="I996" s="22" t="s">
        <v>23</v>
      </c>
      <c r="J996" s="23">
        <v>2012</v>
      </c>
      <c r="K996" s="22" t="s">
        <v>1059</v>
      </c>
      <c r="L996" s="23"/>
      <c r="M996" s="23"/>
      <c r="N996" s="22"/>
      <c r="O996" s="22"/>
    </row>
    <row r="997" spans="1:15" ht="13.5" customHeight="1" x14ac:dyDescent="0.25">
      <c r="A997" s="1"/>
      <c r="B997" s="20">
        <v>985</v>
      </c>
      <c r="C997" s="20">
        <v>2023</v>
      </c>
      <c r="D997" s="20">
        <v>42108</v>
      </c>
      <c r="E997" s="20" t="s">
        <v>3848</v>
      </c>
      <c r="F997" s="20" t="s">
        <v>3849</v>
      </c>
      <c r="G997" s="20" t="s">
        <v>3850</v>
      </c>
      <c r="H997" s="20" t="s">
        <v>3851</v>
      </c>
      <c r="I997" s="20" t="s">
        <v>23</v>
      </c>
      <c r="J997" s="21">
        <v>2018</v>
      </c>
      <c r="K997" s="20" t="s">
        <v>95</v>
      </c>
      <c r="L997" s="21" t="s">
        <v>30</v>
      </c>
      <c r="M997" s="21"/>
      <c r="N997" s="20" t="s">
        <v>151</v>
      </c>
      <c r="O997" s="20"/>
    </row>
    <row r="998" spans="1:15" ht="13.5" customHeight="1" x14ac:dyDescent="0.25">
      <c r="A998" s="1"/>
      <c r="B998" s="22">
        <v>986</v>
      </c>
      <c r="C998" s="22">
        <v>2023</v>
      </c>
      <c r="D998" s="22">
        <v>41742</v>
      </c>
      <c r="E998" s="22" t="s">
        <v>3852</v>
      </c>
      <c r="F998" s="22" t="s">
        <v>3853</v>
      </c>
      <c r="G998" s="22" t="s">
        <v>3854</v>
      </c>
      <c r="H998" s="22" t="s">
        <v>3855</v>
      </c>
      <c r="I998" s="22" t="s">
        <v>23</v>
      </c>
      <c r="J998" s="23">
        <v>2017</v>
      </c>
      <c r="K998" s="22" t="s">
        <v>95</v>
      </c>
      <c r="L998" s="23" t="s">
        <v>30</v>
      </c>
      <c r="M998" s="23"/>
      <c r="N998" s="22" t="s">
        <v>105</v>
      </c>
      <c r="O998" s="22"/>
    </row>
    <row r="999" spans="1:15" ht="13.5" customHeight="1" x14ac:dyDescent="0.25">
      <c r="A999" s="1"/>
      <c r="B999" s="20">
        <v>987</v>
      </c>
      <c r="C999" s="20">
        <v>2023</v>
      </c>
      <c r="D999" s="20">
        <v>13762</v>
      </c>
      <c r="E999" s="20" t="s">
        <v>3856</v>
      </c>
      <c r="F999" s="20" t="s">
        <v>3857</v>
      </c>
      <c r="G999" s="20" t="s">
        <v>3858</v>
      </c>
      <c r="H999" s="20" t="s">
        <v>3859</v>
      </c>
      <c r="I999" s="20" t="s">
        <v>23</v>
      </c>
      <c r="J999" s="21">
        <v>2004</v>
      </c>
      <c r="K999" s="20" t="s">
        <v>95</v>
      </c>
      <c r="L999" s="21" t="s">
        <v>30</v>
      </c>
      <c r="M999" s="21"/>
      <c r="N999" s="20" t="s">
        <v>163</v>
      </c>
      <c r="O999" s="20"/>
    </row>
    <row r="1000" spans="1:15" ht="13.5" customHeight="1" x14ac:dyDescent="0.25">
      <c r="A1000" s="1"/>
      <c r="B1000" s="22">
        <v>988</v>
      </c>
      <c r="C1000" s="22">
        <v>2023</v>
      </c>
      <c r="D1000" s="22">
        <v>40889</v>
      </c>
      <c r="E1000" s="22" t="s">
        <v>3860</v>
      </c>
      <c r="F1000" s="22" t="s">
        <v>3861</v>
      </c>
      <c r="G1000" s="22" t="s">
        <v>3862</v>
      </c>
      <c r="H1000" s="22" t="s">
        <v>3863</v>
      </c>
      <c r="I1000" s="22" t="s">
        <v>23</v>
      </c>
      <c r="J1000" s="23">
        <v>2016</v>
      </c>
      <c r="K1000" s="22" t="s">
        <v>73</v>
      </c>
      <c r="L1000" s="23" t="s">
        <v>30</v>
      </c>
      <c r="M1000" s="23"/>
      <c r="N1000" s="22" t="s">
        <v>204</v>
      </c>
      <c r="O1000" s="22"/>
    </row>
    <row r="1001" spans="1:15" ht="13.5" customHeight="1" x14ac:dyDescent="0.25">
      <c r="A1001" s="1"/>
      <c r="B1001" s="20">
        <v>989</v>
      </c>
      <c r="C1001" s="20">
        <v>2023</v>
      </c>
      <c r="D1001" s="20">
        <v>10704</v>
      </c>
      <c r="E1001" s="20" t="s">
        <v>3864</v>
      </c>
      <c r="F1001" s="20" t="s">
        <v>3865</v>
      </c>
      <c r="G1001" s="20" t="s">
        <v>3866</v>
      </c>
      <c r="H1001" s="20" t="s">
        <v>3867</v>
      </c>
      <c r="I1001" s="20" t="s">
        <v>23</v>
      </c>
      <c r="J1001" s="21">
        <v>2000</v>
      </c>
      <c r="K1001" s="20" t="s">
        <v>67</v>
      </c>
      <c r="L1001" s="21" t="s">
        <v>30</v>
      </c>
      <c r="M1001" s="21" t="s">
        <v>30</v>
      </c>
      <c r="N1001" s="20"/>
      <c r="O1001" s="20"/>
    </row>
    <row r="1002" spans="1:15" ht="13.5" customHeight="1" x14ac:dyDescent="0.25">
      <c r="A1002" s="1"/>
      <c r="B1002" s="22">
        <v>990</v>
      </c>
      <c r="C1002" s="22">
        <v>2023</v>
      </c>
      <c r="D1002" s="22">
        <v>40815</v>
      </c>
      <c r="E1002" s="22" t="s">
        <v>3868</v>
      </c>
      <c r="F1002" s="22" t="s">
        <v>3869</v>
      </c>
      <c r="G1002" s="22" t="s">
        <v>3870</v>
      </c>
      <c r="H1002" s="22" t="s">
        <v>3871</v>
      </c>
      <c r="I1002" s="22" t="s">
        <v>23</v>
      </c>
      <c r="J1002" s="23">
        <v>2015</v>
      </c>
      <c r="K1002" s="22" t="s">
        <v>67</v>
      </c>
      <c r="L1002" s="23" t="s">
        <v>30</v>
      </c>
      <c r="M1002" s="23"/>
      <c r="N1002" s="22" t="s">
        <v>68</v>
      </c>
      <c r="O1002" s="22"/>
    </row>
    <row r="1003" spans="1:15" ht="13.5" customHeight="1" x14ac:dyDescent="0.25">
      <c r="A1003" s="1"/>
      <c r="B1003" s="20">
        <v>991</v>
      </c>
      <c r="C1003" s="20">
        <v>2023</v>
      </c>
      <c r="D1003" s="20">
        <v>182</v>
      </c>
      <c r="E1003" s="20" t="s">
        <v>3872</v>
      </c>
      <c r="F1003" s="20" t="s">
        <v>3873</v>
      </c>
      <c r="G1003" s="20" t="s">
        <v>3874</v>
      </c>
      <c r="H1003" s="20" t="s">
        <v>3875</v>
      </c>
      <c r="I1003" s="20" t="s">
        <v>23</v>
      </c>
      <c r="J1003" s="21">
        <v>2000</v>
      </c>
      <c r="K1003" s="20" t="s">
        <v>475</v>
      </c>
      <c r="L1003" s="21" t="s">
        <v>30</v>
      </c>
      <c r="M1003" s="21" t="s">
        <v>30</v>
      </c>
      <c r="N1003" s="20"/>
      <c r="O1003" s="20"/>
    </row>
    <row r="1004" spans="1:15" ht="13.5" customHeight="1" x14ac:dyDescent="0.25">
      <c r="A1004" s="1"/>
      <c r="B1004" s="22">
        <v>992</v>
      </c>
      <c r="C1004" s="22">
        <v>2023</v>
      </c>
      <c r="D1004" s="22">
        <v>40891</v>
      </c>
      <c r="E1004" s="22" t="s">
        <v>3876</v>
      </c>
      <c r="F1004" s="22" t="s">
        <v>3877</v>
      </c>
      <c r="G1004" s="22" t="s">
        <v>3878</v>
      </c>
      <c r="H1004" s="22" t="s">
        <v>3879</v>
      </c>
      <c r="I1004" s="22" t="s">
        <v>23</v>
      </c>
      <c r="J1004" s="23">
        <v>2015</v>
      </c>
      <c r="K1004" s="22" t="s">
        <v>67</v>
      </c>
      <c r="L1004" s="23" t="s">
        <v>30</v>
      </c>
      <c r="M1004" s="23"/>
      <c r="N1004" s="22" t="s">
        <v>185</v>
      </c>
      <c r="O1004" s="22"/>
    </row>
    <row r="1005" spans="1:15" ht="13.5" customHeight="1" x14ac:dyDescent="0.25">
      <c r="A1005" s="1"/>
      <c r="B1005" s="20">
        <v>993</v>
      </c>
      <c r="C1005" s="20">
        <v>2023</v>
      </c>
      <c r="D1005" s="20">
        <v>42943</v>
      </c>
      <c r="E1005" s="20" t="s">
        <v>3880</v>
      </c>
      <c r="F1005" s="20" t="s">
        <v>3881</v>
      </c>
      <c r="G1005" s="20"/>
      <c r="H1005" s="20" t="s">
        <v>3882</v>
      </c>
      <c r="I1005" s="20" t="s">
        <v>23</v>
      </c>
      <c r="J1005" s="21">
        <v>2019</v>
      </c>
      <c r="K1005" s="20" t="s">
        <v>29</v>
      </c>
      <c r="L1005" s="21"/>
      <c r="M1005" s="21"/>
      <c r="N1005" s="20" t="s">
        <v>123</v>
      </c>
      <c r="O1005" s="20"/>
    </row>
    <row r="1006" spans="1:15" ht="13.5" customHeight="1" x14ac:dyDescent="0.25">
      <c r="A1006" s="1"/>
      <c r="B1006" s="22">
        <v>994</v>
      </c>
      <c r="C1006" s="22">
        <v>2023</v>
      </c>
      <c r="D1006" s="22">
        <v>10754</v>
      </c>
      <c r="E1006" s="22" t="s">
        <v>3883</v>
      </c>
      <c r="F1006" s="22" t="s">
        <v>3884</v>
      </c>
      <c r="G1006" s="22" t="s">
        <v>3885</v>
      </c>
      <c r="H1006" s="22" t="s">
        <v>3886</v>
      </c>
      <c r="I1006" s="22" t="s">
        <v>23</v>
      </c>
      <c r="J1006" s="23">
        <v>2001</v>
      </c>
      <c r="K1006" s="22" t="s">
        <v>39</v>
      </c>
      <c r="L1006" s="23" t="s">
        <v>30</v>
      </c>
      <c r="M1006" s="23" t="s">
        <v>30</v>
      </c>
      <c r="N1006" s="22"/>
      <c r="O1006" s="22"/>
    </row>
    <row r="1007" spans="1:15" ht="13.5" customHeight="1" x14ac:dyDescent="0.25">
      <c r="A1007" s="1"/>
      <c r="B1007" s="20">
        <v>995</v>
      </c>
      <c r="C1007" s="20">
        <v>2023</v>
      </c>
      <c r="D1007" s="20">
        <v>12185</v>
      </c>
      <c r="E1007" s="20" t="s">
        <v>3887</v>
      </c>
      <c r="F1007" s="20" t="s">
        <v>3888</v>
      </c>
      <c r="G1007" s="20" t="s">
        <v>3889</v>
      </c>
      <c r="H1007" s="20" t="s">
        <v>3890</v>
      </c>
      <c r="I1007" s="20" t="s">
        <v>23</v>
      </c>
      <c r="J1007" s="21">
        <v>2001</v>
      </c>
      <c r="K1007" s="20" t="s">
        <v>39</v>
      </c>
      <c r="L1007" s="21" t="s">
        <v>30</v>
      </c>
      <c r="M1007" s="21" t="s">
        <v>30</v>
      </c>
      <c r="N1007" s="20" t="s">
        <v>35</v>
      </c>
      <c r="O1007" s="20"/>
    </row>
    <row r="1008" spans="1:15" ht="13.5" customHeight="1" x14ac:dyDescent="0.25">
      <c r="A1008" s="1"/>
      <c r="B1008" s="22">
        <v>996</v>
      </c>
      <c r="C1008" s="22">
        <v>2023</v>
      </c>
      <c r="D1008" s="22">
        <v>11407</v>
      </c>
      <c r="E1008" s="22" t="s">
        <v>3891</v>
      </c>
      <c r="F1008" s="22" t="s">
        <v>3892</v>
      </c>
      <c r="G1008" s="22" t="s">
        <v>3893</v>
      </c>
      <c r="H1008" s="22" t="s">
        <v>3894</v>
      </c>
      <c r="I1008" s="22" t="s">
        <v>23</v>
      </c>
      <c r="J1008" s="23">
        <v>2000</v>
      </c>
      <c r="K1008" s="22" t="s">
        <v>3895</v>
      </c>
      <c r="L1008" s="23" t="s">
        <v>30</v>
      </c>
      <c r="M1008" s="23" t="s">
        <v>30</v>
      </c>
      <c r="N1008" s="22"/>
      <c r="O1008" s="22"/>
    </row>
    <row r="1009" spans="1:15" ht="13.5" customHeight="1" x14ac:dyDescent="0.25">
      <c r="A1009" s="1"/>
      <c r="B1009" s="20">
        <v>997</v>
      </c>
      <c r="C1009" s="20">
        <v>2023</v>
      </c>
      <c r="D1009" s="20">
        <v>10761</v>
      </c>
      <c r="E1009" s="20" t="s">
        <v>3896</v>
      </c>
      <c r="F1009" s="20" t="s">
        <v>3897</v>
      </c>
      <c r="G1009" s="20" t="s">
        <v>3898</v>
      </c>
      <c r="H1009" s="20" t="s">
        <v>3899</v>
      </c>
      <c r="I1009" s="20" t="s">
        <v>23</v>
      </c>
      <c r="J1009" s="21">
        <v>2000</v>
      </c>
      <c r="K1009" s="20" t="s">
        <v>184</v>
      </c>
      <c r="L1009" s="21" t="s">
        <v>30</v>
      </c>
      <c r="M1009" s="21" t="s">
        <v>30</v>
      </c>
      <c r="N1009" s="20"/>
      <c r="O1009" s="20"/>
    </row>
    <row r="1010" spans="1:15" ht="13.5" customHeight="1" x14ac:dyDescent="0.25">
      <c r="A1010" s="1"/>
      <c r="B1010" s="22">
        <v>998</v>
      </c>
      <c r="C1010" s="22">
        <v>2023</v>
      </c>
      <c r="D1010" s="22">
        <v>10207</v>
      </c>
      <c r="E1010" s="22" t="s">
        <v>3900</v>
      </c>
      <c r="F1010" s="22" t="s">
        <v>3901</v>
      </c>
      <c r="G1010" s="22" t="s">
        <v>3902</v>
      </c>
      <c r="H1010" s="22" t="s">
        <v>3903</v>
      </c>
      <c r="I1010" s="22" t="s">
        <v>23</v>
      </c>
      <c r="J1010" s="23">
        <v>2001</v>
      </c>
      <c r="K1010" s="22" t="s">
        <v>114</v>
      </c>
      <c r="L1010" s="23" t="s">
        <v>30</v>
      </c>
      <c r="M1010" s="23" t="s">
        <v>30</v>
      </c>
      <c r="N1010" s="22"/>
      <c r="O1010" s="22"/>
    </row>
    <row r="1011" spans="1:15" ht="13.5" customHeight="1" x14ac:dyDescent="0.25">
      <c r="A1011" s="1"/>
      <c r="B1011" s="20">
        <v>999</v>
      </c>
      <c r="C1011" s="20">
        <v>2023</v>
      </c>
      <c r="D1011" s="20">
        <v>41870</v>
      </c>
      <c r="E1011" s="20" t="s">
        <v>3904</v>
      </c>
      <c r="F1011" s="20" t="s">
        <v>3905</v>
      </c>
      <c r="G1011" s="20" t="s">
        <v>3906</v>
      </c>
      <c r="H1011" s="20" t="s">
        <v>3907</v>
      </c>
      <c r="I1011" s="20" t="s">
        <v>23</v>
      </c>
      <c r="J1011" s="21">
        <v>2017</v>
      </c>
      <c r="K1011" s="20" t="s">
        <v>114</v>
      </c>
      <c r="L1011" s="21" t="s">
        <v>30</v>
      </c>
      <c r="M1011" s="21"/>
      <c r="N1011" s="20" t="s">
        <v>105</v>
      </c>
      <c r="O1011" s="20"/>
    </row>
    <row r="1012" spans="1:15" ht="13.5" customHeight="1" x14ac:dyDescent="0.25">
      <c r="A1012" s="1"/>
      <c r="B1012" s="22">
        <v>1000</v>
      </c>
      <c r="C1012" s="22">
        <v>2023</v>
      </c>
      <c r="D1012" s="22">
        <v>41315</v>
      </c>
      <c r="E1012" s="22" t="s">
        <v>3908</v>
      </c>
      <c r="F1012" s="22" t="s">
        <v>3909</v>
      </c>
      <c r="G1012" s="22" t="s">
        <v>3910</v>
      </c>
      <c r="H1012" s="22" t="s">
        <v>3911</v>
      </c>
      <c r="I1012" s="22" t="s">
        <v>23</v>
      </c>
      <c r="J1012" s="23">
        <v>2017</v>
      </c>
      <c r="K1012" s="22" t="s">
        <v>114</v>
      </c>
      <c r="L1012" s="23" t="s">
        <v>30</v>
      </c>
      <c r="M1012" s="23"/>
      <c r="N1012" s="22" t="s">
        <v>265</v>
      </c>
      <c r="O1012" s="22"/>
    </row>
    <row r="1013" spans="1:15" ht="13.5" customHeight="1" x14ac:dyDescent="0.25">
      <c r="A1013" s="1"/>
      <c r="B1013" s="20">
        <v>1001</v>
      </c>
      <c r="C1013" s="20">
        <v>2023</v>
      </c>
      <c r="D1013" s="20">
        <v>13177</v>
      </c>
      <c r="E1013" s="20" t="s">
        <v>3912</v>
      </c>
      <c r="F1013" s="20" t="s">
        <v>3913</v>
      </c>
      <c r="G1013" s="20" t="s">
        <v>3914</v>
      </c>
      <c r="H1013" s="20" t="s">
        <v>3915</v>
      </c>
      <c r="I1013" s="20" t="s">
        <v>23</v>
      </c>
      <c r="J1013" s="21">
        <v>2010</v>
      </c>
      <c r="K1013" s="20" t="s">
        <v>67</v>
      </c>
      <c r="L1013" s="21" t="s">
        <v>30</v>
      </c>
      <c r="M1013" s="21"/>
      <c r="N1013" s="20" t="s">
        <v>173</v>
      </c>
      <c r="O1013" s="20"/>
    </row>
    <row r="1014" spans="1:15" ht="13.5" customHeight="1" x14ac:dyDescent="0.25">
      <c r="A1014" s="1"/>
      <c r="B1014" s="22">
        <v>1002</v>
      </c>
      <c r="C1014" s="22">
        <v>2023</v>
      </c>
      <c r="D1014" s="22">
        <v>41603</v>
      </c>
      <c r="E1014" s="22" t="s">
        <v>3916</v>
      </c>
      <c r="F1014" s="22" t="s">
        <v>3917</v>
      </c>
      <c r="G1014" s="22" t="s">
        <v>3918</v>
      </c>
      <c r="H1014" s="22" t="s">
        <v>3919</v>
      </c>
      <c r="I1014" s="22" t="s">
        <v>23</v>
      </c>
      <c r="J1014" s="23">
        <v>2017</v>
      </c>
      <c r="K1014" s="22" t="s">
        <v>184</v>
      </c>
      <c r="L1014" s="23" t="s">
        <v>30</v>
      </c>
      <c r="M1014" s="23"/>
      <c r="N1014" s="22" t="s">
        <v>265</v>
      </c>
      <c r="O1014" s="22"/>
    </row>
    <row r="1015" spans="1:15" ht="13.5" customHeight="1" x14ac:dyDescent="0.25">
      <c r="A1015" s="1"/>
      <c r="B1015" s="20">
        <v>1003</v>
      </c>
      <c r="C1015" s="20">
        <v>2023</v>
      </c>
      <c r="D1015" s="20">
        <v>414</v>
      </c>
      <c r="E1015" s="20" t="s">
        <v>3920</v>
      </c>
      <c r="F1015" s="20" t="s">
        <v>3921</v>
      </c>
      <c r="G1015" s="20" t="s">
        <v>3922</v>
      </c>
      <c r="H1015" s="20" t="s">
        <v>3923</v>
      </c>
      <c r="I1015" s="20" t="s">
        <v>23</v>
      </c>
      <c r="J1015" s="21">
        <v>2000</v>
      </c>
      <c r="K1015" s="20" t="s">
        <v>39</v>
      </c>
      <c r="L1015" s="21" t="s">
        <v>30</v>
      </c>
      <c r="M1015" s="21" t="s">
        <v>30</v>
      </c>
      <c r="N1015" s="20"/>
      <c r="O1015" s="20"/>
    </row>
    <row r="1016" spans="1:15" ht="13.5" customHeight="1" x14ac:dyDescent="0.25">
      <c r="A1016" s="1"/>
      <c r="B1016" s="22">
        <v>1004</v>
      </c>
      <c r="C1016" s="22">
        <v>2023</v>
      </c>
      <c r="D1016" s="22">
        <v>13042</v>
      </c>
      <c r="E1016" s="22" t="s">
        <v>3924</v>
      </c>
      <c r="F1016" s="22" t="s">
        <v>3925</v>
      </c>
      <c r="G1016" s="22" t="s">
        <v>3926</v>
      </c>
      <c r="H1016" s="22" t="s">
        <v>3927</v>
      </c>
      <c r="I1016" s="22" t="s">
        <v>23</v>
      </c>
      <c r="J1016" s="23">
        <v>2010</v>
      </c>
      <c r="K1016" s="22" t="s">
        <v>67</v>
      </c>
      <c r="L1016" s="23" t="s">
        <v>30</v>
      </c>
      <c r="M1016" s="23" t="s">
        <v>30</v>
      </c>
      <c r="N1016" s="22" t="s">
        <v>1310</v>
      </c>
      <c r="O1016" s="22"/>
    </row>
    <row r="1017" spans="1:15" ht="13.5" customHeight="1" x14ac:dyDescent="0.25">
      <c r="A1017" s="1"/>
      <c r="B1017" s="20">
        <v>1005</v>
      </c>
      <c r="C1017" s="20">
        <v>2023</v>
      </c>
      <c r="D1017" s="20">
        <v>12289</v>
      </c>
      <c r="E1017" s="20" t="s">
        <v>3928</v>
      </c>
      <c r="F1017" s="20" t="s">
        <v>3929</v>
      </c>
      <c r="G1017" s="20" t="s">
        <v>3930</v>
      </c>
      <c r="H1017" s="20" t="s">
        <v>3931</v>
      </c>
      <c r="I1017" s="20" t="s">
        <v>23</v>
      </c>
      <c r="J1017" s="21">
        <v>2008</v>
      </c>
      <c r="K1017" s="20" t="s">
        <v>67</v>
      </c>
      <c r="L1017" s="21" t="s">
        <v>30</v>
      </c>
      <c r="M1017" s="21" t="s">
        <v>30</v>
      </c>
      <c r="N1017" s="20" t="s">
        <v>352</v>
      </c>
      <c r="O1017" s="20"/>
    </row>
    <row r="1018" spans="1:15" ht="13.5" customHeight="1" x14ac:dyDescent="0.25">
      <c r="A1018" s="1"/>
      <c r="B1018" s="22">
        <v>1006</v>
      </c>
      <c r="C1018" s="22">
        <v>2023</v>
      </c>
      <c r="D1018" s="22">
        <v>10999</v>
      </c>
      <c r="E1018" s="22" t="s">
        <v>3932</v>
      </c>
      <c r="F1018" s="22" t="s">
        <v>3933</v>
      </c>
      <c r="G1018" s="22" t="s">
        <v>3934</v>
      </c>
      <c r="H1018" s="22" t="s">
        <v>3935</v>
      </c>
      <c r="I1018" s="22" t="s">
        <v>23</v>
      </c>
      <c r="J1018" s="23">
        <v>2004</v>
      </c>
      <c r="K1018" s="22" t="s">
        <v>67</v>
      </c>
      <c r="L1018" s="23" t="s">
        <v>30</v>
      </c>
      <c r="M1018" s="23" t="s">
        <v>30</v>
      </c>
      <c r="N1018" s="22"/>
      <c r="O1018" s="22"/>
    </row>
    <row r="1019" spans="1:15" ht="13.5" customHeight="1" x14ac:dyDescent="0.25">
      <c r="A1019" s="1"/>
      <c r="B1019" s="20">
        <v>1007</v>
      </c>
      <c r="C1019" s="20">
        <v>2023</v>
      </c>
      <c r="D1019" s="20">
        <v>11469</v>
      </c>
      <c r="E1019" s="20" t="s">
        <v>3936</v>
      </c>
      <c r="F1019" s="20" t="s">
        <v>3937</v>
      </c>
      <c r="G1019" s="20" t="s">
        <v>3938</v>
      </c>
      <c r="H1019" s="20" t="s">
        <v>3939</v>
      </c>
      <c r="I1019" s="20" t="s">
        <v>23</v>
      </c>
      <c r="J1019" s="21">
        <v>2006</v>
      </c>
      <c r="K1019" s="20" t="s">
        <v>39</v>
      </c>
      <c r="L1019" s="21" t="s">
        <v>30</v>
      </c>
      <c r="M1019" s="21" t="s">
        <v>30</v>
      </c>
      <c r="N1019" s="20"/>
      <c r="O1019" s="20"/>
    </row>
    <row r="1020" spans="1:15" ht="13.5" customHeight="1" x14ac:dyDescent="0.25">
      <c r="A1020" s="1"/>
      <c r="B1020" s="22">
        <v>1008</v>
      </c>
      <c r="C1020" s="22">
        <v>2023</v>
      </c>
      <c r="D1020" s="22">
        <v>40962</v>
      </c>
      <c r="E1020" s="22" t="s">
        <v>3940</v>
      </c>
      <c r="F1020" s="22" t="s">
        <v>3941</v>
      </c>
      <c r="G1020" s="22" t="s">
        <v>3942</v>
      </c>
      <c r="H1020" s="22" t="s">
        <v>3943</v>
      </c>
      <c r="I1020" s="22" t="s">
        <v>23</v>
      </c>
      <c r="J1020" s="23">
        <v>2007</v>
      </c>
      <c r="K1020" s="22" t="s">
        <v>24</v>
      </c>
      <c r="L1020" s="23" t="s">
        <v>30</v>
      </c>
      <c r="M1020" s="23"/>
      <c r="N1020" s="22" t="s">
        <v>1470</v>
      </c>
      <c r="O1020" s="22"/>
    </row>
    <row r="1021" spans="1:15" ht="13.5" customHeight="1" x14ac:dyDescent="0.25">
      <c r="A1021" s="1"/>
      <c r="B1021" s="20">
        <v>1009</v>
      </c>
      <c r="C1021" s="20">
        <v>2023</v>
      </c>
      <c r="D1021" s="20">
        <v>12613</v>
      </c>
      <c r="E1021" s="20" t="s">
        <v>3944</v>
      </c>
      <c r="F1021" s="20" t="s">
        <v>3945</v>
      </c>
      <c r="G1021" s="20" t="s">
        <v>3946</v>
      </c>
      <c r="H1021" s="20" t="s">
        <v>3947</v>
      </c>
      <c r="I1021" s="20" t="s">
        <v>3948</v>
      </c>
      <c r="J1021" s="21">
        <v>2010</v>
      </c>
      <c r="K1021" s="20" t="s">
        <v>24</v>
      </c>
      <c r="L1021" s="21" t="s">
        <v>30</v>
      </c>
      <c r="M1021" s="21"/>
      <c r="N1021" s="20" t="s">
        <v>173</v>
      </c>
      <c r="O1021" s="20"/>
    </row>
    <row r="1022" spans="1:15" ht="13.5" customHeight="1" x14ac:dyDescent="0.25">
      <c r="A1022" s="1"/>
      <c r="B1022" s="22">
        <v>1010</v>
      </c>
      <c r="C1022" s="22">
        <v>2023</v>
      </c>
      <c r="D1022" s="22">
        <v>13735</v>
      </c>
      <c r="E1022" s="22" t="s">
        <v>3949</v>
      </c>
      <c r="F1022" s="22" t="s">
        <v>3950</v>
      </c>
      <c r="G1022" s="22" t="s">
        <v>3951</v>
      </c>
      <c r="H1022" s="22" t="s">
        <v>3952</v>
      </c>
      <c r="I1022" s="22" t="s">
        <v>23</v>
      </c>
      <c r="J1022" s="23">
        <v>2012</v>
      </c>
      <c r="K1022" s="22" t="s">
        <v>114</v>
      </c>
      <c r="L1022" s="23" t="s">
        <v>30</v>
      </c>
      <c r="M1022" s="23"/>
      <c r="N1022" s="22" t="s">
        <v>324</v>
      </c>
      <c r="O1022" s="22"/>
    </row>
    <row r="1023" spans="1:15" ht="13.5" customHeight="1" x14ac:dyDescent="0.25">
      <c r="A1023" s="1"/>
      <c r="B1023" s="20">
        <v>1011</v>
      </c>
      <c r="C1023" s="20">
        <v>2023</v>
      </c>
      <c r="D1023" s="20">
        <v>10766</v>
      </c>
      <c r="E1023" s="20" t="s">
        <v>3953</v>
      </c>
      <c r="F1023" s="20" t="s">
        <v>3954</v>
      </c>
      <c r="G1023" s="20" t="s">
        <v>3955</v>
      </c>
      <c r="H1023" s="20" t="s">
        <v>3956</v>
      </c>
      <c r="I1023" s="20" t="s">
        <v>23</v>
      </c>
      <c r="J1023" s="21">
        <v>2000</v>
      </c>
      <c r="K1023" s="20" t="s">
        <v>114</v>
      </c>
      <c r="L1023" s="21" t="s">
        <v>30</v>
      </c>
      <c r="M1023" s="21" t="s">
        <v>30</v>
      </c>
      <c r="N1023" s="20"/>
      <c r="O1023" s="20"/>
    </row>
    <row r="1024" spans="1:15" ht="13.5" customHeight="1" x14ac:dyDescent="0.25">
      <c r="A1024" s="1"/>
      <c r="B1024" s="22">
        <v>1012</v>
      </c>
      <c r="C1024" s="22">
        <v>2023</v>
      </c>
      <c r="D1024" s="22">
        <v>42947</v>
      </c>
      <c r="E1024" s="22" t="s">
        <v>3957</v>
      </c>
      <c r="F1024" s="22" t="s">
        <v>3958</v>
      </c>
      <c r="G1024" s="22" t="s">
        <v>3959</v>
      </c>
      <c r="H1024" s="22" t="s">
        <v>3960</v>
      </c>
      <c r="I1024" s="22" t="s">
        <v>23</v>
      </c>
      <c r="J1024" s="23">
        <v>2019</v>
      </c>
      <c r="K1024" s="22" t="s">
        <v>67</v>
      </c>
      <c r="L1024" s="23" t="s">
        <v>30</v>
      </c>
      <c r="M1024" s="23"/>
      <c r="N1024" s="22" t="s">
        <v>123</v>
      </c>
      <c r="O1024" s="22"/>
    </row>
    <row r="1025" spans="1:15" ht="13.5" customHeight="1" x14ac:dyDescent="0.25">
      <c r="A1025" s="1"/>
      <c r="B1025" s="20">
        <v>1013</v>
      </c>
      <c r="C1025" s="20">
        <v>2023</v>
      </c>
      <c r="D1025" s="20">
        <v>10989</v>
      </c>
      <c r="E1025" s="20" t="s">
        <v>3961</v>
      </c>
      <c r="F1025" s="20" t="s">
        <v>3962</v>
      </c>
      <c r="G1025" s="20"/>
      <c r="H1025" s="20" t="s">
        <v>3963</v>
      </c>
      <c r="I1025" s="20" t="s">
        <v>23</v>
      </c>
      <c r="J1025" s="21">
        <v>2000</v>
      </c>
      <c r="K1025" s="20" t="s">
        <v>34</v>
      </c>
      <c r="L1025" s="21"/>
      <c r="M1025" s="21" t="s">
        <v>30</v>
      </c>
      <c r="N1025" s="20"/>
      <c r="O1025" s="20"/>
    </row>
    <row r="1026" spans="1:15" ht="13.5" customHeight="1" x14ac:dyDescent="0.25">
      <c r="A1026" s="1"/>
      <c r="B1026" s="22">
        <v>1014</v>
      </c>
      <c r="C1026" s="22">
        <v>2023</v>
      </c>
      <c r="D1026" s="22">
        <v>42106</v>
      </c>
      <c r="E1026" s="22" t="s">
        <v>3964</v>
      </c>
      <c r="F1026" s="22" t="s">
        <v>3965</v>
      </c>
      <c r="G1026" s="22" t="s">
        <v>3966</v>
      </c>
      <c r="H1026" s="22" t="s">
        <v>3967</v>
      </c>
      <c r="I1026" s="22" t="s">
        <v>23</v>
      </c>
      <c r="J1026" s="23">
        <v>2018</v>
      </c>
      <c r="K1026" s="22" t="s">
        <v>34</v>
      </c>
      <c r="L1026" s="23" t="s">
        <v>30</v>
      </c>
      <c r="M1026" s="23"/>
      <c r="N1026" s="22" t="s">
        <v>151</v>
      </c>
      <c r="O1026" s="22"/>
    </row>
    <row r="1027" spans="1:15" ht="13.5" customHeight="1" x14ac:dyDescent="0.25">
      <c r="A1027" s="1"/>
      <c r="B1027" s="20">
        <v>1015</v>
      </c>
      <c r="C1027" s="20">
        <v>2023</v>
      </c>
      <c r="D1027" s="20">
        <v>10767</v>
      </c>
      <c r="E1027" s="20" t="s">
        <v>3968</v>
      </c>
      <c r="F1027" s="20" t="s">
        <v>3969</v>
      </c>
      <c r="G1027" s="20" t="s">
        <v>3970</v>
      </c>
      <c r="H1027" s="20" t="s">
        <v>3971</v>
      </c>
      <c r="I1027" s="20" t="s">
        <v>23</v>
      </c>
      <c r="J1027" s="21">
        <v>2000</v>
      </c>
      <c r="K1027" s="20" t="s">
        <v>184</v>
      </c>
      <c r="L1027" s="21" t="s">
        <v>30</v>
      </c>
      <c r="M1027" s="21" t="s">
        <v>30</v>
      </c>
      <c r="N1027" s="20"/>
      <c r="O1027" s="20"/>
    </row>
    <row r="1028" spans="1:15" ht="13.5" customHeight="1" x14ac:dyDescent="0.25">
      <c r="A1028" s="1"/>
      <c r="B1028" s="22">
        <v>1016</v>
      </c>
      <c r="C1028" s="22">
        <v>2023</v>
      </c>
      <c r="D1028" s="22">
        <v>12541</v>
      </c>
      <c r="E1028" s="22" t="s">
        <v>3972</v>
      </c>
      <c r="F1028" s="22" t="s">
        <v>3973</v>
      </c>
      <c r="G1028" s="22" t="s">
        <v>3974</v>
      </c>
      <c r="H1028" s="22" t="s">
        <v>3975</v>
      </c>
      <c r="I1028" s="22" t="s">
        <v>3976</v>
      </c>
      <c r="J1028" s="23">
        <v>2009</v>
      </c>
      <c r="K1028" s="22" t="s">
        <v>67</v>
      </c>
      <c r="L1028" s="23" t="s">
        <v>30</v>
      </c>
      <c r="M1028" s="23"/>
      <c r="N1028" s="22" t="s">
        <v>431</v>
      </c>
      <c r="O1028" s="22"/>
    </row>
    <row r="1029" spans="1:15" ht="13.5" customHeight="1" x14ac:dyDescent="0.25">
      <c r="A1029" s="1"/>
      <c r="B1029" s="20">
        <v>1017</v>
      </c>
      <c r="C1029" s="20">
        <v>2023</v>
      </c>
      <c r="D1029" s="20">
        <v>40684</v>
      </c>
      <c r="E1029" s="20" t="s">
        <v>3977</v>
      </c>
      <c r="F1029" s="20" t="s">
        <v>3978</v>
      </c>
      <c r="G1029" s="20" t="s">
        <v>3979</v>
      </c>
      <c r="H1029" s="20" t="s">
        <v>3980</v>
      </c>
      <c r="I1029" s="20" t="s">
        <v>3976</v>
      </c>
      <c r="J1029" s="21">
        <v>2014</v>
      </c>
      <c r="K1029" s="20" t="s">
        <v>67</v>
      </c>
      <c r="L1029" s="21" t="s">
        <v>30</v>
      </c>
      <c r="M1029" s="21"/>
      <c r="N1029" s="20" t="s">
        <v>381</v>
      </c>
      <c r="O1029" s="20"/>
    </row>
    <row r="1030" spans="1:15" ht="13.5" customHeight="1" x14ac:dyDescent="0.25">
      <c r="A1030" s="1"/>
      <c r="B1030" s="22">
        <v>1018</v>
      </c>
      <c r="C1030" s="22">
        <v>2023</v>
      </c>
      <c r="D1030" s="22">
        <v>10764</v>
      </c>
      <c r="E1030" s="22" t="s">
        <v>3981</v>
      </c>
      <c r="F1030" s="22" t="s">
        <v>3982</v>
      </c>
      <c r="G1030" s="22" t="s">
        <v>3983</v>
      </c>
      <c r="H1030" s="22" t="s">
        <v>3984</v>
      </c>
      <c r="I1030" s="22" t="s">
        <v>23</v>
      </c>
      <c r="J1030" s="23">
        <v>2000</v>
      </c>
      <c r="K1030" s="22" t="s">
        <v>34</v>
      </c>
      <c r="L1030" s="23" t="s">
        <v>30</v>
      </c>
      <c r="M1030" s="23" t="s">
        <v>30</v>
      </c>
      <c r="N1030" s="22"/>
      <c r="O1030" s="22"/>
    </row>
    <row r="1031" spans="1:15" ht="13.5" customHeight="1" x14ac:dyDescent="0.25">
      <c r="A1031" s="1"/>
      <c r="B1031" s="20">
        <v>1019</v>
      </c>
      <c r="C1031" s="20">
        <v>2023</v>
      </c>
      <c r="D1031" s="20">
        <v>40753</v>
      </c>
      <c r="E1031" s="20" t="s">
        <v>3985</v>
      </c>
      <c r="F1031" s="20" t="s">
        <v>3986</v>
      </c>
      <c r="G1031" s="20" t="s">
        <v>3987</v>
      </c>
      <c r="H1031" s="20" t="s">
        <v>3988</v>
      </c>
      <c r="I1031" s="20" t="s">
        <v>23</v>
      </c>
      <c r="J1031" s="21">
        <v>2015</v>
      </c>
      <c r="K1031" s="20" t="s">
        <v>73</v>
      </c>
      <c r="L1031" s="21" t="s">
        <v>30</v>
      </c>
      <c r="M1031" s="21"/>
      <c r="N1031" s="20" t="s">
        <v>185</v>
      </c>
      <c r="O1031" s="20"/>
    </row>
    <row r="1032" spans="1:15" ht="13.5" customHeight="1" x14ac:dyDescent="0.25">
      <c r="A1032" s="1"/>
      <c r="B1032" s="22">
        <v>1020</v>
      </c>
      <c r="C1032" s="22">
        <v>2023</v>
      </c>
      <c r="D1032" s="22">
        <v>10763</v>
      </c>
      <c r="E1032" s="22" t="s">
        <v>3989</v>
      </c>
      <c r="F1032" s="22" t="s">
        <v>3990</v>
      </c>
      <c r="G1032" s="22" t="s">
        <v>3991</v>
      </c>
      <c r="H1032" s="22" t="s">
        <v>3992</v>
      </c>
      <c r="I1032" s="22" t="s">
        <v>23</v>
      </c>
      <c r="J1032" s="23">
        <v>2003</v>
      </c>
      <c r="K1032" s="22" t="s">
        <v>73</v>
      </c>
      <c r="L1032" s="23" t="s">
        <v>30</v>
      </c>
      <c r="M1032" s="23" t="s">
        <v>30</v>
      </c>
      <c r="N1032" s="22"/>
      <c r="O1032" s="22"/>
    </row>
    <row r="1033" spans="1:15" ht="13.5" customHeight="1" x14ac:dyDescent="0.25">
      <c r="A1033" s="1"/>
      <c r="B1033" s="20">
        <v>1021</v>
      </c>
      <c r="C1033" s="20">
        <v>2023</v>
      </c>
      <c r="D1033" s="20">
        <v>12003</v>
      </c>
      <c r="E1033" s="20" t="s">
        <v>3993</v>
      </c>
      <c r="F1033" s="20" t="s">
        <v>3994</v>
      </c>
      <c r="G1033" s="20" t="s">
        <v>3995</v>
      </c>
      <c r="H1033" s="20" t="s">
        <v>3996</v>
      </c>
      <c r="I1033" s="20" t="s">
        <v>62</v>
      </c>
      <c r="J1033" s="21">
        <v>2007</v>
      </c>
      <c r="K1033" s="20" t="s">
        <v>24</v>
      </c>
      <c r="L1033" s="21" t="s">
        <v>30</v>
      </c>
      <c r="M1033" s="21" t="s">
        <v>30</v>
      </c>
      <c r="N1033" s="20" t="s">
        <v>74</v>
      </c>
      <c r="O1033" s="20"/>
    </row>
    <row r="1034" spans="1:15" ht="13.5" customHeight="1" x14ac:dyDescent="0.25">
      <c r="A1034" s="1"/>
      <c r="B1034" s="22">
        <v>1022</v>
      </c>
      <c r="C1034" s="22">
        <v>2023</v>
      </c>
      <c r="D1034" s="22">
        <v>12369</v>
      </c>
      <c r="E1034" s="22" t="s">
        <v>3997</v>
      </c>
      <c r="F1034" s="22" t="s">
        <v>3998</v>
      </c>
      <c r="G1034" s="22" t="s">
        <v>3999</v>
      </c>
      <c r="H1034" s="22" t="s">
        <v>4000</v>
      </c>
      <c r="I1034" s="22" t="s">
        <v>23</v>
      </c>
      <c r="J1034" s="23">
        <v>2009</v>
      </c>
      <c r="K1034" s="22" t="s">
        <v>67</v>
      </c>
      <c r="L1034" s="23" t="s">
        <v>30</v>
      </c>
      <c r="M1034" s="23" t="s">
        <v>30</v>
      </c>
      <c r="N1034" s="22"/>
      <c r="O1034" s="22"/>
    </row>
    <row r="1035" spans="1:15" ht="13.5" customHeight="1" x14ac:dyDescent="0.25">
      <c r="A1035" s="1"/>
      <c r="B1035" s="20">
        <v>1023</v>
      </c>
      <c r="C1035" s="20">
        <v>2023</v>
      </c>
      <c r="D1035" s="20">
        <v>10772</v>
      </c>
      <c r="E1035" s="20" t="s">
        <v>4001</v>
      </c>
      <c r="F1035" s="20" t="s">
        <v>4002</v>
      </c>
      <c r="G1035" s="20" t="s">
        <v>4003</v>
      </c>
      <c r="H1035" s="20" t="s">
        <v>4004</v>
      </c>
      <c r="I1035" s="20" t="s">
        <v>23</v>
      </c>
      <c r="J1035" s="21">
        <v>2000</v>
      </c>
      <c r="K1035" s="20" t="s">
        <v>67</v>
      </c>
      <c r="L1035" s="21" t="s">
        <v>30</v>
      </c>
      <c r="M1035" s="21" t="s">
        <v>30</v>
      </c>
      <c r="N1035" s="20"/>
      <c r="O1035" s="20"/>
    </row>
    <row r="1036" spans="1:15" ht="13.5" customHeight="1" x14ac:dyDescent="0.25">
      <c r="A1036" s="1"/>
      <c r="B1036" s="22">
        <v>1024</v>
      </c>
      <c r="C1036" s="22">
        <v>2023</v>
      </c>
      <c r="D1036" s="22">
        <v>13296</v>
      </c>
      <c r="E1036" s="22" t="s">
        <v>4005</v>
      </c>
      <c r="F1036" s="22" t="s">
        <v>4006</v>
      </c>
      <c r="G1036" s="22" t="s">
        <v>4007</v>
      </c>
      <c r="H1036" s="22" t="s">
        <v>4008</v>
      </c>
      <c r="I1036" s="22" t="s">
        <v>4009</v>
      </c>
      <c r="J1036" s="23">
        <v>2009</v>
      </c>
      <c r="K1036" s="22" t="s">
        <v>67</v>
      </c>
      <c r="L1036" s="23" t="s">
        <v>30</v>
      </c>
      <c r="M1036" s="23"/>
      <c r="N1036" s="22" t="s">
        <v>275</v>
      </c>
      <c r="O1036" s="22"/>
    </row>
    <row r="1037" spans="1:15" ht="13.5" customHeight="1" x14ac:dyDescent="0.25">
      <c r="A1037" s="1"/>
      <c r="B1037" s="20">
        <v>1025</v>
      </c>
      <c r="C1037" s="20">
        <v>2023</v>
      </c>
      <c r="D1037" s="20">
        <v>13198</v>
      </c>
      <c r="E1037" s="20" t="s">
        <v>4010</v>
      </c>
      <c r="F1037" s="20" t="s">
        <v>4011</v>
      </c>
      <c r="G1037" s="20" t="s">
        <v>4012</v>
      </c>
      <c r="H1037" s="20" t="s">
        <v>4013</v>
      </c>
      <c r="I1037" s="20" t="s">
        <v>23</v>
      </c>
      <c r="J1037" s="21">
        <v>2010</v>
      </c>
      <c r="K1037" s="20" t="s">
        <v>67</v>
      </c>
      <c r="L1037" s="21" t="s">
        <v>30</v>
      </c>
      <c r="M1037" s="21" t="s">
        <v>30</v>
      </c>
      <c r="N1037" s="20" t="s">
        <v>1310</v>
      </c>
      <c r="O1037" s="20"/>
    </row>
    <row r="1038" spans="1:15" ht="13.5" customHeight="1" x14ac:dyDescent="0.25">
      <c r="A1038" s="1"/>
      <c r="B1038" s="22">
        <v>1026</v>
      </c>
      <c r="C1038" s="22">
        <v>2023</v>
      </c>
      <c r="D1038" s="22">
        <v>10798</v>
      </c>
      <c r="E1038" s="22" t="s">
        <v>4014</v>
      </c>
      <c r="F1038" s="22" t="s">
        <v>4015</v>
      </c>
      <c r="G1038" s="22" t="s">
        <v>4016</v>
      </c>
      <c r="H1038" s="22" t="s">
        <v>4017</v>
      </c>
      <c r="I1038" s="22" t="s">
        <v>23</v>
      </c>
      <c r="J1038" s="23">
        <v>2000</v>
      </c>
      <c r="K1038" s="22" t="s">
        <v>73</v>
      </c>
      <c r="L1038" s="23" t="s">
        <v>30</v>
      </c>
      <c r="M1038" s="23" t="s">
        <v>30</v>
      </c>
      <c r="N1038" s="22"/>
      <c r="O1038" s="22"/>
    </row>
    <row r="1039" spans="1:15" ht="13.5" customHeight="1" x14ac:dyDescent="0.25">
      <c r="A1039" s="1"/>
      <c r="B1039" s="20">
        <v>1027</v>
      </c>
      <c r="C1039" s="20">
        <v>2023</v>
      </c>
      <c r="D1039" s="20">
        <v>12138</v>
      </c>
      <c r="E1039" s="20" t="s">
        <v>4018</v>
      </c>
      <c r="F1039" s="20" t="s">
        <v>4019</v>
      </c>
      <c r="G1039" s="20" t="s">
        <v>4020</v>
      </c>
      <c r="H1039" s="20" t="s">
        <v>4021</v>
      </c>
      <c r="I1039" s="20" t="s">
        <v>23</v>
      </c>
      <c r="J1039" s="21">
        <v>2000</v>
      </c>
      <c r="K1039" s="20" t="s">
        <v>664</v>
      </c>
      <c r="L1039" s="21" t="s">
        <v>30</v>
      </c>
      <c r="M1039" s="21" t="s">
        <v>30</v>
      </c>
      <c r="N1039" s="20" t="s">
        <v>74</v>
      </c>
      <c r="O1039" s="20"/>
    </row>
    <row r="1040" spans="1:15" ht="13.5" customHeight="1" x14ac:dyDescent="0.25">
      <c r="A1040" s="1"/>
      <c r="B1040" s="22">
        <v>1028</v>
      </c>
      <c r="C1040" s="22">
        <v>2023</v>
      </c>
      <c r="D1040" s="22">
        <v>41978</v>
      </c>
      <c r="E1040" s="22" t="s">
        <v>4022</v>
      </c>
      <c r="F1040" s="22" t="s">
        <v>4023</v>
      </c>
      <c r="G1040" s="22" t="s">
        <v>4024</v>
      </c>
      <c r="H1040" s="22" t="s">
        <v>4025</v>
      </c>
      <c r="I1040" s="22" t="s">
        <v>23</v>
      </c>
      <c r="J1040" s="23">
        <v>2018</v>
      </c>
      <c r="K1040" s="22" t="s">
        <v>184</v>
      </c>
      <c r="L1040" s="23" t="s">
        <v>30</v>
      </c>
      <c r="M1040" s="23"/>
      <c r="N1040" s="22" t="s">
        <v>213</v>
      </c>
      <c r="O1040" s="22"/>
    </row>
    <row r="1041" spans="1:15" ht="13.5" customHeight="1" x14ac:dyDescent="0.25">
      <c r="A1041" s="1"/>
      <c r="B1041" s="20">
        <v>1029</v>
      </c>
      <c r="C1041" s="20">
        <v>2023</v>
      </c>
      <c r="D1041" s="20">
        <v>10773</v>
      </c>
      <c r="E1041" s="20" t="s">
        <v>4026</v>
      </c>
      <c r="F1041" s="20" t="s">
        <v>4027</v>
      </c>
      <c r="G1041" s="20"/>
      <c r="H1041" s="20" t="s">
        <v>4028</v>
      </c>
      <c r="I1041" s="20" t="s">
        <v>23</v>
      </c>
      <c r="J1041" s="21">
        <v>2000</v>
      </c>
      <c r="K1041" s="20" t="s">
        <v>63</v>
      </c>
      <c r="L1041" s="21"/>
      <c r="M1041" s="21" t="s">
        <v>30</v>
      </c>
      <c r="N1041" s="20"/>
      <c r="O1041" s="20"/>
    </row>
    <row r="1042" spans="1:15" ht="13.5" customHeight="1" x14ac:dyDescent="0.25">
      <c r="A1042" s="1"/>
      <c r="B1042" s="22">
        <v>1030</v>
      </c>
      <c r="C1042" s="22">
        <v>2023</v>
      </c>
      <c r="D1042" s="22">
        <v>10765</v>
      </c>
      <c r="E1042" s="22" t="s">
        <v>4029</v>
      </c>
      <c r="F1042" s="22" t="s">
        <v>4030</v>
      </c>
      <c r="G1042" s="22" t="s">
        <v>4031</v>
      </c>
      <c r="H1042" s="22" t="s">
        <v>4032</v>
      </c>
      <c r="I1042" s="22" t="s">
        <v>23</v>
      </c>
      <c r="J1042" s="23">
        <v>2000</v>
      </c>
      <c r="K1042" s="22" t="s">
        <v>63</v>
      </c>
      <c r="L1042" s="23" t="s">
        <v>30</v>
      </c>
      <c r="M1042" s="23" t="s">
        <v>30</v>
      </c>
      <c r="N1042" s="22"/>
      <c r="O1042" s="22"/>
    </row>
    <row r="1043" spans="1:15" ht="13.5" customHeight="1" x14ac:dyDescent="0.25">
      <c r="A1043" s="1"/>
      <c r="B1043" s="20">
        <v>1031</v>
      </c>
      <c r="C1043" s="20">
        <v>2023</v>
      </c>
      <c r="D1043" s="20">
        <v>42690</v>
      </c>
      <c r="E1043" s="20" t="s">
        <v>4033</v>
      </c>
      <c r="F1043" s="20" t="s">
        <v>4034</v>
      </c>
      <c r="G1043" s="20"/>
      <c r="H1043" s="20" t="s">
        <v>4035</v>
      </c>
      <c r="I1043" s="20" t="s">
        <v>23</v>
      </c>
      <c r="J1043" s="21">
        <v>2000</v>
      </c>
      <c r="K1043" s="20" t="s">
        <v>34</v>
      </c>
      <c r="L1043" s="21"/>
      <c r="M1043" s="21"/>
      <c r="N1043" s="20" t="s">
        <v>123</v>
      </c>
      <c r="O1043" s="20"/>
    </row>
    <row r="1044" spans="1:15" ht="13.5" customHeight="1" x14ac:dyDescent="0.25">
      <c r="A1044" s="1"/>
      <c r="B1044" s="22">
        <v>1032</v>
      </c>
      <c r="C1044" s="22">
        <v>2023</v>
      </c>
      <c r="D1044" s="22">
        <v>10776</v>
      </c>
      <c r="E1044" s="22" t="s">
        <v>4036</v>
      </c>
      <c r="F1044" s="22" t="s">
        <v>4037</v>
      </c>
      <c r="G1044" s="22" t="s">
        <v>4038</v>
      </c>
      <c r="H1044" s="22" t="s">
        <v>4039</v>
      </c>
      <c r="I1044" s="22" t="s">
        <v>23</v>
      </c>
      <c r="J1044" s="23">
        <v>2000</v>
      </c>
      <c r="K1044" s="22" t="s">
        <v>67</v>
      </c>
      <c r="L1044" s="23" t="s">
        <v>30</v>
      </c>
      <c r="M1044" s="23" t="s">
        <v>30</v>
      </c>
      <c r="N1044" s="22"/>
      <c r="O1044" s="22"/>
    </row>
    <row r="1045" spans="1:15" ht="13.5" customHeight="1" x14ac:dyDescent="0.25">
      <c r="A1045" s="1"/>
      <c r="B1045" s="20">
        <v>1033</v>
      </c>
      <c r="C1045" s="20">
        <v>2023</v>
      </c>
      <c r="D1045" s="20">
        <v>799</v>
      </c>
      <c r="E1045" s="20" t="s">
        <v>4040</v>
      </c>
      <c r="F1045" s="20" t="s">
        <v>4041</v>
      </c>
      <c r="G1045" s="20" t="s">
        <v>4042</v>
      </c>
      <c r="H1045" s="20" t="s">
        <v>4043</v>
      </c>
      <c r="I1045" s="20" t="s">
        <v>23</v>
      </c>
      <c r="J1045" s="21">
        <v>2000</v>
      </c>
      <c r="K1045" s="20" t="s">
        <v>114</v>
      </c>
      <c r="L1045" s="21" t="s">
        <v>30</v>
      </c>
      <c r="M1045" s="21" t="s">
        <v>30</v>
      </c>
      <c r="N1045" s="20"/>
      <c r="O1045" s="20"/>
    </row>
    <row r="1046" spans="1:15" ht="13.5" customHeight="1" x14ac:dyDescent="0.25">
      <c r="A1046" s="1"/>
      <c r="B1046" s="22">
        <v>1034</v>
      </c>
      <c r="C1046" s="22">
        <v>2023</v>
      </c>
      <c r="D1046" s="22">
        <v>10032</v>
      </c>
      <c r="E1046" s="22" t="s">
        <v>4044</v>
      </c>
      <c r="F1046" s="22" t="s">
        <v>4045</v>
      </c>
      <c r="G1046" s="22" t="s">
        <v>4046</v>
      </c>
      <c r="H1046" s="22" t="s">
        <v>4047</v>
      </c>
      <c r="I1046" s="22" t="s">
        <v>23</v>
      </c>
      <c r="J1046" s="23">
        <v>2000</v>
      </c>
      <c r="K1046" s="22" t="s">
        <v>114</v>
      </c>
      <c r="L1046" s="23" t="s">
        <v>30</v>
      </c>
      <c r="M1046" s="23" t="s">
        <v>30</v>
      </c>
      <c r="N1046" s="22"/>
      <c r="O1046" s="22"/>
    </row>
    <row r="1047" spans="1:15" ht="13.5" customHeight="1" x14ac:dyDescent="0.25">
      <c r="A1047" s="1"/>
      <c r="B1047" s="20">
        <v>1035</v>
      </c>
      <c r="C1047" s="20">
        <v>2023</v>
      </c>
      <c r="D1047" s="20">
        <v>12008</v>
      </c>
      <c r="E1047" s="20" t="s">
        <v>4048</v>
      </c>
      <c r="F1047" s="20" t="s">
        <v>4049</v>
      </c>
      <c r="G1047" s="20"/>
      <c r="H1047" s="20" t="s">
        <v>4050</v>
      </c>
      <c r="I1047" s="20" t="s">
        <v>23</v>
      </c>
      <c r="J1047" s="21">
        <v>2007</v>
      </c>
      <c r="K1047" s="20" t="s">
        <v>67</v>
      </c>
      <c r="L1047" s="21"/>
      <c r="M1047" s="21" t="s">
        <v>30</v>
      </c>
      <c r="N1047" s="20" t="s">
        <v>245</v>
      </c>
      <c r="O1047" s="20"/>
    </row>
    <row r="1048" spans="1:15" ht="13.5" customHeight="1" x14ac:dyDescent="0.25">
      <c r="A1048" s="1"/>
      <c r="B1048" s="22">
        <v>1036</v>
      </c>
      <c r="C1048" s="22">
        <v>2023</v>
      </c>
      <c r="D1048" s="22">
        <v>10009</v>
      </c>
      <c r="E1048" s="22" t="s">
        <v>4051</v>
      </c>
      <c r="F1048" s="22" t="s">
        <v>4052</v>
      </c>
      <c r="G1048" s="22" t="s">
        <v>4053</v>
      </c>
      <c r="H1048" s="22" t="s">
        <v>4054</v>
      </c>
      <c r="I1048" s="22" t="s">
        <v>23</v>
      </c>
      <c r="J1048" s="23">
        <v>2000</v>
      </c>
      <c r="K1048" s="22" t="s">
        <v>114</v>
      </c>
      <c r="L1048" s="23" t="s">
        <v>30</v>
      </c>
      <c r="M1048" s="23" t="s">
        <v>30</v>
      </c>
      <c r="N1048" s="22"/>
      <c r="O1048" s="22"/>
    </row>
    <row r="1049" spans="1:15" ht="13.5" customHeight="1" x14ac:dyDescent="0.25">
      <c r="A1049" s="1"/>
      <c r="B1049" s="20">
        <v>1037</v>
      </c>
      <c r="C1049" s="20">
        <v>2023</v>
      </c>
      <c r="D1049" s="20">
        <v>10123</v>
      </c>
      <c r="E1049" s="20" t="s">
        <v>4055</v>
      </c>
      <c r="F1049" s="20" t="s">
        <v>4056</v>
      </c>
      <c r="G1049" s="20"/>
      <c r="H1049" s="20" t="s">
        <v>4057</v>
      </c>
      <c r="I1049" s="20" t="s">
        <v>23</v>
      </c>
      <c r="J1049" s="21">
        <v>2001</v>
      </c>
      <c r="K1049" s="20" t="s">
        <v>34</v>
      </c>
      <c r="L1049" s="21"/>
      <c r="M1049" s="21"/>
      <c r="N1049" s="20" t="s">
        <v>151</v>
      </c>
      <c r="O1049" s="20"/>
    </row>
    <row r="1050" spans="1:15" ht="13.5" customHeight="1" x14ac:dyDescent="0.25">
      <c r="A1050" s="1"/>
      <c r="B1050" s="22">
        <v>1038</v>
      </c>
      <c r="C1050" s="22">
        <v>2023</v>
      </c>
      <c r="D1050" s="22">
        <v>40089</v>
      </c>
      <c r="E1050" s="22" t="s">
        <v>4058</v>
      </c>
      <c r="F1050" s="22" t="s">
        <v>4059</v>
      </c>
      <c r="G1050" s="22"/>
      <c r="H1050" s="22" t="s">
        <v>4060</v>
      </c>
      <c r="I1050" s="22" t="s">
        <v>23</v>
      </c>
      <c r="J1050" s="23">
        <v>2012</v>
      </c>
      <c r="K1050" s="22" t="s">
        <v>24</v>
      </c>
      <c r="L1050" s="23"/>
      <c r="M1050" s="23"/>
      <c r="N1050" s="22"/>
      <c r="O1050" s="22"/>
    </row>
    <row r="1051" spans="1:15" ht="13.5" customHeight="1" x14ac:dyDescent="0.25">
      <c r="A1051" s="1"/>
      <c r="B1051" s="20">
        <v>1039</v>
      </c>
      <c r="C1051" s="20">
        <v>2023</v>
      </c>
      <c r="D1051" s="20">
        <v>10792</v>
      </c>
      <c r="E1051" s="20" t="s">
        <v>4061</v>
      </c>
      <c r="F1051" s="20" t="s">
        <v>4062</v>
      </c>
      <c r="G1051" s="20"/>
      <c r="H1051" s="20" t="s">
        <v>4063</v>
      </c>
      <c r="I1051" s="20" t="s">
        <v>23</v>
      </c>
      <c r="J1051" s="21">
        <v>2000</v>
      </c>
      <c r="K1051" s="20" t="s">
        <v>39</v>
      </c>
      <c r="L1051" s="21"/>
      <c r="M1051" s="21" t="s">
        <v>30</v>
      </c>
      <c r="N1051" s="20"/>
      <c r="O1051" s="20"/>
    </row>
    <row r="1052" spans="1:15" ht="13.5" customHeight="1" x14ac:dyDescent="0.25">
      <c r="A1052" s="1"/>
      <c r="B1052" s="22">
        <v>1040</v>
      </c>
      <c r="C1052" s="22">
        <v>2023</v>
      </c>
      <c r="D1052" s="22">
        <v>264</v>
      </c>
      <c r="E1052" s="22" t="s">
        <v>4064</v>
      </c>
      <c r="F1052" s="22" t="s">
        <v>4065</v>
      </c>
      <c r="G1052" s="22" t="s">
        <v>4066</v>
      </c>
      <c r="H1052" s="22" t="s">
        <v>4067</v>
      </c>
      <c r="I1052" s="22" t="s">
        <v>23</v>
      </c>
      <c r="J1052" s="23">
        <v>2000</v>
      </c>
      <c r="K1052" s="22" t="s">
        <v>39</v>
      </c>
      <c r="L1052" s="23" t="s">
        <v>30</v>
      </c>
      <c r="M1052" s="23" t="s">
        <v>30</v>
      </c>
      <c r="N1052" s="22"/>
      <c r="O1052" s="22"/>
    </row>
    <row r="1053" spans="1:15" ht="13.5" customHeight="1" x14ac:dyDescent="0.25">
      <c r="A1053" s="1"/>
      <c r="B1053" s="20">
        <v>1041</v>
      </c>
      <c r="C1053" s="20">
        <v>2023</v>
      </c>
      <c r="D1053" s="20">
        <v>12232</v>
      </c>
      <c r="E1053" s="20" t="s">
        <v>4068</v>
      </c>
      <c r="F1053" s="20" t="s">
        <v>4069</v>
      </c>
      <c r="G1053" s="20" t="s">
        <v>4070</v>
      </c>
      <c r="H1053" s="20" t="s">
        <v>4071</v>
      </c>
      <c r="I1053" s="20" t="s">
        <v>23</v>
      </c>
      <c r="J1053" s="21">
        <v>2006</v>
      </c>
      <c r="K1053" s="20" t="s">
        <v>475</v>
      </c>
      <c r="L1053" s="21" t="s">
        <v>30</v>
      </c>
      <c r="M1053" s="21" t="s">
        <v>30</v>
      </c>
      <c r="N1053" s="20" t="s">
        <v>74</v>
      </c>
      <c r="O1053" s="20"/>
    </row>
    <row r="1054" spans="1:15" ht="13.5" customHeight="1" x14ac:dyDescent="0.25">
      <c r="A1054" s="1"/>
      <c r="B1054" s="22">
        <v>1042</v>
      </c>
      <c r="C1054" s="22">
        <v>2023</v>
      </c>
      <c r="D1054" s="22">
        <v>11159</v>
      </c>
      <c r="E1054" s="22" t="s">
        <v>4072</v>
      </c>
      <c r="F1054" s="22" t="s">
        <v>4073</v>
      </c>
      <c r="G1054" s="22" t="s">
        <v>4074</v>
      </c>
      <c r="H1054" s="22" t="s">
        <v>4075</v>
      </c>
      <c r="I1054" s="22" t="s">
        <v>23</v>
      </c>
      <c r="J1054" s="23">
        <v>2000</v>
      </c>
      <c r="K1054" s="22" t="s">
        <v>73</v>
      </c>
      <c r="L1054" s="23" t="s">
        <v>30</v>
      </c>
      <c r="M1054" s="23" t="s">
        <v>30</v>
      </c>
      <c r="N1054" s="22"/>
      <c r="O1054" s="22"/>
    </row>
    <row r="1055" spans="1:15" ht="13.5" customHeight="1" x14ac:dyDescent="0.25">
      <c r="A1055" s="1"/>
      <c r="B1055" s="20">
        <v>1043</v>
      </c>
      <c r="C1055" s="20">
        <v>2023</v>
      </c>
      <c r="D1055" s="20">
        <v>12208</v>
      </c>
      <c r="E1055" s="20" t="s">
        <v>4076</v>
      </c>
      <c r="F1055" s="20" t="s">
        <v>4077</v>
      </c>
      <c r="G1055" s="20"/>
      <c r="H1055" s="20" t="s">
        <v>4078</v>
      </c>
      <c r="I1055" s="20" t="s">
        <v>23</v>
      </c>
      <c r="J1055" s="21">
        <v>2004</v>
      </c>
      <c r="K1055" s="20" t="s">
        <v>29</v>
      </c>
      <c r="L1055" s="21"/>
      <c r="M1055" s="21" t="s">
        <v>30</v>
      </c>
      <c r="N1055" s="20" t="s">
        <v>35</v>
      </c>
      <c r="O1055" s="20"/>
    </row>
    <row r="1056" spans="1:15" ht="13.5" customHeight="1" x14ac:dyDescent="0.25">
      <c r="A1056" s="1"/>
      <c r="B1056" s="22">
        <v>1044</v>
      </c>
      <c r="C1056" s="22">
        <v>2023</v>
      </c>
      <c r="D1056" s="22">
        <v>10797</v>
      </c>
      <c r="E1056" s="22" t="s">
        <v>4079</v>
      </c>
      <c r="F1056" s="22" t="s">
        <v>4080</v>
      </c>
      <c r="G1056" s="22" t="s">
        <v>4081</v>
      </c>
      <c r="H1056" s="22" t="s">
        <v>4082</v>
      </c>
      <c r="I1056" s="22" t="s">
        <v>23</v>
      </c>
      <c r="J1056" s="23">
        <v>2000</v>
      </c>
      <c r="K1056" s="22" t="s">
        <v>475</v>
      </c>
      <c r="L1056" s="23" t="s">
        <v>30</v>
      </c>
      <c r="M1056" s="23" t="s">
        <v>30</v>
      </c>
      <c r="N1056" s="22"/>
      <c r="O1056" s="22"/>
    </row>
    <row r="1057" spans="1:15" ht="13.5" customHeight="1" x14ac:dyDescent="0.25">
      <c r="A1057" s="1"/>
      <c r="B1057" s="20">
        <v>1045</v>
      </c>
      <c r="C1057" s="20">
        <v>2023</v>
      </c>
      <c r="D1057" s="20">
        <v>192</v>
      </c>
      <c r="E1057" s="20" t="s">
        <v>4083</v>
      </c>
      <c r="F1057" s="20" t="s">
        <v>4084</v>
      </c>
      <c r="G1057" s="20" t="s">
        <v>4085</v>
      </c>
      <c r="H1057" s="20" t="s">
        <v>4086</v>
      </c>
      <c r="I1057" s="20" t="s">
        <v>23</v>
      </c>
      <c r="J1057" s="21">
        <v>2000</v>
      </c>
      <c r="K1057" s="20" t="s">
        <v>39</v>
      </c>
      <c r="L1057" s="21" t="s">
        <v>30</v>
      </c>
      <c r="M1057" s="21" t="s">
        <v>30</v>
      </c>
      <c r="N1057" s="20"/>
      <c r="O1057" s="20"/>
    </row>
    <row r="1058" spans="1:15" ht="13.5" customHeight="1" x14ac:dyDescent="0.25">
      <c r="A1058" s="1"/>
      <c r="B1058" s="22">
        <v>1046</v>
      </c>
      <c r="C1058" s="22">
        <v>2023</v>
      </c>
      <c r="D1058" s="22">
        <v>11255</v>
      </c>
      <c r="E1058" s="22" t="s">
        <v>4087</v>
      </c>
      <c r="F1058" s="22" t="s">
        <v>4088</v>
      </c>
      <c r="G1058" s="22"/>
      <c r="H1058" s="22" t="s">
        <v>4089</v>
      </c>
      <c r="I1058" s="22" t="s">
        <v>23</v>
      </c>
      <c r="J1058" s="23">
        <v>2000</v>
      </c>
      <c r="K1058" s="22" t="s">
        <v>39</v>
      </c>
      <c r="L1058" s="23"/>
      <c r="M1058" s="23" t="s">
        <v>30</v>
      </c>
      <c r="N1058" s="22"/>
      <c r="O1058" s="22"/>
    </row>
    <row r="1059" spans="1:15" ht="13.5" customHeight="1" x14ac:dyDescent="0.25">
      <c r="A1059" s="1"/>
      <c r="B1059" s="20">
        <v>1047</v>
      </c>
      <c r="C1059" s="20">
        <v>2023</v>
      </c>
      <c r="D1059" s="20">
        <v>222</v>
      </c>
      <c r="E1059" s="20" t="s">
        <v>4090</v>
      </c>
      <c r="F1059" s="20" t="s">
        <v>4091</v>
      </c>
      <c r="G1059" s="20" t="s">
        <v>4092</v>
      </c>
      <c r="H1059" s="20" t="s">
        <v>4093</v>
      </c>
      <c r="I1059" s="20" t="s">
        <v>23</v>
      </c>
      <c r="J1059" s="21">
        <v>2000</v>
      </c>
      <c r="K1059" s="20" t="s">
        <v>44</v>
      </c>
      <c r="L1059" s="21" t="s">
        <v>30</v>
      </c>
      <c r="M1059" s="21" t="s">
        <v>30</v>
      </c>
      <c r="N1059" s="20"/>
      <c r="O1059" s="20"/>
    </row>
    <row r="1060" spans="1:15" ht="13.5" customHeight="1" x14ac:dyDescent="0.25">
      <c r="A1060" s="1"/>
      <c r="B1060" s="22">
        <v>1048</v>
      </c>
      <c r="C1060" s="22">
        <v>2023</v>
      </c>
      <c r="D1060" s="22">
        <v>10637</v>
      </c>
      <c r="E1060" s="22" t="s">
        <v>4094</v>
      </c>
      <c r="F1060" s="22" t="s">
        <v>4095</v>
      </c>
      <c r="G1060" s="22"/>
      <c r="H1060" s="22" t="s">
        <v>4096</v>
      </c>
      <c r="I1060" s="22" t="s">
        <v>23</v>
      </c>
      <c r="J1060" s="23">
        <v>2000</v>
      </c>
      <c r="K1060" s="22" t="s">
        <v>39</v>
      </c>
      <c r="L1060" s="23"/>
      <c r="M1060" s="23" t="s">
        <v>30</v>
      </c>
      <c r="N1060" s="22"/>
      <c r="O1060" s="22"/>
    </row>
    <row r="1061" spans="1:15" ht="13.5" customHeight="1" x14ac:dyDescent="0.25">
      <c r="A1061" s="1"/>
      <c r="B1061" s="20">
        <v>1049</v>
      </c>
      <c r="C1061" s="20">
        <v>2023</v>
      </c>
      <c r="D1061" s="20">
        <v>11581</v>
      </c>
      <c r="E1061" s="20" t="s">
        <v>4097</v>
      </c>
      <c r="F1061" s="20" t="s">
        <v>4098</v>
      </c>
      <c r="G1061" s="20" t="s">
        <v>4099</v>
      </c>
      <c r="H1061" s="20" t="s">
        <v>4100</v>
      </c>
      <c r="I1061" s="20" t="s">
        <v>23</v>
      </c>
      <c r="J1061" s="21">
        <v>2000</v>
      </c>
      <c r="K1061" s="20" t="s">
        <v>24</v>
      </c>
      <c r="L1061" s="21" t="s">
        <v>30</v>
      </c>
      <c r="M1061" s="21" t="s">
        <v>30</v>
      </c>
      <c r="N1061" s="20"/>
      <c r="O1061" s="20"/>
    </row>
    <row r="1062" spans="1:15" ht="13.5" customHeight="1" x14ac:dyDescent="0.25">
      <c r="A1062" s="1"/>
      <c r="B1062" s="22">
        <v>1050</v>
      </c>
      <c r="C1062" s="22">
        <v>2023</v>
      </c>
      <c r="D1062" s="22">
        <v>42044</v>
      </c>
      <c r="E1062" s="22" t="s">
        <v>4101</v>
      </c>
      <c r="F1062" s="22" t="s">
        <v>4102</v>
      </c>
      <c r="G1062" s="22" t="s">
        <v>4103</v>
      </c>
      <c r="H1062" s="22" t="s">
        <v>4104</v>
      </c>
      <c r="I1062" s="22" t="s">
        <v>23</v>
      </c>
      <c r="J1062" s="23">
        <v>2018</v>
      </c>
      <c r="K1062" s="22" t="s">
        <v>114</v>
      </c>
      <c r="L1062" s="23" t="s">
        <v>30</v>
      </c>
      <c r="M1062" s="23"/>
      <c r="N1062" s="22" t="s">
        <v>213</v>
      </c>
      <c r="O1062" s="22"/>
    </row>
    <row r="1063" spans="1:15" ht="13.5" customHeight="1" x14ac:dyDescent="0.25">
      <c r="A1063" s="1"/>
      <c r="B1063" s="20">
        <v>1051</v>
      </c>
      <c r="C1063" s="20">
        <v>2023</v>
      </c>
      <c r="D1063" s="20">
        <v>40995</v>
      </c>
      <c r="E1063" s="20" t="s">
        <v>4105</v>
      </c>
      <c r="F1063" s="20" t="s">
        <v>4106</v>
      </c>
      <c r="G1063" s="20" t="s">
        <v>4107</v>
      </c>
      <c r="H1063" s="20" t="s">
        <v>4108</v>
      </c>
      <c r="I1063" s="20" t="s">
        <v>23</v>
      </c>
      <c r="J1063" s="21">
        <v>2016</v>
      </c>
      <c r="K1063" s="20" t="s">
        <v>67</v>
      </c>
      <c r="L1063" s="21" t="s">
        <v>30</v>
      </c>
      <c r="M1063" s="21"/>
      <c r="N1063" s="20" t="s">
        <v>1470</v>
      </c>
      <c r="O1063" s="20"/>
    </row>
    <row r="1064" spans="1:15" ht="13.5" customHeight="1" x14ac:dyDescent="0.25">
      <c r="A1064" s="1"/>
      <c r="B1064" s="22">
        <v>1052</v>
      </c>
      <c r="C1064" s="22">
        <v>2023</v>
      </c>
      <c r="D1064" s="22">
        <v>40996</v>
      </c>
      <c r="E1064" s="22" t="s">
        <v>4109</v>
      </c>
      <c r="F1064" s="22" t="s">
        <v>4110</v>
      </c>
      <c r="G1064" s="22" t="s">
        <v>4111</v>
      </c>
      <c r="H1064" s="22" t="s">
        <v>4112</v>
      </c>
      <c r="I1064" s="22" t="s">
        <v>23</v>
      </c>
      <c r="J1064" s="23">
        <v>2016</v>
      </c>
      <c r="K1064" s="22" t="s">
        <v>67</v>
      </c>
      <c r="L1064" s="23" t="s">
        <v>30</v>
      </c>
      <c r="M1064" s="23"/>
      <c r="N1064" s="22" t="s">
        <v>1470</v>
      </c>
      <c r="O1064" s="22"/>
    </row>
    <row r="1065" spans="1:15" ht="13.5" customHeight="1" x14ac:dyDescent="0.25">
      <c r="A1065" s="1"/>
      <c r="B1065" s="20">
        <v>1053</v>
      </c>
      <c r="C1065" s="20">
        <v>2023</v>
      </c>
      <c r="D1065" s="20">
        <v>40998</v>
      </c>
      <c r="E1065" s="20" t="s">
        <v>4113</v>
      </c>
      <c r="F1065" s="20" t="s">
        <v>4114</v>
      </c>
      <c r="G1065" s="20" t="s">
        <v>4115</v>
      </c>
      <c r="H1065" s="20" t="s">
        <v>4116</v>
      </c>
      <c r="I1065" s="20" t="s">
        <v>23</v>
      </c>
      <c r="J1065" s="21">
        <v>2016</v>
      </c>
      <c r="K1065" s="20" t="s">
        <v>67</v>
      </c>
      <c r="L1065" s="21" t="s">
        <v>30</v>
      </c>
      <c r="M1065" s="21"/>
      <c r="N1065" s="20" t="s">
        <v>1470</v>
      </c>
      <c r="O1065" s="20"/>
    </row>
    <row r="1066" spans="1:15" ht="13.5" customHeight="1" x14ac:dyDescent="0.25">
      <c r="A1066" s="1"/>
      <c r="B1066" s="22">
        <v>1054</v>
      </c>
      <c r="C1066" s="22">
        <v>2023</v>
      </c>
      <c r="D1066" s="22">
        <v>40997</v>
      </c>
      <c r="E1066" s="22" t="s">
        <v>4117</v>
      </c>
      <c r="F1066" s="22" t="s">
        <v>4118</v>
      </c>
      <c r="G1066" s="22" t="s">
        <v>4119</v>
      </c>
      <c r="H1066" s="22" t="s">
        <v>4120</v>
      </c>
      <c r="I1066" s="22" t="s">
        <v>23</v>
      </c>
      <c r="J1066" s="23">
        <v>2016</v>
      </c>
      <c r="K1066" s="22" t="s">
        <v>67</v>
      </c>
      <c r="L1066" s="23" t="s">
        <v>30</v>
      </c>
      <c r="M1066" s="23"/>
      <c r="N1066" s="22" t="s">
        <v>1470</v>
      </c>
      <c r="O1066" s="22"/>
    </row>
    <row r="1067" spans="1:15" ht="13.5" customHeight="1" x14ac:dyDescent="0.25">
      <c r="A1067" s="1"/>
      <c r="B1067" s="20">
        <v>1055</v>
      </c>
      <c r="C1067" s="20">
        <v>2023</v>
      </c>
      <c r="D1067" s="20">
        <v>13726</v>
      </c>
      <c r="E1067" s="20" t="s">
        <v>4121</v>
      </c>
      <c r="F1067" s="20" t="s">
        <v>4122</v>
      </c>
      <c r="G1067" s="20" t="s">
        <v>4123</v>
      </c>
      <c r="H1067" s="20" t="s">
        <v>4124</v>
      </c>
      <c r="I1067" s="20" t="s">
        <v>23</v>
      </c>
      <c r="J1067" s="21">
        <v>2012</v>
      </c>
      <c r="K1067" s="20" t="s">
        <v>24</v>
      </c>
      <c r="L1067" s="21" t="s">
        <v>30</v>
      </c>
      <c r="M1067" s="21"/>
      <c r="N1067" s="20" t="s">
        <v>163</v>
      </c>
      <c r="O1067" s="20"/>
    </row>
    <row r="1068" spans="1:15" ht="13.5" customHeight="1" x14ac:dyDescent="0.25">
      <c r="A1068" s="1"/>
      <c r="B1068" s="22">
        <v>1056</v>
      </c>
      <c r="C1068" s="22">
        <v>2023</v>
      </c>
      <c r="D1068" s="22">
        <v>11845</v>
      </c>
      <c r="E1068" s="22" t="s">
        <v>4125</v>
      </c>
      <c r="F1068" s="22" t="s">
        <v>4126</v>
      </c>
      <c r="G1068" s="22" t="s">
        <v>4127</v>
      </c>
      <c r="H1068" s="22" t="s">
        <v>4128</v>
      </c>
      <c r="I1068" s="22" t="s">
        <v>23</v>
      </c>
      <c r="J1068" s="23">
        <v>2000</v>
      </c>
      <c r="K1068" s="22" t="s">
        <v>39</v>
      </c>
      <c r="L1068" s="23" t="s">
        <v>30</v>
      </c>
      <c r="M1068" s="23" t="s">
        <v>30</v>
      </c>
      <c r="N1068" s="22" t="s">
        <v>74</v>
      </c>
      <c r="O1068" s="22"/>
    </row>
    <row r="1069" spans="1:15" ht="13.5" customHeight="1" x14ac:dyDescent="0.25">
      <c r="A1069" s="1"/>
      <c r="B1069" s="20">
        <v>1057</v>
      </c>
      <c r="C1069" s="20">
        <v>2023</v>
      </c>
      <c r="D1069" s="20">
        <v>271</v>
      </c>
      <c r="E1069" s="20" t="s">
        <v>4129</v>
      </c>
      <c r="F1069" s="20" t="s">
        <v>4130</v>
      </c>
      <c r="G1069" s="20" t="s">
        <v>4131</v>
      </c>
      <c r="H1069" s="20" t="s">
        <v>4132</v>
      </c>
      <c r="I1069" s="20" t="s">
        <v>23</v>
      </c>
      <c r="J1069" s="21">
        <v>2000</v>
      </c>
      <c r="K1069" s="20" t="s">
        <v>34</v>
      </c>
      <c r="L1069" s="21" t="s">
        <v>30</v>
      </c>
      <c r="M1069" s="21" t="s">
        <v>30</v>
      </c>
      <c r="N1069" s="20"/>
      <c r="O1069" s="20"/>
    </row>
    <row r="1070" spans="1:15" ht="13.5" customHeight="1" x14ac:dyDescent="0.25">
      <c r="A1070" s="1"/>
      <c r="B1070" s="22">
        <v>1058</v>
      </c>
      <c r="C1070" s="22">
        <v>2023</v>
      </c>
      <c r="D1070" s="22">
        <v>11856</v>
      </c>
      <c r="E1070" s="22" t="s">
        <v>4133</v>
      </c>
      <c r="F1070" s="22" t="s">
        <v>4134</v>
      </c>
      <c r="G1070" s="22" t="s">
        <v>4135</v>
      </c>
      <c r="H1070" s="22" t="s">
        <v>4136</v>
      </c>
      <c r="I1070" s="22" t="s">
        <v>4137</v>
      </c>
      <c r="J1070" s="23">
        <v>2000</v>
      </c>
      <c r="K1070" s="22" t="s">
        <v>44</v>
      </c>
      <c r="L1070" s="23" t="s">
        <v>30</v>
      </c>
      <c r="M1070" s="23" t="s">
        <v>30</v>
      </c>
      <c r="N1070" s="22" t="s">
        <v>74</v>
      </c>
      <c r="O1070" s="22"/>
    </row>
    <row r="1071" spans="1:15" ht="13.5" customHeight="1" x14ac:dyDescent="0.25">
      <c r="A1071" s="1"/>
      <c r="B1071" s="20">
        <v>1059</v>
      </c>
      <c r="C1071" s="20">
        <v>2023</v>
      </c>
      <c r="D1071" s="20">
        <v>41683</v>
      </c>
      <c r="E1071" s="20" t="s">
        <v>4138</v>
      </c>
      <c r="F1071" s="20" t="s">
        <v>4139</v>
      </c>
      <c r="G1071" s="20" t="s">
        <v>4140</v>
      </c>
      <c r="H1071" s="20" t="s">
        <v>4141</v>
      </c>
      <c r="I1071" s="20" t="s">
        <v>23</v>
      </c>
      <c r="J1071" s="21">
        <v>2017</v>
      </c>
      <c r="K1071" s="20" t="s">
        <v>67</v>
      </c>
      <c r="L1071" s="21" t="s">
        <v>30</v>
      </c>
      <c r="M1071" s="21"/>
      <c r="N1071" s="20" t="s">
        <v>105</v>
      </c>
      <c r="O1071" s="20"/>
    </row>
    <row r="1072" spans="1:15" ht="13.5" customHeight="1" x14ac:dyDescent="0.25">
      <c r="A1072" s="1"/>
      <c r="B1072" s="22">
        <v>1060</v>
      </c>
      <c r="C1072" s="22">
        <v>2023</v>
      </c>
      <c r="D1072" s="22">
        <v>35724</v>
      </c>
      <c r="E1072" s="22" t="s">
        <v>4142</v>
      </c>
      <c r="F1072" s="22" t="s">
        <v>4143</v>
      </c>
      <c r="G1072" s="22" t="s">
        <v>4144</v>
      </c>
      <c r="H1072" s="22" t="s">
        <v>4145</v>
      </c>
      <c r="I1072" s="22" t="s">
        <v>190</v>
      </c>
      <c r="J1072" s="23">
        <v>2010</v>
      </c>
      <c r="K1072" s="22" t="s">
        <v>24</v>
      </c>
      <c r="L1072" s="23" t="s">
        <v>30</v>
      </c>
      <c r="M1072" s="23"/>
      <c r="N1072" s="22"/>
      <c r="O1072" s="22"/>
    </row>
    <row r="1073" spans="1:15" ht="13.5" customHeight="1" x14ac:dyDescent="0.25">
      <c r="A1073" s="1"/>
      <c r="B1073" s="20">
        <v>1061</v>
      </c>
      <c r="C1073" s="20">
        <v>2023</v>
      </c>
      <c r="D1073" s="20">
        <v>40797</v>
      </c>
      <c r="E1073" s="20" t="s">
        <v>4146</v>
      </c>
      <c r="F1073" s="20" t="s">
        <v>4147</v>
      </c>
      <c r="G1073" s="20" t="s">
        <v>4148</v>
      </c>
      <c r="H1073" s="20" t="s">
        <v>4149</v>
      </c>
      <c r="I1073" s="20" t="s">
        <v>23</v>
      </c>
      <c r="J1073" s="21">
        <v>2015</v>
      </c>
      <c r="K1073" s="20" t="s">
        <v>475</v>
      </c>
      <c r="L1073" s="21" t="s">
        <v>30</v>
      </c>
      <c r="M1073" s="21"/>
      <c r="N1073" s="20" t="s">
        <v>185</v>
      </c>
      <c r="O1073" s="20"/>
    </row>
    <row r="1074" spans="1:15" ht="13.5" customHeight="1" x14ac:dyDescent="0.25">
      <c r="A1074" s="1"/>
      <c r="B1074" s="22">
        <v>1062</v>
      </c>
      <c r="C1074" s="22">
        <v>2023</v>
      </c>
      <c r="D1074" s="22">
        <v>43039</v>
      </c>
      <c r="E1074" s="22" t="s">
        <v>4150</v>
      </c>
      <c r="F1074" s="22" t="s">
        <v>4151</v>
      </c>
      <c r="G1074" s="22" t="s">
        <v>4152</v>
      </c>
      <c r="H1074" s="22" t="s">
        <v>4153</v>
      </c>
      <c r="I1074" s="22" t="s">
        <v>23</v>
      </c>
      <c r="J1074" s="23">
        <v>2020</v>
      </c>
      <c r="K1074" s="22" t="s">
        <v>29</v>
      </c>
      <c r="L1074" s="23" t="s">
        <v>30</v>
      </c>
      <c r="M1074" s="23"/>
      <c r="N1074" s="22" t="s">
        <v>270</v>
      </c>
      <c r="O1074" s="22"/>
    </row>
    <row r="1075" spans="1:15" ht="13.5" customHeight="1" x14ac:dyDescent="0.25">
      <c r="A1075" s="1"/>
      <c r="B1075" s="20">
        <v>1063</v>
      </c>
      <c r="C1075" s="20">
        <v>2023</v>
      </c>
      <c r="D1075" s="20">
        <v>11485</v>
      </c>
      <c r="E1075" s="20" t="s">
        <v>4154</v>
      </c>
      <c r="F1075" s="20" t="s">
        <v>4155</v>
      </c>
      <c r="G1075" s="20" t="s">
        <v>4156</v>
      </c>
      <c r="H1075" s="20" t="s">
        <v>4157</v>
      </c>
      <c r="I1075" s="20" t="s">
        <v>62</v>
      </c>
      <c r="J1075" s="21">
        <v>2006</v>
      </c>
      <c r="K1075" s="20" t="s">
        <v>95</v>
      </c>
      <c r="L1075" s="21" t="s">
        <v>30</v>
      </c>
      <c r="M1075" s="21" t="s">
        <v>30</v>
      </c>
      <c r="N1075" s="20"/>
      <c r="O1075" s="20"/>
    </row>
    <row r="1076" spans="1:15" ht="13.5" customHeight="1" x14ac:dyDescent="0.25">
      <c r="A1076" s="1"/>
      <c r="B1076" s="22">
        <v>1064</v>
      </c>
      <c r="C1076" s="22">
        <v>2023</v>
      </c>
      <c r="D1076" s="22">
        <v>11486</v>
      </c>
      <c r="E1076" s="22" t="s">
        <v>4158</v>
      </c>
      <c r="F1076" s="22" t="s">
        <v>4159</v>
      </c>
      <c r="G1076" s="22" t="s">
        <v>4160</v>
      </c>
      <c r="H1076" s="22" t="s">
        <v>4161</v>
      </c>
      <c r="I1076" s="22" t="s">
        <v>62</v>
      </c>
      <c r="J1076" s="23">
        <v>2006</v>
      </c>
      <c r="K1076" s="22" t="s">
        <v>95</v>
      </c>
      <c r="L1076" s="23" t="s">
        <v>30</v>
      </c>
      <c r="M1076" s="23" t="s">
        <v>30</v>
      </c>
      <c r="N1076" s="22"/>
      <c r="O1076" s="22"/>
    </row>
    <row r="1077" spans="1:15" ht="13.5" customHeight="1" x14ac:dyDescent="0.25">
      <c r="A1077" s="1"/>
      <c r="B1077" s="20">
        <v>1065</v>
      </c>
      <c r="C1077" s="20">
        <v>2023</v>
      </c>
      <c r="D1077" s="20">
        <v>13291</v>
      </c>
      <c r="E1077" s="20" t="s">
        <v>4162</v>
      </c>
      <c r="F1077" s="20" t="s">
        <v>4163</v>
      </c>
      <c r="G1077" s="20" t="s">
        <v>4164</v>
      </c>
      <c r="H1077" s="20" t="s">
        <v>4165</v>
      </c>
      <c r="I1077" s="20" t="s">
        <v>23</v>
      </c>
      <c r="J1077" s="21">
        <v>2010</v>
      </c>
      <c r="K1077" s="20" t="s">
        <v>44</v>
      </c>
      <c r="L1077" s="21" t="s">
        <v>30</v>
      </c>
      <c r="M1077" s="21" t="s">
        <v>30</v>
      </c>
      <c r="N1077" s="20"/>
      <c r="O1077" s="20"/>
    </row>
    <row r="1078" spans="1:15" ht="13.5" customHeight="1" x14ac:dyDescent="0.25">
      <c r="A1078" s="1"/>
      <c r="B1078" s="22">
        <v>1066</v>
      </c>
      <c r="C1078" s="22">
        <v>2023</v>
      </c>
      <c r="D1078" s="22">
        <v>13160</v>
      </c>
      <c r="E1078" s="22" t="s">
        <v>4166</v>
      </c>
      <c r="F1078" s="22" t="s">
        <v>4167</v>
      </c>
      <c r="G1078" s="22" t="s">
        <v>4168</v>
      </c>
      <c r="H1078" s="22" t="s">
        <v>4169</v>
      </c>
      <c r="I1078" s="22" t="s">
        <v>23</v>
      </c>
      <c r="J1078" s="23">
        <v>2000</v>
      </c>
      <c r="K1078" s="22" t="s">
        <v>44</v>
      </c>
      <c r="L1078" s="23" t="s">
        <v>30</v>
      </c>
      <c r="M1078" s="23"/>
      <c r="N1078" s="22" t="s">
        <v>173</v>
      </c>
      <c r="O1078" s="22"/>
    </row>
    <row r="1079" spans="1:15" ht="13.5" customHeight="1" x14ac:dyDescent="0.25">
      <c r="A1079" s="1"/>
      <c r="B1079" s="20">
        <v>1067</v>
      </c>
      <c r="C1079" s="20">
        <v>2023</v>
      </c>
      <c r="D1079" s="20">
        <v>10384</v>
      </c>
      <c r="E1079" s="20" t="s">
        <v>4170</v>
      </c>
      <c r="F1079" s="20" t="s">
        <v>4171</v>
      </c>
      <c r="G1079" s="20" t="s">
        <v>4172</v>
      </c>
      <c r="H1079" s="20" t="s">
        <v>4173</v>
      </c>
      <c r="I1079" s="20" t="s">
        <v>23</v>
      </c>
      <c r="J1079" s="21">
        <v>2004</v>
      </c>
      <c r="K1079" s="20" t="s">
        <v>39</v>
      </c>
      <c r="L1079" s="21" t="s">
        <v>30</v>
      </c>
      <c r="M1079" s="21" t="s">
        <v>30</v>
      </c>
      <c r="N1079" s="20"/>
      <c r="O1079" s="20"/>
    </row>
    <row r="1080" spans="1:15" ht="13.5" customHeight="1" x14ac:dyDescent="0.25">
      <c r="A1080" s="1"/>
      <c r="B1080" s="22">
        <v>1068</v>
      </c>
      <c r="C1080" s="22">
        <v>2023</v>
      </c>
      <c r="D1080" s="22">
        <v>11604</v>
      </c>
      <c r="E1080" s="22" t="s">
        <v>4174</v>
      </c>
      <c r="F1080" s="22" t="s">
        <v>4175</v>
      </c>
      <c r="G1080" s="22" t="s">
        <v>4176</v>
      </c>
      <c r="H1080" s="22" t="s">
        <v>4177</v>
      </c>
      <c r="I1080" s="22" t="s">
        <v>23</v>
      </c>
      <c r="J1080" s="23">
        <v>2006</v>
      </c>
      <c r="K1080" s="22" t="s">
        <v>39</v>
      </c>
      <c r="L1080" s="23" t="s">
        <v>30</v>
      </c>
      <c r="M1080" s="23" t="s">
        <v>30</v>
      </c>
      <c r="N1080" s="22" t="s">
        <v>74</v>
      </c>
      <c r="O1080" s="22"/>
    </row>
    <row r="1081" spans="1:15" ht="13.5" customHeight="1" x14ac:dyDescent="0.25">
      <c r="A1081" s="1"/>
      <c r="B1081" s="20">
        <v>1069</v>
      </c>
      <c r="C1081" s="20">
        <v>2023</v>
      </c>
      <c r="D1081" s="20">
        <v>42081</v>
      </c>
      <c r="E1081" s="20" t="s">
        <v>4178</v>
      </c>
      <c r="F1081" s="20" t="s">
        <v>4179</v>
      </c>
      <c r="G1081" s="20" t="s">
        <v>4180</v>
      </c>
      <c r="H1081" s="20" t="s">
        <v>4181</v>
      </c>
      <c r="I1081" s="20" t="s">
        <v>23</v>
      </c>
      <c r="J1081" s="21">
        <v>2018</v>
      </c>
      <c r="K1081" s="20" t="s">
        <v>44</v>
      </c>
      <c r="L1081" s="21" t="s">
        <v>30</v>
      </c>
      <c r="M1081" s="21"/>
      <c r="N1081" s="20" t="s">
        <v>213</v>
      </c>
      <c r="O1081" s="20"/>
    </row>
    <row r="1082" spans="1:15" ht="13.5" customHeight="1" x14ac:dyDescent="0.25">
      <c r="A1082" s="1"/>
      <c r="B1082" s="22">
        <v>1070</v>
      </c>
      <c r="C1082" s="22">
        <v>2023</v>
      </c>
      <c r="D1082" s="22">
        <v>775</v>
      </c>
      <c r="E1082" s="22" t="s">
        <v>4182</v>
      </c>
      <c r="F1082" s="22" t="s">
        <v>4183</v>
      </c>
      <c r="G1082" s="22"/>
      <c r="H1082" s="22" t="s">
        <v>4184</v>
      </c>
      <c r="I1082" s="22" t="s">
        <v>23</v>
      </c>
      <c r="J1082" s="23">
        <v>2000</v>
      </c>
      <c r="K1082" s="22" t="s">
        <v>34</v>
      </c>
      <c r="L1082" s="23"/>
      <c r="M1082" s="23" t="s">
        <v>30</v>
      </c>
      <c r="N1082" s="22"/>
      <c r="O1082" s="22"/>
    </row>
    <row r="1083" spans="1:15" ht="13.5" customHeight="1" x14ac:dyDescent="0.25">
      <c r="A1083" s="1"/>
      <c r="B1083" s="20">
        <v>1071</v>
      </c>
      <c r="C1083" s="20">
        <v>2023</v>
      </c>
      <c r="D1083" s="20">
        <v>11448</v>
      </c>
      <c r="E1083" s="20" t="s">
        <v>4185</v>
      </c>
      <c r="F1083" s="20" t="s">
        <v>4186</v>
      </c>
      <c r="G1083" s="20" t="s">
        <v>4187</v>
      </c>
      <c r="H1083" s="20" t="s">
        <v>4188</v>
      </c>
      <c r="I1083" s="20" t="s">
        <v>62</v>
      </c>
      <c r="J1083" s="21">
        <v>2000</v>
      </c>
      <c r="K1083" s="20" t="s">
        <v>63</v>
      </c>
      <c r="L1083" s="21" t="s">
        <v>30</v>
      </c>
      <c r="M1083" s="21" t="s">
        <v>30</v>
      </c>
      <c r="N1083" s="20"/>
      <c r="O1083" s="20"/>
    </row>
    <row r="1084" spans="1:15" ht="13.5" customHeight="1" x14ac:dyDescent="0.25">
      <c r="A1084" s="1"/>
      <c r="B1084" s="22">
        <v>1072</v>
      </c>
      <c r="C1084" s="22">
        <v>2023</v>
      </c>
      <c r="D1084" s="22">
        <v>10835</v>
      </c>
      <c r="E1084" s="22" t="s">
        <v>4189</v>
      </c>
      <c r="F1084" s="22" t="s">
        <v>4190</v>
      </c>
      <c r="G1084" s="22" t="s">
        <v>4191</v>
      </c>
      <c r="H1084" s="22" t="s">
        <v>4192</v>
      </c>
      <c r="I1084" s="22" t="s">
        <v>23</v>
      </c>
      <c r="J1084" s="23">
        <v>2000</v>
      </c>
      <c r="K1084" s="22" t="s">
        <v>4193</v>
      </c>
      <c r="L1084" s="23" t="s">
        <v>30</v>
      </c>
      <c r="M1084" s="23" t="s">
        <v>30</v>
      </c>
      <c r="N1084" s="22"/>
      <c r="O1084" s="22"/>
    </row>
    <row r="1085" spans="1:15" ht="13.5" customHeight="1" x14ac:dyDescent="0.25">
      <c r="A1085" s="1"/>
      <c r="B1085" s="20">
        <v>1073</v>
      </c>
      <c r="C1085" s="20">
        <v>2023</v>
      </c>
      <c r="D1085" s="20">
        <v>41020</v>
      </c>
      <c r="E1085" s="20" t="s">
        <v>4194</v>
      </c>
      <c r="F1085" s="20" t="s">
        <v>4195</v>
      </c>
      <c r="G1085" s="20" t="s">
        <v>4196</v>
      </c>
      <c r="H1085" s="20" t="s">
        <v>4197</v>
      </c>
      <c r="I1085" s="20" t="s">
        <v>23</v>
      </c>
      <c r="J1085" s="21">
        <v>2015</v>
      </c>
      <c r="K1085" s="20" t="s">
        <v>394</v>
      </c>
      <c r="L1085" s="21" t="s">
        <v>30</v>
      </c>
      <c r="M1085" s="21"/>
      <c r="N1085" s="20" t="s">
        <v>68</v>
      </c>
      <c r="O1085" s="20"/>
    </row>
    <row r="1086" spans="1:15" ht="13.5" customHeight="1" x14ac:dyDescent="0.25">
      <c r="A1086" s="1"/>
      <c r="B1086" s="22">
        <v>1074</v>
      </c>
      <c r="C1086" s="22">
        <v>2023</v>
      </c>
      <c r="D1086" s="22">
        <v>42791</v>
      </c>
      <c r="E1086" s="22" t="s">
        <v>4198</v>
      </c>
      <c r="F1086" s="22" t="s">
        <v>4199</v>
      </c>
      <c r="G1086" s="22" t="s">
        <v>4200</v>
      </c>
      <c r="H1086" s="22" t="s">
        <v>4201</v>
      </c>
      <c r="I1086" s="22" t="s">
        <v>4202</v>
      </c>
      <c r="J1086" s="23">
        <v>2019</v>
      </c>
      <c r="K1086" s="22" t="s">
        <v>67</v>
      </c>
      <c r="L1086" s="23" t="s">
        <v>30</v>
      </c>
      <c r="M1086" s="23"/>
      <c r="N1086" s="22" t="s">
        <v>218</v>
      </c>
      <c r="O1086" s="22"/>
    </row>
    <row r="1087" spans="1:15" ht="13.5" customHeight="1" x14ac:dyDescent="0.25">
      <c r="A1087" s="1"/>
      <c r="B1087" s="20">
        <v>1075</v>
      </c>
      <c r="C1087" s="20">
        <v>2023</v>
      </c>
      <c r="D1087" s="20">
        <v>11837</v>
      </c>
      <c r="E1087" s="20" t="s">
        <v>4203</v>
      </c>
      <c r="F1087" s="20" t="s">
        <v>4204</v>
      </c>
      <c r="G1087" s="20" t="s">
        <v>4205</v>
      </c>
      <c r="H1087" s="20" t="s">
        <v>4206</v>
      </c>
      <c r="I1087" s="20" t="s">
        <v>23</v>
      </c>
      <c r="J1087" s="21">
        <v>2000</v>
      </c>
      <c r="K1087" s="20" t="s">
        <v>67</v>
      </c>
      <c r="L1087" s="21" t="s">
        <v>30</v>
      </c>
      <c r="M1087" s="21" t="s">
        <v>30</v>
      </c>
      <c r="N1087" s="20" t="s">
        <v>74</v>
      </c>
      <c r="O1087" s="20"/>
    </row>
    <row r="1088" spans="1:15" ht="13.5" customHeight="1" x14ac:dyDescent="0.25">
      <c r="A1088" s="1"/>
      <c r="B1088" s="22">
        <v>1076</v>
      </c>
      <c r="C1088" s="22">
        <v>2023</v>
      </c>
      <c r="D1088" s="22">
        <v>35144</v>
      </c>
      <c r="E1088" s="22" t="s">
        <v>4207</v>
      </c>
      <c r="F1088" s="22" t="s">
        <v>4208</v>
      </c>
      <c r="G1088" s="22" t="s">
        <v>4209</v>
      </c>
      <c r="H1088" s="22" t="s">
        <v>4210</v>
      </c>
      <c r="I1088" s="22" t="s">
        <v>190</v>
      </c>
      <c r="J1088" s="23">
        <v>2000</v>
      </c>
      <c r="K1088" s="22" t="s">
        <v>24</v>
      </c>
      <c r="L1088" s="23" t="s">
        <v>30</v>
      </c>
      <c r="M1088" s="23"/>
      <c r="N1088" s="22"/>
      <c r="O1088" s="22"/>
    </row>
    <row r="1089" spans="1:15" ht="13.5" customHeight="1" x14ac:dyDescent="0.25">
      <c r="A1089" s="1"/>
      <c r="B1089" s="20">
        <v>1077</v>
      </c>
      <c r="C1089" s="20">
        <v>2023</v>
      </c>
      <c r="D1089" s="20">
        <v>11854</v>
      </c>
      <c r="E1089" s="20" t="s">
        <v>4211</v>
      </c>
      <c r="F1089" s="20" t="s">
        <v>4212</v>
      </c>
      <c r="G1089" s="20" t="s">
        <v>4213</v>
      </c>
      <c r="H1089" s="20" t="s">
        <v>4214</v>
      </c>
      <c r="I1089" s="20" t="s">
        <v>4137</v>
      </c>
      <c r="J1089" s="21">
        <v>2000</v>
      </c>
      <c r="K1089" s="20" t="s">
        <v>44</v>
      </c>
      <c r="L1089" s="21" t="s">
        <v>30</v>
      </c>
      <c r="M1089" s="21" t="s">
        <v>30</v>
      </c>
      <c r="N1089" s="20" t="s">
        <v>74</v>
      </c>
      <c r="O1089" s="20"/>
    </row>
    <row r="1090" spans="1:15" ht="13.5" customHeight="1" x14ac:dyDescent="0.25">
      <c r="A1090" s="1"/>
      <c r="B1090" s="22">
        <v>1078</v>
      </c>
      <c r="C1090" s="22">
        <v>2023</v>
      </c>
      <c r="D1090" s="22">
        <v>10838</v>
      </c>
      <c r="E1090" s="22" t="s">
        <v>4215</v>
      </c>
      <c r="F1090" s="22" t="s">
        <v>4216</v>
      </c>
      <c r="G1090" s="22" t="s">
        <v>4217</v>
      </c>
      <c r="H1090" s="22" t="s">
        <v>4218</v>
      </c>
      <c r="I1090" s="22" t="s">
        <v>23</v>
      </c>
      <c r="J1090" s="23">
        <v>2000</v>
      </c>
      <c r="K1090" s="22" t="s">
        <v>73</v>
      </c>
      <c r="L1090" s="23" t="s">
        <v>30</v>
      </c>
      <c r="M1090" s="23" t="s">
        <v>30</v>
      </c>
      <c r="N1090" s="22"/>
      <c r="O1090" s="22"/>
    </row>
    <row r="1091" spans="1:15" ht="13.5" customHeight="1" x14ac:dyDescent="0.25">
      <c r="A1091" s="1"/>
      <c r="B1091" s="20">
        <v>1079</v>
      </c>
      <c r="C1091" s="20">
        <v>2023</v>
      </c>
      <c r="D1091" s="20">
        <v>41979</v>
      </c>
      <c r="E1091" s="20" t="s">
        <v>4219</v>
      </c>
      <c r="F1091" s="20" t="s">
        <v>4220</v>
      </c>
      <c r="G1091" s="20" t="s">
        <v>4221</v>
      </c>
      <c r="H1091" s="20" t="s">
        <v>4222</v>
      </c>
      <c r="I1091" s="20" t="s">
        <v>23</v>
      </c>
      <c r="J1091" s="21">
        <v>2018</v>
      </c>
      <c r="K1091" s="20" t="s">
        <v>73</v>
      </c>
      <c r="L1091" s="21" t="s">
        <v>30</v>
      </c>
      <c r="M1091" s="21"/>
      <c r="N1091" s="20" t="s">
        <v>213</v>
      </c>
      <c r="O1091" s="20"/>
    </row>
    <row r="1092" spans="1:15" ht="13.5" customHeight="1" x14ac:dyDescent="0.25">
      <c r="A1092" s="1"/>
      <c r="B1092" s="22">
        <v>1080</v>
      </c>
      <c r="C1092" s="22">
        <v>2023</v>
      </c>
      <c r="D1092" s="22">
        <v>41971</v>
      </c>
      <c r="E1092" s="22" t="s">
        <v>4223</v>
      </c>
      <c r="F1092" s="22" t="s">
        <v>4224</v>
      </c>
      <c r="G1092" s="22" t="s">
        <v>4225</v>
      </c>
      <c r="H1092" s="22" t="s">
        <v>4226</v>
      </c>
      <c r="I1092" s="22" t="s">
        <v>357</v>
      </c>
      <c r="J1092" s="23">
        <v>2017</v>
      </c>
      <c r="K1092" s="22" t="s">
        <v>39</v>
      </c>
      <c r="L1092" s="23" t="s">
        <v>30</v>
      </c>
      <c r="M1092" s="23"/>
      <c r="N1092" s="22" t="s">
        <v>105</v>
      </c>
      <c r="O1092" s="22"/>
    </row>
    <row r="1093" spans="1:15" ht="13.5" customHeight="1" x14ac:dyDescent="0.25">
      <c r="A1093" s="1"/>
      <c r="B1093" s="20">
        <v>1081</v>
      </c>
      <c r="C1093" s="20">
        <v>2023</v>
      </c>
      <c r="D1093" s="20">
        <v>41974</v>
      </c>
      <c r="E1093" s="20" t="s">
        <v>4227</v>
      </c>
      <c r="F1093" s="20" t="s">
        <v>4228</v>
      </c>
      <c r="G1093" s="20" t="s">
        <v>4229</v>
      </c>
      <c r="H1093" s="20" t="s">
        <v>4230</v>
      </c>
      <c r="I1093" s="20" t="s">
        <v>357</v>
      </c>
      <c r="J1093" s="21">
        <v>2017</v>
      </c>
      <c r="K1093" s="20" t="s">
        <v>39</v>
      </c>
      <c r="L1093" s="21" t="s">
        <v>30</v>
      </c>
      <c r="M1093" s="21"/>
      <c r="N1093" s="20" t="s">
        <v>105</v>
      </c>
      <c r="O1093" s="20"/>
    </row>
    <row r="1094" spans="1:15" ht="13.5" customHeight="1" x14ac:dyDescent="0.25">
      <c r="A1094" s="1"/>
      <c r="B1094" s="22">
        <v>1082</v>
      </c>
      <c r="C1094" s="22">
        <v>2023</v>
      </c>
      <c r="D1094" s="22">
        <v>41975</v>
      </c>
      <c r="E1094" s="22" t="s">
        <v>4231</v>
      </c>
      <c r="F1094" s="22" t="s">
        <v>4232</v>
      </c>
      <c r="G1094" s="22" t="s">
        <v>4233</v>
      </c>
      <c r="H1094" s="22" t="s">
        <v>4234</v>
      </c>
      <c r="I1094" s="22" t="s">
        <v>357</v>
      </c>
      <c r="J1094" s="23">
        <v>2017</v>
      </c>
      <c r="K1094" s="22" t="s">
        <v>39</v>
      </c>
      <c r="L1094" s="23" t="s">
        <v>30</v>
      </c>
      <c r="M1094" s="23"/>
      <c r="N1094" s="22" t="s">
        <v>105</v>
      </c>
      <c r="O1094" s="22"/>
    </row>
    <row r="1095" spans="1:15" ht="13.5" customHeight="1" x14ac:dyDescent="0.25">
      <c r="A1095" s="1"/>
      <c r="B1095" s="20">
        <v>1083</v>
      </c>
      <c r="C1095" s="20">
        <v>2023</v>
      </c>
      <c r="D1095" s="20">
        <v>41969</v>
      </c>
      <c r="E1095" s="20" t="s">
        <v>4235</v>
      </c>
      <c r="F1095" s="20" t="s">
        <v>4236</v>
      </c>
      <c r="G1095" s="20" t="s">
        <v>4237</v>
      </c>
      <c r="H1095" s="20" t="s">
        <v>4238</v>
      </c>
      <c r="I1095" s="20" t="s">
        <v>357</v>
      </c>
      <c r="J1095" s="21">
        <v>2017</v>
      </c>
      <c r="K1095" s="20" t="s">
        <v>39</v>
      </c>
      <c r="L1095" s="21" t="s">
        <v>30</v>
      </c>
      <c r="M1095" s="21"/>
      <c r="N1095" s="20" t="s">
        <v>105</v>
      </c>
      <c r="O1095" s="20"/>
    </row>
    <row r="1096" spans="1:15" ht="13.5" customHeight="1" x14ac:dyDescent="0.25">
      <c r="A1096" s="1"/>
      <c r="B1096" s="22">
        <v>1084</v>
      </c>
      <c r="C1096" s="22">
        <v>2023</v>
      </c>
      <c r="D1096" s="22">
        <v>13138</v>
      </c>
      <c r="E1096" s="22" t="s">
        <v>4239</v>
      </c>
      <c r="F1096" s="22" t="s">
        <v>4240</v>
      </c>
      <c r="G1096" s="22" t="s">
        <v>4241</v>
      </c>
      <c r="H1096" s="22" t="s">
        <v>4242</v>
      </c>
      <c r="I1096" s="22" t="s">
        <v>23</v>
      </c>
      <c r="J1096" s="23">
        <v>2000</v>
      </c>
      <c r="K1096" s="22" t="s">
        <v>73</v>
      </c>
      <c r="L1096" s="23" t="s">
        <v>30</v>
      </c>
      <c r="M1096" s="23"/>
      <c r="N1096" s="22" t="s">
        <v>173</v>
      </c>
      <c r="O1096" s="22"/>
    </row>
    <row r="1097" spans="1:15" ht="13.5" customHeight="1" x14ac:dyDescent="0.25">
      <c r="A1097" s="1"/>
      <c r="B1097" s="20">
        <v>1085</v>
      </c>
      <c r="C1097" s="20">
        <v>2023</v>
      </c>
      <c r="D1097" s="20">
        <v>41970</v>
      </c>
      <c r="E1097" s="20" t="s">
        <v>4243</v>
      </c>
      <c r="F1097" s="20" t="s">
        <v>4244</v>
      </c>
      <c r="G1097" s="20" t="s">
        <v>4245</v>
      </c>
      <c r="H1097" s="20" t="s">
        <v>4246</v>
      </c>
      <c r="I1097" s="20" t="s">
        <v>357</v>
      </c>
      <c r="J1097" s="21">
        <v>2017</v>
      </c>
      <c r="K1097" s="20" t="s">
        <v>39</v>
      </c>
      <c r="L1097" s="21" t="s">
        <v>30</v>
      </c>
      <c r="M1097" s="21"/>
      <c r="N1097" s="20" t="s">
        <v>105</v>
      </c>
      <c r="O1097" s="20"/>
    </row>
    <row r="1098" spans="1:15" ht="13.5" customHeight="1" x14ac:dyDescent="0.25">
      <c r="A1098" s="1"/>
      <c r="B1098" s="22">
        <v>1086</v>
      </c>
      <c r="C1098" s="22">
        <v>2023</v>
      </c>
      <c r="D1098" s="22">
        <v>41972</v>
      </c>
      <c r="E1098" s="22" t="s">
        <v>4247</v>
      </c>
      <c r="F1098" s="22" t="s">
        <v>4248</v>
      </c>
      <c r="G1098" s="22" t="s">
        <v>4249</v>
      </c>
      <c r="H1098" s="22" t="s">
        <v>4250</v>
      </c>
      <c r="I1098" s="22" t="s">
        <v>357</v>
      </c>
      <c r="J1098" s="23">
        <v>2017</v>
      </c>
      <c r="K1098" s="22" t="s">
        <v>39</v>
      </c>
      <c r="L1098" s="23" t="s">
        <v>30</v>
      </c>
      <c r="M1098" s="23"/>
      <c r="N1098" s="22" t="s">
        <v>105</v>
      </c>
      <c r="O1098" s="22"/>
    </row>
    <row r="1099" spans="1:15" ht="13.5" customHeight="1" x14ac:dyDescent="0.25">
      <c r="A1099" s="1"/>
      <c r="B1099" s="20">
        <v>1087</v>
      </c>
      <c r="C1099" s="20">
        <v>2023</v>
      </c>
      <c r="D1099" s="20">
        <v>10805</v>
      </c>
      <c r="E1099" s="20" t="s">
        <v>4251</v>
      </c>
      <c r="F1099" s="20" t="s">
        <v>4252</v>
      </c>
      <c r="G1099" s="20" t="s">
        <v>4253</v>
      </c>
      <c r="H1099" s="20" t="s">
        <v>4254</v>
      </c>
      <c r="I1099" s="20" t="s">
        <v>23</v>
      </c>
      <c r="J1099" s="21">
        <v>2003</v>
      </c>
      <c r="K1099" s="20" t="s">
        <v>73</v>
      </c>
      <c r="L1099" s="21" t="s">
        <v>30</v>
      </c>
      <c r="M1099" s="21" t="s">
        <v>30</v>
      </c>
      <c r="N1099" s="20"/>
      <c r="O1099" s="20"/>
    </row>
    <row r="1100" spans="1:15" ht="13.5" customHeight="1" x14ac:dyDescent="0.25">
      <c r="A1100" s="1"/>
      <c r="B1100" s="22">
        <v>1088</v>
      </c>
      <c r="C1100" s="22">
        <v>2023</v>
      </c>
      <c r="D1100" s="22">
        <v>11726</v>
      </c>
      <c r="E1100" s="22" t="s">
        <v>4255</v>
      </c>
      <c r="F1100" s="22" t="s">
        <v>4256</v>
      </c>
      <c r="G1100" s="22" t="s">
        <v>4257</v>
      </c>
      <c r="H1100" s="22" t="s">
        <v>4258</v>
      </c>
      <c r="I1100" s="22" t="s">
        <v>23</v>
      </c>
      <c r="J1100" s="23">
        <v>2003</v>
      </c>
      <c r="K1100" s="22" t="s">
        <v>39</v>
      </c>
      <c r="L1100" s="23" t="s">
        <v>30</v>
      </c>
      <c r="M1100" s="23" t="s">
        <v>30</v>
      </c>
      <c r="N1100" s="22" t="s">
        <v>74</v>
      </c>
      <c r="O1100" s="22"/>
    </row>
    <row r="1101" spans="1:15" ht="13.5" customHeight="1" x14ac:dyDescent="0.25">
      <c r="A1101" s="1"/>
      <c r="B1101" s="20">
        <v>1089</v>
      </c>
      <c r="C1101" s="20">
        <v>2023</v>
      </c>
      <c r="D1101" s="20">
        <v>10804</v>
      </c>
      <c r="E1101" s="20" t="s">
        <v>4259</v>
      </c>
      <c r="F1101" s="20" t="s">
        <v>4260</v>
      </c>
      <c r="G1101" s="20" t="s">
        <v>4261</v>
      </c>
      <c r="H1101" s="20" t="s">
        <v>4262</v>
      </c>
      <c r="I1101" s="20" t="s">
        <v>23</v>
      </c>
      <c r="J1101" s="21">
        <v>2000</v>
      </c>
      <c r="K1101" s="20" t="s">
        <v>203</v>
      </c>
      <c r="L1101" s="21" t="s">
        <v>30</v>
      </c>
      <c r="M1101" s="21" t="s">
        <v>30</v>
      </c>
      <c r="N1101" s="20"/>
      <c r="O1101" s="20"/>
    </row>
    <row r="1102" spans="1:15" ht="13.5" customHeight="1" x14ac:dyDescent="0.25">
      <c r="A1102" s="1"/>
      <c r="B1102" s="22">
        <v>1090</v>
      </c>
      <c r="C1102" s="22">
        <v>2023</v>
      </c>
      <c r="D1102" s="22">
        <v>12111</v>
      </c>
      <c r="E1102" s="22" t="s">
        <v>4263</v>
      </c>
      <c r="F1102" s="22" t="s">
        <v>4264</v>
      </c>
      <c r="G1102" s="22" t="s">
        <v>4265</v>
      </c>
      <c r="H1102" s="22" t="s">
        <v>4266</v>
      </c>
      <c r="I1102" s="22" t="s">
        <v>23</v>
      </c>
      <c r="J1102" s="23">
        <v>2000</v>
      </c>
      <c r="K1102" s="22" t="s">
        <v>184</v>
      </c>
      <c r="L1102" s="23" t="s">
        <v>30</v>
      </c>
      <c r="M1102" s="23" t="s">
        <v>30</v>
      </c>
      <c r="N1102" s="22" t="s">
        <v>74</v>
      </c>
      <c r="O1102" s="22"/>
    </row>
    <row r="1103" spans="1:15" ht="13.5" customHeight="1" x14ac:dyDescent="0.25">
      <c r="A1103" s="1"/>
      <c r="B1103" s="20">
        <v>1091</v>
      </c>
      <c r="C1103" s="20">
        <v>2023</v>
      </c>
      <c r="D1103" s="20">
        <v>10806</v>
      </c>
      <c r="E1103" s="20" t="s">
        <v>4267</v>
      </c>
      <c r="F1103" s="20" t="s">
        <v>4268</v>
      </c>
      <c r="G1103" s="20" t="s">
        <v>4269</v>
      </c>
      <c r="H1103" s="20" t="s">
        <v>4270</v>
      </c>
      <c r="I1103" s="20" t="s">
        <v>23</v>
      </c>
      <c r="J1103" s="21">
        <v>2000</v>
      </c>
      <c r="K1103" s="20" t="s">
        <v>73</v>
      </c>
      <c r="L1103" s="21" t="s">
        <v>30</v>
      </c>
      <c r="M1103" s="21" t="s">
        <v>30</v>
      </c>
      <c r="N1103" s="20"/>
      <c r="O1103" s="20"/>
    </row>
    <row r="1104" spans="1:15" ht="13.5" customHeight="1" x14ac:dyDescent="0.25">
      <c r="A1104" s="1"/>
      <c r="B1104" s="22">
        <v>1092</v>
      </c>
      <c r="C1104" s="22">
        <v>2023</v>
      </c>
      <c r="D1104" s="22">
        <v>13253</v>
      </c>
      <c r="E1104" s="22" t="s">
        <v>4271</v>
      </c>
      <c r="F1104" s="22" t="s">
        <v>4272</v>
      </c>
      <c r="G1104" s="22" t="s">
        <v>4273</v>
      </c>
      <c r="H1104" s="22" t="s">
        <v>4274</v>
      </c>
      <c r="I1104" s="22" t="s">
        <v>23</v>
      </c>
      <c r="J1104" s="23">
        <v>2001</v>
      </c>
      <c r="K1104" s="22" t="s">
        <v>44</v>
      </c>
      <c r="L1104" s="23" t="s">
        <v>30</v>
      </c>
      <c r="M1104" s="23"/>
      <c r="N1104" s="22" t="s">
        <v>173</v>
      </c>
      <c r="O1104" s="22"/>
    </row>
    <row r="1105" spans="1:15" ht="13.5" customHeight="1" x14ac:dyDescent="0.25">
      <c r="A1105" s="1"/>
      <c r="B1105" s="20">
        <v>1093</v>
      </c>
      <c r="C1105" s="20">
        <v>2023</v>
      </c>
      <c r="D1105" s="20">
        <v>10801</v>
      </c>
      <c r="E1105" s="20" t="s">
        <v>4275</v>
      </c>
      <c r="F1105" s="20" t="s">
        <v>4276</v>
      </c>
      <c r="G1105" s="20" t="s">
        <v>4277</v>
      </c>
      <c r="H1105" s="20" t="s">
        <v>4278</v>
      </c>
      <c r="I1105" s="20" t="s">
        <v>23</v>
      </c>
      <c r="J1105" s="21">
        <v>2000</v>
      </c>
      <c r="K1105" s="20" t="s">
        <v>44</v>
      </c>
      <c r="L1105" s="21" t="s">
        <v>30</v>
      </c>
      <c r="M1105" s="21" t="s">
        <v>30</v>
      </c>
      <c r="N1105" s="20"/>
      <c r="O1105" s="20"/>
    </row>
    <row r="1106" spans="1:15" ht="13.5" customHeight="1" x14ac:dyDescent="0.25">
      <c r="A1106" s="1"/>
      <c r="B1106" s="22">
        <v>1094</v>
      </c>
      <c r="C1106" s="22">
        <v>2023</v>
      </c>
      <c r="D1106" s="22">
        <v>12652</v>
      </c>
      <c r="E1106" s="22" t="s">
        <v>4279</v>
      </c>
      <c r="F1106" s="22" t="s">
        <v>4280</v>
      </c>
      <c r="G1106" s="22" t="s">
        <v>4281</v>
      </c>
      <c r="H1106" s="22" t="s">
        <v>4282</v>
      </c>
      <c r="I1106" s="22" t="s">
        <v>23</v>
      </c>
      <c r="J1106" s="23">
        <v>2010</v>
      </c>
      <c r="K1106" s="22" t="s">
        <v>67</v>
      </c>
      <c r="L1106" s="23" t="s">
        <v>30</v>
      </c>
      <c r="M1106" s="23" t="s">
        <v>30</v>
      </c>
      <c r="N1106" s="22" t="s">
        <v>1310</v>
      </c>
      <c r="O1106" s="22"/>
    </row>
    <row r="1107" spans="1:15" ht="13.5" customHeight="1" x14ac:dyDescent="0.25">
      <c r="A1107" s="1"/>
      <c r="B1107" s="20">
        <v>1095</v>
      </c>
      <c r="C1107" s="20">
        <v>2023</v>
      </c>
      <c r="D1107" s="20">
        <v>41664</v>
      </c>
      <c r="E1107" s="20" t="s">
        <v>4283</v>
      </c>
      <c r="F1107" s="20" t="s">
        <v>4284</v>
      </c>
      <c r="G1107" s="20" t="s">
        <v>4285</v>
      </c>
      <c r="H1107" s="20" t="s">
        <v>4286</v>
      </c>
      <c r="I1107" s="20" t="s">
        <v>4287</v>
      </c>
      <c r="J1107" s="21">
        <v>2017</v>
      </c>
      <c r="K1107" s="20" t="s">
        <v>24</v>
      </c>
      <c r="L1107" s="21" t="s">
        <v>30</v>
      </c>
      <c r="M1107" s="21"/>
      <c r="N1107" s="20" t="s">
        <v>265</v>
      </c>
      <c r="O1107" s="20"/>
    </row>
    <row r="1108" spans="1:15" ht="13.5" customHeight="1" x14ac:dyDescent="0.25">
      <c r="A1108" s="1"/>
      <c r="B1108" s="22">
        <v>1096</v>
      </c>
      <c r="C1108" s="22">
        <v>2023</v>
      </c>
      <c r="D1108" s="22">
        <v>10809</v>
      </c>
      <c r="E1108" s="22" t="s">
        <v>4288</v>
      </c>
      <c r="F1108" s="22" t="s">
        <v>4289</v>
      </c>
      <c r="G1108" s="22" t="s">
        <v>4290</v>
      </c>
      <c r="H1108" s="22" t="s">
        <v>4291</v>
      </c>
      <c r="I1108" s="22" t="s">
        <v>62</v>
      </c>
      <c r="J1108" s="23">
        <v>2000</v>
      </c>
      <c r="K1108" s="22" t="s">
        <v>24</v>
      </c>
      <c r="L1108" s="23" t="s">
        <v>30</v>
      </c>
      <c r="M1108" s="23" t="s">
        <v>30</v>
      </c>
      <c r="N1108" s="22"/>
      <c r="O1108" s="22"/>
    </row>
    <row r="1109" spans="1:15" ht="13.5" customHeight="1" x14ac:dyDescent="0.25">
      <c r="A1109" s="1"/>
      <c r="B1109" s="20">
        <v>1097</v>
      </c>
      <c r="C1109" s="20">
        <v>2023</v>
      </c>
      <c r="D1109" s="20">
        <v>540</v>
      </c>
      <c r="E1109" s="20" t="s">
        <v>4292</v>
      </c>
      <c r="F1109" s="20" t="s">
        <v>4293</v>
      </c>
      <c r="G1109" s="20" t="s">
        <v>4294</v>
      </c>
      <c r="H1109" s="20" t="s">
        <v>4295</v>
      </c>
      <c r="I1109" s="20" t="s">
        <v>23</v>
      </c>
      <c r="J1109" s="21">
        <v>2000</v>
      </c>
      <c r="K1109" s="20" t="s">
        <v>39</v>
      </c>
      <c r="L1109" s="21" t="s">
        <v>30</v>
      </c>
      <c r="M1109" s="21" t="s">
        <v>30</v>
      </c>
      <c r="N1109" s="20"/>
      <c r="O1109" s="20"/>
    </row>
    <row r="1110" spans="1:15" ht="13.5" customHeight="1" x14ac:dyDescent="0.25">
      <c r="A1110" s="1"/>
      <c r="B1110" s="22">
        <v>1098</v>
      </c>
      <c r="C1110" s="22">
        <v>2023</v>
      </c>
      <c r="D1110" s="22">
        <v>41468</v>
      </c>
      <c r="E1110" s="22" t="s">
        <v>4296</v>
      </c>
      <c r="F1110" s="22" t="s">
        <v>4297</v>
      </c>
      <c r="G1110" s="22" t="s">
        <v>4298</v>
      </c>
      <c r="H1110" s="22" t="s">
        <v>4299</v>
      </c>
      <c r="I1110" s="22" t="s">
        <v>23</v>
      </c>
      <c r="J1110" s="23">
        <v>2017</v>
      </c>
      <c r="K1110" s="22" t="s">
        <v>44</v>
      </c>
      <c r="L1110" s="23" t="s">
        <v>30</v>
      </c>
      <c r="M1110" s="23"/>
      <c r="N1110" s="22" t="s">
        <v>265</v>
      </c>
      <c r="O1110" s="22"/>
    </row>
    <row r="1111" spans="1:15" ht="13.5" customHeight="1" x14ac:dyDescent="0.25">
      <c r="A1111" s="1"/>
      <c r="B1111" s="20">
        <v>1099</v>
      </c>
      <c r="C1111" s="20">
        <v>2023</v>
      </c>
      <c r="D1111" s="20">
        <v>11754</v>
      </c>
      <c r="E1111" s="20" t="s">
        <v>4300</v>
      </c>
      <c r="F1111" s="20" t="s">
        <v>4301</v>
      </c>
      <c r="G1111" s="20" t="s">
        <v>4302</v>
      </c>
      <c r="H1111" s="20" t="s">
        <v>4303</v>
      </c>
      <c r="I1111" s="20" t="s">
        <v>62</v>
      </c>
      <c r="J1111" s="21">
        <v>2007</v>
      </c>
      <c r="K1111" s="20" t="s">
        <v>44</v>
      </c>
      <c r="L1111" s="21" t="s">
        <v>30</v>
      </c>
      <c r="M1111" s="21" t="s">
        <v>30</v>
      </c>
      <c r="N1111" s="20" t="s">
        <v>245</v>
      </c>
      <c r="O1111" s="20"/>
    </row>
    <row r="1112" spans="1:15" ht="13.5" customHeight="1" x14ac:dyDescent="0.25">
      <c r="A1112" s="1"/>
      <c r="B1112" s="22">
        <v>1100</v>
      </c>
      <c r="C1112" s="22">
        <v>2023</v>
      </c>
      <c r="D1112" s="22">
        <v>10800</v>
      </c>
      <c r="E1112" s="22" t="s">
        <v>4304</v>
      </c>
      <c r="F1112" s="22" t="s">
        <v>4305</v>
      </c>
      <c r="G1112" s="22" t="s">
        <v>4306</v>
      </c>
      <c r="H1112" s="22" t="s">
        <v>4307</v>
      </c>
      <c r="I1112" s="22" t="s">
        <v>23</v>
      </c>
      <c r="J1112" s="23">
        <v>2000</v>
      </c>
      <c r="K1112" s="22" t="s">
        <v>24</v>
      </c>
      <c r="L1112" s="23" t="s">
        <v>30</v>
      </c>
      <c r="M1112" s="23" t="s">
        <v>30</v>
      </c>
      <c r="N1112" s="22"/>
      <c r="O1112" s="22"/>
    </row>
    <row r="1113" spans="1:15" ht="13.5" customHeight="1" x14ac:dyDescent="0.25">
      <c r="A1113" s="1"/>
      <c r="B1113" s="20">
        <v>1101</v>
      </c>
      <c r="C1113" s="20">
        <v>2023</v>
      </c>
      <c r="D1113" s="20">
        <v>13353</v>
      </c>
      <c r="E1113" s="20" t="s">
        <v>4308</v>
      </c>
      <c r="F1113" s="20" t="s">
        <v>4309</v>
      </c>
      <c r="G1113" s="20" t="s">
        <v>4310</v>
      </c>
      <c r="H1113" s="20" t="s">
        <v>4311</v>
      </c>
      <c r="I1113" s="20" t="s">
        <v>23</v>
      </c>
      <c r="J1113" s="21">
        <v>2006</v>
      </c>
      <c r="K1113" s="20" t="s">
        <v>34</v>
      </c>
      <c r="L1113" s="21" t="s">
        <v>30</v>
      </c>
      <c r="M1113" s="21"/>
      <c r="N1113" s="20" t="s">
        <v>275</v>
      </c>
      <c r="O1113" s="20"/>
    </row>
    <row r="1114" spans="1:15" ht="13.5" customHeight="1" x14ac:dyDescent="0.25">
      <c r="A1114" s="1"/>
      <c r="B1114" s="22">
        <v>1102</v>
      </c>
      <c r="C1114" s="22">
        <v>2023</v>
      </c>
      <c r="D1114" s="22">
        <v>12190</v>
      </c>
      <c r="E1114" s="22" t="s">
        <v>4312</v>
      </c>
      <c r="F1114" s="22" t="s">
        <v>4313</v>
      </c>
      <c r="G1114" s="22" t="s">
        <v>4314</v>
      </c>
      <c r="H1114" s="22" t="s">
        <v>4315</v>
      </c>
      <c r="I1114" s="22" t="s">
        <v>23</v>
      </c>
      <c r="J1114" s="23">
        <v>2000</v>
      </c>
      <c r="K1114" s="22" t="s">
        <v>44</v>
      </c>
      <c r="L1114" s="23" t="s">
        <v>30</v>
      </c>
      <c r="M1114" s="23" t="s">
        <v>30</v>
      </c>
      <c r="N1114" s="22" t="s">
        <v>35</v>
      </c>
      <c r="O1114" s="22"/>
    </row>
    <row r="1115" spans="1:15" ht="13.5" customHeight="1" x14ac:dyDescent="0.25">
      <c r="A1115" s="1"/>
      <c r="B1115" s="20">
        <v>1103</v>
      </c>
      <c r="C1115" s="20">
        <v>2023</v>
      </c>
      <c r="D1115" s="20">
        <v>10808</v>
      </c>
      <c r="E1115" s="20" t="s">
        <v>4316</v>
      </c>
      <c r="F1115" s="20" t="s">
        <v>4317</v>
      </c>
      <c r="G1115" s="20" t="s">
        <v>4318</v>
      </c>
      <c r="H1115" s="20" t="s">
        <v>4319</v>
      </c>
      <c r="I1115" s="20" t="s">
        <v>62</v>
      </c>
      <c r="J1115" s="21">
        <v>2000</v>
      </c>
      <c r="K1115" s="20" t="s">
        <v>63</v>
      </c>
      <c r="L1115" s="21" t="s">
        <v>30</v>
      </c>
      <c r="M1115" s="21" t="s">
        <v>30</v>
      </c>
      <c r="N1115" s="20"/>
      <c r="O1115" s="20"/>
    </row>
    <row r="1116" spans="1:15" ht="13.5" customHeight="1" x14ac:dyDescent="0.25">
      <c r="A1116" s="1"/>
      <c r="B1116" s="22">
        <v>1104</v>
      </c>
      <c r="C1116" s="22">
        <v>2023</v>
      </c>
      <c r="D1116" s="22">
        <v>10811</v>
      </c>
      <c r="E1116" s="22" t="s">
        <v>4320</v>
      </c>
      <c r="F1116" s="22" t="s">
        <v>4321</v>
      </c>
      <c r="G1116" s="22" t="s">
        <v>4322</v>
      </c>
      <c r="H1116" s="22" t="s">
        <v>4323</v>
      </c>
      <c r="I1116" s="22" t="s">
        <v>23</v>
      </c>
      <c r="J1116" s="23">
        <v>2000</v>
      </c>
      <c r="K1116" s="22" t="s">
        <v>34</v>
      </c>
      <c r="L1116" s="23" t="s">
        <v>30</v>
      </c>
      <c r="M1116" s="23" t="s">
        <v>30</v>
      </c>
      <c r="N1116" s="22"/>
      <c r="O1116" s="22"/>
    </row>
    <row r="1117" spans="1:15" ht="13.5" customHeight="1" x14ac:dyDescent="0.25">
      <c r="A1117" s="1"/>
      <c r="B1117" s="20">
        <v>1105</v>
      </c>
      <c r="C1117" s="20">
        <v>2023</v>
      </c>
      <c r="D1117" s="20">
        <v>10812</v>
      </c>
      <c r="E1117" s="20" t="s">
        <v>4324</v>
      </c>
      <c r="F1117" s="20" t="s">
        <v>4325</v>
      </c>
      <c r="G1117" s="20" t="s">
        <v>4326</v>
      </c>
      <c r="H1117" s="20" t="s">
        <v>4327</v>
      </c>
      <c r="I1117" s="20" t="s">
        <v>23</v>
      </c>
      <c r="J1117" s="21">
        <v>2000</v>
      </c>
      <c r="K1117" s="20" t="s">
        <v>63</v>
      </c>
      <c r="L1117" s="21" t="s">
        <v>30</v>
      </c>
      <c r="M1117" s="21" t="s">
        <v>30</v>
      </c>
      <c r="N1117" s="20"/>
      <c r="O1117" s="20"/>
    </row>
    <row r="1118" spans="1:15" ht="13.5" customHeight="1" x14ac:dyDescent="0.25">
      <c r="A1118" s="1"/>
      <c r="B1118" s="22">
        <v>1106</v>
      </c>
      <c r="C1118" s="22">
        <v>2023</v>
      </c>
      <c r="D1118" s="22">
        <v>43151</v>
      </c>
      <c r="E1118" s="22" t="s">
        <v>4328</v>
      </c>
      <c r="F1118" s="22" t="s">
        <v>4329</v>
      </c>
      <c r="G1118" s="22" t="s">
        <v>4330</v>
      </c>
      <c r="H1118" s="22" t="s">
        <v>4331</v>
      </c>
      <c r="I1118" s="22" t="s">
        <v>23</v>
      </c>
      <c r="J1118" s="23">
        <v>2020</v>
      </c>
      <c r="K1118" s="22" t="s">
        <v>184</v>
      </c>
      <c r="L1118" s="23" t="s">
        <v>30</v>
      </c>
      <c r="M1118" s="23"/>
      <c r="N1118" s="22" t="s">
        <v>270</v>
      </c>
      <c r="O1118" s="22"/>
    </row>
    <row r="1119" spans="1:15" ht="13.5" customHeight="1" x14ac:dyDescent="0.25">
      <c r="A1119" s="1"/>
      <c r="B1119" s="20">
        <v>1107</v>
      </c>
      <c r="C1119" s="20">
        <v>2023</v>
      </c>
      <c r="D1119" s="20">
        <v>10816</v>
      </c>
      <c r="E1119" s="20" t="s">
        <v>4332</v>
      </c>
      <c r="F1119" s="20" t="s">
        <v>4333</v>
      </c>
      <c r="G1119" s="20" t="s">
        <v>4334</v>
      </c>
      <c r="H1119" s="20" t="s">
        <v>4335</v>
      </c>
      <c r="I1119" s="20" t="s">
        <v>23</v>
      </c>
      <c r="J1119" s="21">
        <v>2000</v>
      </c>
      <c r="K1119" s="20" t="s">
        <v>184</v>
      </c>
      <c r="L1119" s="21" t="s">
        <v>30</v>
      </c>
      <c r="M1119" s="21" t="s">
        <v>30</v>
      </c>
      <c r="N1119" s="20"/>
      <c r="O1119" s="20"/>
    </row>
    <row r="1120" spans="1:15" ht="13.5" customHeight="1" x14ac:dyDescent="0.25">
      <c r="A1120" s="1"/>
      <c r="B1120" s="22">
        <v>1108</v>
      </c>
      <c r="C1120" s="22">
        <v>2023</v>
      </c>
      <c r="D1120" s="22">
        <v>10814</v>
      </c>
      <c r="E1120" s="22" t="s">
        <v>4336</v>
      </c>
      <c r="F1120" s="22" t="s">
        <v>4337</v>
      </c>
      <c r="G1120" s="22" t="s">
        <v>4338</v>
      </c>
      <c r="H1120" s="22" t="s">
        <v>4339</v>
      </c>
      <c r="I1120" s="22" t="s">
        <v>23</v>
      </c>
      <c r="J1120" s="23">
        <v>2000</v>
      </c>
      <c r="K1120" s="22" t="s">
        <v>184</v>
      </c>
      <c r="L1120" s="23" t="s">
        <v>30</v>
      </c>
      <c r="M1120" s="23" t="s">
        <v>30</v>
      </c>
      <c r="N1120" s="22"/>
      <c r="O1120" s="22"/>
    </row>
    <row r="1121" spans="1:15" ht="13.5" customHeight="1" x14ac:dyDescent="0.25">
      <c r="A1121" s="1"/>
      <c r="B1121" s="20">
        <v>1109</v>
      </c>
      <c r="C1121" s="20">
        <v>2023</v>
      </c>
      <c r="D1121" s="20">
        <v>40333</v>
      </c>
      <c r="E1121" s="20" t="s">
        <v>4340</v>
      </c>
      <c r="F1121" s="20" t="s">
        <v>4341</v>
      </c>
      <c r="G1121" s="20" t="s">
        <v>4342</v>
      </c>
      <c r="H1121" s="20" t="s">
        <v>4343</v>
      </c>
      <c r="I1121" s="20" t="s">
        <v>94</v>
      </c>
      <c r="J1121" s="21">
        <v>2013</v>
      </c>
      <c r="K1121" s="20" t="s">
        <v>95</v>
      </c>
      <c r="L1121" s="21" t="s">
        <v>30</v>
      </c>
      <c r="M1121" s="21"/>
      <c r="N1121" s="20" t="s">
        <v>101</v>
      </c>
      <c r="O1121" s="20"/>
    </row>
    <row r="1122" spans="1:15" ht="13.5" customHeight="1" x14ac:dyDescent="0.25">
      <c r="A1122" s="1"/>
      <c r="B1122" s="22">
        <v>1110</v>
      </c>
      <c r="C1122" s="22">
        <v>2023</v>
      </c>
      <c r="D1122" s="22">
        <v>10047</v>
      </c>
      <c r="E1122" s="22" t="s">
        <v>4344</v>
      </c>
      <c r="F1122" s="22" t="s">
        <v>4345</v>
      </c>
      <c r="G1122" s="22" t="s">
        <v>4346</v>
      </c>
      <c r="H1122" s="22" t="s">
        <v>4347</v>
      </c>
      <c r="I1122" s="22" t="s">
        <v>23</v>
      </c>
      <c r="J1122" s="23">
        <v>2000</v>
      </c>
      <c r="K1122" s="22" t="s">
        <v>39</v>
      </c>
      <c r="L1122" s="23" t="s">
        <v>30</v>
      </c>
      <c r="M1122" s="23" t="s">
        <v>30</v>
      </c>
      <c r="N1122" s="22"/>
      <c r="O1122" s="22"/>
    </row>
    <row r="1123" spans="1:15" ht="13.5" customHeight="1" x14ac:dyDescent="0.25">
      <c r="A1123" s="1"/>
      <c r="B1123" s="20">
        <v>1111</v>
      </c>
      <c r="C1123" s="20">
        <v>2023</v>
      </c>
      <c r="D1123" s="20">
        <v>10815</v>
      </c>
      <c r="E1123" s="20" t="s">
        <v>4348</v>
      </c>
      <c r="F1123" s="20" t="s">
        <v>4349</v>
      </c>
      <c r="G1123" s="20" t="s">
        <v>4350</v>
      </c>
      <c r="H1123" s="20" t="s">
        <v>4351</v>
      </c>
      <c r="I1123" s="20" t="s">
        <v>23</v>
      </c>
      <c r="J1123" s="21">
        <v>2000</v>
      </c>
      <c r="K1123" s="20" t="s">
        <v>39</v>
      </c>
      <c r="L1123" s="21" t="s">
        <v>30</v>
      </c>
      <c r="M1123" s="21" t="s">
        <v>30</v>
      </c>
      <c r="N1123" s="20"/>
      <c r="O1123" s="20"/>
    </row>
    <row r="1124" spans="1:15" ht="13.5" customHeight="1" x14ac:dyDescent="0.25">
      <c r="A1124" s="1"/>
      <c r="B1124" s="22">
        <v>1112</v>
      </c>
      <c r="C1124" s="22">
        <v>2023</v>
      </c>
      <c r="D1124" s="22">
        <v>12036</v>
      </c>
      <c r="E1124" s="22" t="s">
        <v>4352</v>
      </c>
      <c r="F1124" s="22" t="s">
        <v>4353</v>
      </c>
      <c r="G1124" s="22"/>
      <c r="H1124" s="22" t="s">
        <v>4354</v>
      </c>
      <c r="I1124" s="22" t="s">
        <v>23</v>
      </c>
      <c r="J1124" s="23">
        <v>2000</v>
      </c>
      <c r="K1124" s="22" t="s">
        <v>63</v>
      </c>
      <c r="L1124" s="23"/>
      <c r="M1124" s="23" t="s">
        <v>30</v>
      </c>
      <c r="N1124" s="22" t="s">
        <v>245</v>
      </c>
      <c r="O1124" s="22"/>
    </row>
    <row r="1125" spans="1:15" ht="13.5" customHeight="1" x14ac:dyDescent="0.25">
      <c r="A1125" s="1"/>
      <c r="B1125" s="20">
        <v>1113</v>
      </c>
      <c r="C1125" s="20">
        <v>2023</v>
      </c>
      <c r="D1125" s="20">
        <v>10874</v>
      </c>
      <c r="E1125" s="20" t="s">
        <v>4355</v>
      </c>
      <c r="F1125" s="20" t="s">
        <v>4356</v>
      </c>
      <c r="G1125" s="20" t="s">
        <v>4357</v>
      </c>
      <c r="H1125" s="20" t="s">
        <v>4358</v>
      </c>
      <c r="I1125" s="20" t="s">
        <v>23</v>
      </c>
      <c r="J1125" s="21">
        <v>2000</v>
      </c>
      <c r="K1125" s="20" t="s">
        <v>95</v>
      </c>
      <c r="L1125" s="21" t="s">
        <v>30</v>
      </c>
      <c r="M1125" s="21" t="s">
        <v>30</v>
      </c>
      <c r="N1125" s="20"/>
      <c r="O1125" s="20"/>
    </row>
    <row r="1126" spans="1:15" ht="13.5" customHeight="1" x14ac:dyDescent="0.25">
      <c r="A1126" s="1"/>
      <c r="B1126" s="22">
        <v>1114</v>
      </c>
      <c r="C1126" s="22">
        <v>2023</v>
      </c>
      <c r="D1126" s="22">
        <v>10803</v>
      </c>
      <c r="E1126" s="22" t="s">
        <v>4359</v>
      </c>
      <c r="F1126" s="22" t="s">
        <v>4360</v>
      </c>
      <c r="G1126" s="22" t="s">
        <v>4361</v>
      </c>
      <c r="H1126" s="22" t="s">
        <v>4362</v>
      </c>
      <c r="I1126" s="22" t="s">
        <v>23</v>
      </c>
      <c r="J1126" s="23">
        <v>2000</v>
      </c>
      <c r="K1126" s="22" t="s">
        <v>203</v>
      </c>
      <c r="L1126" s="23" t="s">
        <v>30</v>
      </c>
      <c r="M1126" s="23" t="s">
        <v>30</v>
      </c>
      <c r="N1126" s="22"/>
      <c r="O1126" s="22"/>
    </row>
    <row r="1127" spans="1:15" ht="13.5" customHeight="1" x14ac:dyDescent="0.25">
      <c r="A1127" s="1"/>
      <c r="B1127" s="20">
        <v>1115</v>
      </c>
      <c r="C1127" s="20">
        <v>2023</v>
      </c>
      <c r="D1127" s="20">
        <v>10817</v>
      </c>
      <c r="E1127" s="20" t="s">
        <v>4363</v>
      </c>
      <c r="F1127" s="20" t="s">
        <v>4364</v>
      </c>
      <c r="G1127" s="20" t="s">
        <v>4365</v>
      </c>
      <c r="H1127" s="20" t="s">
        <v>4366</v>
      </c>
      <c r="I1127" s="20" t="s">
        <v>23</v>
      </c>
      <c r="J1127" s="21">
        <v>2000</v>
      </c>
      <c r="K1127" s="20" t="s">
        <v>114</v>
      </c>
      <c r="L1127" s="21" t="s">
        <v>30</v>
      </c>
      <c r="M1127" s="21" t="s">
        <v>30</v>
      </c>
      <c r="N1127" s="20"/>
      <c r="O1127" s="20"/>
    </row>
    <row r="1128" spans="1:15" ht="13.5" customHeight="1" x14ac:dyDescent="0.25">
      <c r="A1128" s="1"/>
      <c r="B1128" s="22">
        <v>1116</v>
      </c>
      <c r="C1128" s="22">
        <v>2023</v>
      </c>
      <c r="D1128" s="22">
        <v>42786</v>
      </c>
      <c r="E1128" s="22" t="s">
        <v>4367</v>
      </c>
      <c r="F1128" s="22" t="s">
        <v>4368</v>
      </c>
      <c r="G1128" s="22" t="s">
        <v>4369</v>
      </c>
      <c r="H1128" s="22" t="s">
        <v>4370</v>
      </c>
      <c r="I1128" s="22" t="s">
        <v>23</v>
      </c>
      <c r="J1128" s="23">
        <v>2019</v>
      </c>
      <c r="K1128" s="22" t="s">
        <v>114</v>
      </c>
      <c r="L1128" s="23" t="s">
        <v>30</v>
      </c>
      <c r="M1128" s="23"/>
      <c r="N1128" s="22" t="s">
        <v>123</v>
      </c>
      <c r="O1128" s="22"/>
    </row>
    <row r="1129" spans="1:15" ht="13.5" customHeight="1" x14ac:dyDescent="0.25">
      <c r="A1129" s="1"/>
      <c r="B1129" s="20">
        <v>1117</v>
      </c>
      <c r="C1129" s="20">
        <v>2023</v>
      </c>
      <c r="D1129" s="20">
        <v>10864</v>
      </c>
      <c r="E1129" s="20" t="s">
        <v>4371</v>
      </c>
      <c r="F1129" s="20" t="s">
        <v>4372</v>
      </c>
      <c r="G1129" s="20" t="s">
        <v>4373</v>
      </c>
      <c r="H1129" s="20" t="s">
        <v>4374</v>
      </c>
      <c r="I1129" s="20" t="s">
        <v>23</v>
      </c>
      <c r="J1129" s="21">
        <v>2000</v>
      </c>
      <c r="K1129" s="20" t="s">
        <v>203</v>
      </c>
      <c r="L1129" s="21" t="s">
        <v>30</v>
      </c>
      <c r="M1129" s="21" t="s">
        <v>30</v>
      </c>
      <c r="N1129" s="20"/>
      <c r="O1129" s="20"/>
    </row>
    <row r="1130" spans="1:15" ht="13.5" customHeight="1" x14ac:dyDescent="0.25">
      <c r="A1130" s="1"/>
      <c r="B1130" s="22">
        <v>1118</v>
      </c>
      <c r="C1130" s="22">
        <v>2023</v>
      </c>
      <c r="D1130" s="22">
        <v>10865</v>
      </c>
      <c r="E1130" s="22" t="s">
        <v>4375</v>
      </c>
      <c r="F1130" s="22" t="s">
        <v>4376</v>
      </c>
      <c r="G1130" s="22" t="s">
        <v>4377</v>
      </c>
      <c r="H1130" s="22" t="s">
        <v>4378</v>
      </c>
      <c r="I1130" s="22" t="s">
        <v>23</v>
      </c>
      <c r="J1130" s="23">
        <v>2000</v>
      </c>
      <c r="K1130" s="22" t="s">
        <v>39</v>
      </c>
      <c r="L1130" s="23" t="s">
        <v>30</v>
      </c>
      <c r="M1130" s="23" t="s">
        <v>30</v>
      </c>
      <c r="N1130" s="22"/>
      <c r="O1130" s="22"/>
    </row>
    <row r="1131" spans="1:15" ht="13.5" customHeight="1" x14ac:dyDescent="0.25">
      <c r="A1131" s="1"/>
      <c r="B1131" s="20">
        <v>1119</v>
      </c>
      <c r="C1131" s="20">
        <v>2023</v>
      </c>
      <c r="D1131" s="20">
        <v>42421</v>
      </c>
      <c r="E1131" s="20" t="s">
        <v>4379</v>
      </c>
      <c r="F1131" s="20" t="s">
        <v>4380</v>
      </c>
      <c r="G1131" s="20" t="s">
        <v>4381</v>
      </c>
      <c r="H1131" s="20" t="s">
        <v>4382</v>
      </c>
      <c r="I1131" s="20" t="s">
        <v>23</v>
      </c>
      <c r="J1131" s="21">
        <v>2019</v>
      </c>
      <c r="K1131" s="20" t="s">
        <v>67</v>
      </c>
      <c r="L1131" s="21" t="s">
        <v>30</v>
      </c>
      <c r="M1131" s="21"/>
      <c r="N1131" s="20" t="s">
        <v>218</v>
      </c>
      <c r="O1131" s="20"/>
    </row>
    <row r="1132" spans="1:15" ht="13.5" customHeight="1" x14ac:dyDescent="0.25">
      <c r="A1132" s="1"/>
      <c r="B1132" s="22">
        <v>1120</v>
      </c>
      <c r="C1132" s="22">
        <v>2023</v>
      </c>
      <c r="D1132" s="22">
        <v>40735</v>
      </c>
      <c r="E1132" s="22" t="s">
        <v>4383</v>
      </c>
      <c r="F1132" s="22" t="s">
        <v>4384</v>
      </c>
      <c r="G1132" s="22" t="s">
        <v>4385</v>
      </c>
      <c r="H1132" s="22" t="s">
        <v>4386</v>
      </c>
      <c r="I1132" s="22" t="s">
        <v>23</v>
      </c>
      <c r="J1132" s="23">
        <v>2015</v>
      </c>
      <c r="K1132" s="22" t="s">
        <v>24</v>
      </c>
      <c r="L1132" s="23" t="s">
        <v>30</v>
      </c>
      <c r="M1132" s="23"/>
      <c r="N1132" s="22" t="s">
        <v>185</v>
      </c>
      <c r="O1132" s="22"/>
    </row>
    <row r="1133" spans="1:15" ht="13.5" customHeight="1" x14ac:dyDescent="0.25">
      <c r="A1133" s="1"/>
      <c r="B1133" s="20">
        <v>1121</v>
      </c>
      <c r="C1133" s="20">
        <v>2023</v>
      </c>
      <c r="D1133" s="20">
        <v>10818</v>
      </c>
      <c r="E1133" s="20" t="s">
        <v>4387</v>
      </c>
      <c r="F1133" s="20" t="s">
        <v>4388</v>
      </c>
      <c r="G1133" s="20" t="s">
        <v>4389</v>
      </c>
      <c r="H1133" s="20" t="s">
        <v>4390</v>
      </c>
      <c r="I1133" s="20" t="s">
        <v>23</v>
      </c>
      <c r="J1133" s="21">
        <v>2000</v>
      </c>
      <c r="K1133" s="20" t="s">
        <v>475</v>
      </c>
      <c r="L1133" s="21" t="s">
        <v>30</v>
      </c>
      <c r="M1133" s="21" t="s">
        <v>30</v>
      </c>
      <c r="N1133" s="20"/>
      <c r="O1133" s="20"/>
    </row>
    <row r="1134" spans="1:15" ht="13.5" customHeight="1" x14ac:dyDescent="0.25">
      <c r="A1134" s="1"/>
      <c r="B1134" s="22">
        <v>1122</v>
      </c>
      <c r="C1134" s="22">
        <v>2023</v>
      </c>
      <c r="D1134" s="22">
        <v>10863</v>
      </c>
      <c r="E1134" s="22" t="s">
        <v>4391</v>
      </c>
      <c r="F1134" s="22" t="s">
        <v>4392</v>
      </c>
      <c r="G1134" s="22"/>
      <c r="H1134" s="22" t="s">
        <v>4393</v>
      </c>
      <c r="I1134" s="22" t="s">
        <v>23</v>
      </c>
      <c r="J1134" s="23">
        <v>2000</v>
      </c>
      <c r="K1134" s="22" t="s">
        <v>24</v>
      </c>
      <c r="L1134" s="23"/>
      <c r="M1134" s="23" t="s">
        <v>30</v>
      </c>
      <c r="N1134" s="22"/>
      <c r="O1134" s="22"/>
    </row>
    <row r="1135" spans="1:15" ht="13.5" customHeight="1" x14ac:dyDescent="0.25">
      <c r="A1135" s="1"/>
      <c r="B1135" s="20">
        <v>1123</v>
      </c>
      <c r="C1135" s="20">
        <v>2023</v>
      </c>
      <c r="D1135" s="20">
        <v>11673</v>
      </c>
      <c r="E1135" s="20" t="s">
        <v>4394</v>
      </c>
      <c r="F1135" s="20" t="s">
        <v>4395</v>
      </c>
      <c r="G1135" s="20" t="s">
        <v>4396</v>
      </c>
      <c r="H1135" s="20" t="s">
        <v>4397</v>
      </c>
      <c r="I1135" s="20" t="s">
        <v>23</v>
      </c>
      <c r="J1135" s="21">
        <v>2004</v>
      </c>
      <c r="K1135" s="20" t="s">
        <v>39</v>
      </c>
      <c r="L1135" s="21" t="s">
        <v>30</v>
      </c>
      <c r="M1135" s="21" t="s">
        <v>30</v>
      </c>
      <c r="N1135" s="20" t="s">
        <v>74</v>
      </c>
      <c r="O1135" s="20"/>
    </row>
    <row r="1136" spans="1:15" ht="13.5" customHeight="1" x14ac:dyDescent="0.25">
      <c r="A1136" s="1"/>
      <c r="B1136" s="22">
        <v>1124</v>
      </c>
      <c r="C1136" s="22">
        <v>2023</v>
      </c>
      <c r="D1136" s="22">
        <v>10867</v>
      </c>
      <c r="E1136" s="22" t="s">
        <v>4398</v>
      </c>
      <c r="F1136" s="22" t="s">
        <v>4399</v>
      </c>
      <c r="G1136" s="22" t="s">
        <v>4400</v>
      </c>
      <c r="H1136" s="22" t="s">
        <v>4401</v>
      </c>
      <c r="I1136" s="22" t="s">
        <v>23</v>
      </c>
      <c r="J1136" s="23">
        <v>2000</v>
      </c>
      <c r="K1136" s="22" t="s">
        <v>63</v>
      </c>
      <c r="L1136" s="23" t="s">
        <v>30</v>
      </c>
      <c r="M1136" s="23" t="s">
        <v>30</v>
      </c>
      <c r="N1136" s="22"/>
      <c r="O1136" s="22"/>
    </row>
    <row r="1137" spans="1:15" ht="13.5" customHeight="1" x14ac:dyDescent="0.25">
      <c r="A1137" s="1"/>
      <c r="B1137" s="20">
        <v>1125</v>
      </c>
      <c r="C1137" s="20">
        <v>2023</v>
      </c>
      <c r="D1137" s="20">
        <v>10858</v>
      </c>
      <c r="E1137" s="20" t="s">
        <v>4402</v>
      </c>
      <c r="F1137" s="20" t="s">
        <v>4403</v>
      </c>
      <c r="G1137" s="20" t="s">
        <v>4404</v>
      </c>
      <c r="H1137" s="20" t="s">
        <v>4405</v>
      </c>
      <c r="I1137" s="20" t="s">
        <v>23</v>
      </c>
      <c r="J1137" s="21">
        <v>2000</v>
      </c>
      <c r="K1137" s="20" t="s">
        <v>63</v>
      </c>
      <c r="L1137" s="21" t="s">
        <v>30</v>
      </c>
      <c r="M1137" s="21" t="s">
        <v>30</v>
      </c>
      <c r="N1137" s="20"/>
      <c r="O1137" s="20"/>
    </row>
    <row r="1138" spans="1:15" ht="13.5" customHeight="1" x14ac:dyDescent="0.25">
      <c r="A1138" s="1"/>
      <c r="B1138" s="22">
        <v>1126</v>
      </c>
      <c r="C1138" s="22">
        <v>2023</v>
      </c>
      <c r="D1138" s="22">
        <v>42235</v>
      </c>
      <c r="E1138" s="22" t="s">
        <v>4406</v>
      </c>
      <c r="F1138" s="22" t="s">
        <v>4407</v>
      </c>
      <c r="G1138" s="22" t="s">
        <v>4408</v>
      </c>
      <c r="H1138" s="22" t="s">
        <v>4409</v>
      </c>
      <c r="I1138" s="22" t="s">
        <v>94</v>
      </c>
      <c r="J1138" s="23">
        <v>2004</v>
      </c>
      <c r="K1138" s="22" t="s">
        <v>67</v>
      </c>
      <c r="L1138" s="23" t="s">
        <v>30</v>
      </c>
      <c r="M1138" s="23"/>
      <c r="N1138" s="22" t="s">
        <v>151</v>
      </c>
      <c r="O1138" s="22"/>
    </row>
    <row r="1139" spans="1:15" ht="13.5" customHeight="1" x14ac:dyDescent="0.25">
      <c r="A1139" s="1"/>
      <c r="B1139" s="20">
        <v>1127</v>
      </c>
      <c r="C1139" s="20">
        <v>2023</v>
      </c>
      <c r="D1139" s="20">
        <v>12038</v>
      </c>
      <c r="E1139" s="20" t="s">
        <v>4410</v>
      </c>
      <c r="F1139" s="20" t="s">
        <v>4411</v>
      </c>
      <c r="G1139" s="20"/>
      <c r="H1139" s="20" t="s">
        <v>4412</v>
      </c>
      <c r="I1139" s="20" t="s">
        <v>23</v>
      </c>
      <c r="J1139" s="21">
        <v>2000</v>
      </c>
      <c r="K1139" s="20" t="s">
        <v>34</v>
      </c>
      <c r="L1139" s="21"/>
      <c r="M1139" s="21" t="s">
        <v>30</v>
      </c>
      <c r="N1139" s="20" t="s">
        <v>245</v>
      </c>
      <c r="O1139" s="20"/>
    </row>
    <row r="1140" spans="1:15" ht="13.5" customHeight="1" x14ac:dyDescent="0.25">
      <c r="A1140" s="1"/>
      <c r="B1140" s="22">
        <v>1128</v>
      </c>
      <c r="C1140" s="22">
        <v>2023</v>
      </c>
      <c r="D1140" s="22">
        <v>42853</v>
      </c>
      <c r="E1140" s="22" t="s">
        <v>4413</v>
      </c>
      <c r="F1140" s="22" t="s">
        <v>4414</v>
      </c>
      <c r="G1140" s="22" t="s">
        <v>4415</v>
      </c>
      <c r="H1140" s="22" t="s">
        <v>4416</v>
      </c>
      <c r="I1140" s="22" t="s">
        <v>23</v>
      </c>
      <c r="J1140" s="23">
        <v>2019</v>
      </c>
      <c r="K1140" s="22" t="s">
        <v>67</v>
      </c>
      <c r="L1140" s="23" t="s">
        <v>30</v>
      </c>
      <c r="M1140" s="23"/>
      <c r="N1140" s="22" t="s">
        <v>123</v>
      </c>
      <c r="O1140" s="22"/>
    </row>
    <row r="1141" spans="1:15" ht="13.5" customHeight="1" x14ac:dyDescent="0.25">
      <c r="A1141" s="1"/>
      <c r="B1141" s="20">
        <v>1129</v>
      </c>
      <c r="C1141" s="20">
        <v>2023</v>
      </c>
      <c r="D1141" s="20">
        <v>774</v>
      </c>
      <c r="E1141" s="20" t="s">
        <v>4417</v>
      </c>
      <c r="F1141" s="20" t="s">
        <v>4418</v>
      </c>
      <c r="G1141" s="20" t="s">
        <v>4419</v>
      </c>
      <c r="H1141" s="20" t="s">
        <v>4420</v>
      </c>
      <c r="I1141" s="20" t="s">
        <v>23</v>
      </c>
      <c r="J1141" s="21">
        <v>2000</v>
      </c>
      <c r="K1141" s="20" t="s">
        <v>39</v>
      </c>
      <c r="L1141" s="21" t="s">
        <v>30</v>
      </c>
      <c r="M1141" s="21" t="s">
        <v>30</v>
      </c>
      <c r="N1141" s="20"/>
      <c r="O1141" s="20"/>
    </row>
    <row r="1142" spans="1:15" ht="13.5" customHeight="1" x14ac:dyDescent="0.25">
      <c r="A1142" s="1"/>
      <c r="B1142" s="22">
        <v>1130</v>
      </c>
      <c r="C1142" s="22">
        <v>2023</v>
      </c>
      <c r="D1142" s="22">
        <v>41024</v>
      </c>
      <c r="E1142" s="22" t="s">
        <v>4421</v>
      </c>
      <c r="F1142" s="22" t="s">
        <v>4422</v>
      </c>
      <c r="G1142" s="22" t="s">
        <v>4423</v>
      </c>
      <c r="H1142" s="22" t="s">
        <v>4424</v>
      </c>
      <c r="I1142" s="22" t="s">
        <v>23</v>
      </c>
      <c r="J1142" s="23">
        <v>2016</v>
      </c>
      <c r="K1142" s="22" t="s">
        <v>67</v>
      </c>
      <c r="L1142" s="23" t="s">
        <v>30</v>
      </c>
      <c r="M1142" s="23"/>
      <c r="N1142" s="22" t="s">
        <v>204</v>
      </c>
      <c r="O1142" s="22"/>
    </row>
    <row r="1143" spans="1:15" ht="13.5" customHeight="1" x14ac:dyDescent="0.25">
      <c r="A1143" s="1"/>
      <c r="B1143" s="20">
        <v>1131</v>
      </c>
      <c r="C1143" s="20">
        <v>2023</v>
      </c>
      <c r="D1143" s="20">
        <v>10869</v>
      </c>
      <c r="E1143" s="20" t="s">
        <v>4425</v>
      </c>
      <c r="F1143" s="20" t="s">
        <v>4426</v>
      </c>
      <c r="G1143" s="20" t="s">
        <v>4427</v>
      </c>
      <c r="H1143" s="20" t="s">
        <v>4428</v>
      </c>
      <c r="I1143" s="20" t="s">
        <v>23</v>
      </c>
      <c r="J1143" s="21">
        <v>2000</v>
      </c>
      <c r="K1143" s="20" t="s">
        <v>203</v>
      </c>
      <c r="L1143" s="21" t="s">
        <v>30</v>
      </c>
      <c r="M1143" s="21" t="s">
        <v>30</v>
      </c>
      <c r="N1143" s="20"/>
      <c r="O1143" s="20"/>
    </row>
    <row r="1144" spans="1:15" ht="13.5" customHeight="1" x14ac:dyDescent="0.25">
      <c r="A1144" s="1"/>
      <c r="B1144" s="22">
        <v>1132</v>
      </c>
      <c r="C1144" s="22">
        <v>2023</v>
      </c>
      <c r="D1144" s="22">
        <v>41549</v>
      </c>
      <c r="E1144" s="22" t="s">
        <v>4429</v>
      </c>
      <c r="F1144" s="22" t="s">
        <v>4430</v>
      </c>
      <c r="G1144" s="22" t="s">
        <v>4431</v>
      </c>
      <c r="H1144" s="22" t="s">
        <v>4432</v>
      </c>
      <c r="I1144" s="22" t="s">
        <v>23</v>
      </c>
      <c r="J1144" s="23">
        <v>2016</v>
      </c>
      <c r="K1144" s="22" t="s">
        <v>475</v>
      </c>
      <c r="L1144" s="23" t="s">
        <v>30</v>
      </c>
      <c r="M1144" s="23"/>
      <c r="N1144" s="22" t="s">
        <v>1470</v>
      </c>
      <c r="O1144" s="22"/>
    </row>
    <row r="1145" spans="1:15" ht="13.5" customHeight="1" x14ac:dyDescent="0.25">
      <c r="A1145" s="1"/>
      <c r="B1145" s="20">
        <v>1133</v>
      </c>
      <c r="C1145" s="20">
        <v>2023</v>
      </c>
      <c r="D1145" s="20">
        <v>11573</v>
      </c>
      <c r="E1145" s="20" t="s">
        <v>4433</v>
      </c>
      <c r="F1145" s="20" t="s">
        <v>4434</v>
      </c>
      <c r="G1145" s="20" t="s">
        <v>4435</v>
      </c>
      <c r="H1145" s="20" t="s">
        <v>4436</v>
      </c>
      <c r="I1145" s="20" t="s">
        <v>23</v>
      </c>
      <c r="J1145" s="21">
        <v>2006</v>
      </c>
      <c r="K1145" s="20" t="s">
        <v>29</v>
      </c>
      <c r="L1145" s="21" t="s">
        <v>30</v>
      </c>
      <c r="M1145" s="21" t="s">
        <v>30</v>
      </c>
      <c r="N1145" s="20" t="s">
        <v>245</v>
      </c>
      <c r="O1145" s="20"/>
    </row>
    <row r="1146" spans="1:15" ht="13.5" customHeight="1" x14ac:dyDescent="0.25">
      <c r="A1146" s="1"/>
      <c r="B1146" s="22">
        <v>1134</v>
      </c>
      <c r="C1146" s="22">
        <v>2023</v>
      </c>
      <c r="D1146" s="22">
        <v>10551</v>
      </c>
      <c r="E1146" s="22" t="s">
        <v>4437</v>
      </c>
      <c r="F1146" s="22" t="s">
        <v>4438</v>
      </c>
      <c r="G1146" s="22" t="s">
        <v>4439</v>
      </c>
      <c r="H1146" s="22" t="s">
        <v>4440</v>
      </c>
      <c r="I1146" s="22" t="s">
        <v>23</v>
      </c>
      <c r="J1146" s="23">
        <v>2000</v>
      </c>
      <c r="K1146" s="22" t="s">
        <v>73</v>
      </c>
      <c r="L1146" s="23" t="s">
        <v>30</v>
      </c>
      <c r="M1146" s="23" t="s">
        <v>30</v>
      </c>
      <c r="N1146" s="22"/>
      <c r="O1146" s="22"/>
    </row>
    <row r="1147" spans="1:15" ht="13.5" customHeight="1" x14ac:dyDescent="0.25">
      <c r="A1147" s="1"/>
      <c r="B1147" s="20">
        <v>1135</v>
      </c>
      <c r="C1147" s="20">
        <v>2023</v>
      </c>
      <c r="D1147" s="20">
        <v>13187</v>
      </c>
      <c r="E1147" s="20" t="s">
        <v>4441</v>
      </c>
      <c r="F1147" s="20" t="s">
        <v>4442</v>
      </c>
      <c r="G1147" s="20" t="s">
        <v>4443</v>
      </c>
      <c r="H1147" s="20" t="s">
        <v>4444</v>
      </c>
      <c r="I1147" s="20" t="s">
        <v>23</v>
      </c>
      <c r="J1147" s="21">
        <v>2007</v>
      </c>
      <c r="K1147" s="20" t="s">
        <v>34</v>
      </c>
      <c r="L1147" s="21" t="s">
        <v>30</v>
      </c>
      <c r="M1147" s="21"/>
      <c r="N1147" s="20" t="s">
        <v>173</v>
      </c>
      <c r="O1147" s="20"/>
    </row>
    <row r="1148" spans="1:15" ht="13.5" customHeight="1" x14ac:dyDescent="0.25">
      <c r="A1148" s="1"/>
      <c r="B1148" s="22">
        <v>1136</v>
      </c>
      <c r="C1148" s="22">
        <v>2023</v>
      </c>
      <c r="D1148" s="22">
        <v>432</v>
      </c>
      <c r="E1148" s="22" t="s">
        <v>4445</v>
      </c>
      <c r="F1148" s="22" t="s">
        <v>4446</v>
      </c>
      <c r="G1148" s="22" t="s">
        <v>4447</v>
      </c>
      <c r="H1148" s="22" t="s">
        <v>4448</v>
      </c>
      <c r="I1148" s="22" t="s">
        <v>23</v>
      </c>
      <c r="J1148" s="23">
        <v>2000</v>
      </c>
      <c r="K1148" s="22" t="s">
        <v>39</v>
      </c>
      <c r="L1148" s="23" t="s">
        <v>30</v>
      </c>
      <c r="M1148" s="23" t="s">
        <v>30</v>
      </c>
      <c r="N1148" s="22"/>
      <c r="O1148" s="22"/>
    </row>
    <row r="1149" spans="1:15" ht="13.5" customHeight="1" x14ac:dyDescent="0.25">
      <c r="A1149" s="1"/>
      <c r="B1149" s="20">
        <v>1137</v>
      </c>
      <c r="C1149" s="20">
        <v>2023</v>
      </c>
      <c r="D1149" s="20">
        <v>11764</v>
      </c>
      <c r="E1149" s="20" t="s">
        <v>4449</v>
      </c>
      <c r="F1149" s="20" t="s">
        <v>4450</v>
      </c>
      <c r="G1149" s="20" t="s">
        <v>4451</v>
      </c>
      <c r="H1149" s="20" t="s">
        <v>4452</v>
      </c>
      <c r="I1149" s="20" t="s">
        <v>23</v>
      </c>
      <c r="J1149" s="21">
        <v>2007</v>
      </c>
      <c r="K1149" s="20" t="s">
        <v>39</v>
      </c>
      <c r="L1149" s="21" t="s">
        <v>30</v>
      </c>
      <c r="M1149" s="21" t="s">
        <v>30</v>
      </c>
      <c r="N1149" s="20" t="s">
        <v>245</v>
      </c>
      <c r="O1149" s="20"/>
    </row>
    <row r="1150" spans="1:15" ht="13.5" customHeight="1" x14ac:dyDescent="0.25">
      <c r="A1150" s="1"/>
      <c r="B1150" s="22">
        <v>1138</v>
      </c>
      <c r="C1150" s="22">
        <v>2023</v>
      </c>
      <c r="D1150" s="22">
        <v>12265</v>
      </c>
      <c r="E1150" s="22" t="s">
        <v>4453</v>
      </c>
      <c r="F1150" s="22" t="s">
        <v>4454</v>
      </c>
      <c r="G1150" s="22"/>
      <c r="H1150" s="22" t="s">
        <v>4455</v>
      </c>
      <c r="I1150" s="22" t="s">
        <v>23</v>
      </c>
      <c r="J1150" s="23">
        <v>2008</v>
      </c>
      <c r="K1150" s="22" t="s">
        <v>39</v>
      </c>
      <c r="L1150" s="23"/>
      <c r="M1150" s="23" t="s">
        <v>30</v>
      </c>
      <c r="N1150" s="22" t="s">
        <v>352</v>
      </c>
      <c r="O1150" s="22"/>
    </row>
    <row r="1151" spans="1:15" ht="13.5" customHeight="1" x14ac:dyDescent="0.25">
      <c r="A1151" s="1"/>
      <c r="B1151" s="20">
        <v>1139</v>
      </c>
      <c r="C1151" s="20">
        <v>2023</v>
      </c>
      <c r="D1151" s="20">
        <v>12079</v>
      </c>
      <c r="E1151" s="20" t="s">
        <v>4456</v>
      </c>
      <c r="F1151" s="20" t="s">
        <v>4457</v>
      </c>
      <c r="G1151" s="20" t="s">
        <v>4458</v>
      </c>
      <c r="H1151" s="20" t="s">
        <v>4459</v>
      </c>
      <c r="I1151" s="20" t="s">
        <v>23</v>
      </c>
      <c r="J1151" s="21">
        <v>2007</v>
      </c>
      <c r="K1151" s="20" t="s">
        <v>34</v>
      </c>
      <c r="L1151" s="21" t="s">
        <v>30</v>
      </c>
      <c r="M1151" s="21" t="s">
        <v>30</v>
      </c>
      <c r="N1151" s="20" t="s">
        <v>245</v>
      </c>
      <c r="O1151" s="20"/>
    </row>
    <row r="1152" spans="1:15" ht="13.5" customHeight="1" x14ac:dyDescent="0.25">
      <c r="A1152" s="1"/>
      <c r="B1152" s="22">
        <v>1140</v>
      </c>
      <c r="C1152" s="22">
        <v>2023</v>
      </c>
      <c r="D1152" s="22">
        <v>11771</v>
      </c>
      <c r="E1152" s="22" t="s">
        <v>4460</v>
      </c>
      <c r="F1152" s="22" t="s">
        <v>4461</v>
      </c>
      <c r="G1152" s="22" t="s">
        <v>4462</v>
      </c>
      <c r="H1152" s="22" t="s">
        <v>4463</v>
      </c>
      <c r="I1152" s="22" t="s">
        <v>4464</v>
      </c>
      <c r="J1152" s="23">
        <v>2000</v>
      </c>
      <c r="K1152" s="22" t="s">
        <v>67</v>
      </c>
      <c r="L1152" s="23" t="s">
        <v>30</v>
      </c>
      <c r="M1152" s="23" t="s">
        <v>30</v>
      </c>
      <c r="N1152" s="22" t="s">
        <v>74</v>
      </c>
      <c r="O1152" s="22"/>
    </row>
    <row r="1153" spans="1:15" ht="13.5" customHeight="1" x14ac:dyDescent="0.25">
      <c r="A1153" s="1"/>
      <c r="B1153" s="20">
        <v>1141</v>
      </c>
      <c r="C1153" s="20">
        <v>2023</v>
      </c>
      <c r="D1153" s="20">
        <v>10870</v>
      </c>
      <c r="E1153" s="20" t="s">
        <v>4465</v>
      </c>
      <c r="F1153" s="20" t="s">
        <v>4466</v>
      </c>
      <c r="G1153" s="20" t="s">
        <v>4467</v>
      </c>
      <c r="H1153" s="20" t="s">
        <v>4468</v>
      </c>
      <c r="I1153" s="20" t="s">
        <v>23</v>
      </c>
      <c r="J1153" s="21">
        <v>2000</v>
      </c>
      <c r="K1153" s="20" t="s">
        <v>24</v>
      </c>
      <c r="L1153" s="21" t="s">
        <v>30</v>
      </c>
      <c r="M1153" s="21" t="s">
        <v>30</v>
      </c>
      <c r="N1153" s="20"/>
      <c r="O1153" s="20"/>
    </row>
    <row r="1154" spans="1:15" ht="13.5" customHeight="1" x14ac:dyDescent="0.25">
      <c r="A1154" s="1"/>
      <c r="B1154" s="22">
        <v>1142</v>
      </c>
      <c r="C1154" s="22">
        <v>2023</v>
      </c>
      <c r="D1154" s="22">
        <v>10886</v>
      </c>
      <c r="E1154" s="22" t="s">
        <v>4469</v>
      </c>
      <c r="F1154" s="22" t="s">
        <v>4470</v>
      </c>
      <c r="G1154" s="22" t="s">
        <v>4471</v>
      </c>
      <c r="H1154" s="22" t="s">
        <v>4472</v>
      </c>
      <c r="I1154" s="22" t="s">
        <v>23</v>
      </c>
      <c r="J1154" s="23">
        <v>2000</v>
      </c>
      <c r="K1154" s="22" t="s">
        <v>34</v>
      </c>
      <c r="L1154" s="23" t="s">
        <v>30</v>
      </c>
      <c r="M1154" s="23" t="s">
        <v>30</v>
      </c>
      <c r="N1154" s="22"/>
      <c r="O1154" s="22"/>
    </row>
    <row r="1155" spans="1:15" ht="13.5" customHeight="1" x14ac:dyDescent="0.25">
      <c r="A1155" s="1"/>
      <c r="B1155" s="20">
        <v>1143</v>
      </c>
      <c r="C1155" s="20">
        <v>2023</v>
      </c>
      <c r="D1155" s="20">
        <v>12039</v>
      </c>
      <c r="E1155" s="20" t="s">
        <v>4473</v>
      </c>
      <c r="F1155" s="20" t="s">
        <v>4474</v>
      </c>
      <c r="G1155" s="20"/>
      <c r="H1155" s="20" t="s">
        <v>4475</v>
      </c>
      <c r="I1155" s="20" t="s">
        <v>23</v>
      </c>
      <c r="J1155" s="21">
        <v>2000</v>
      </c>
      <c r="K1155" s="20" t="s">
        <v>24</v>
      </c>
      <c r="L1155" s="21"/>
      <c r="M1155" s="21" t="s">
        <v>30</v>
      </c>
      <c r="N1155" s="20" t="s">
        <v>245</v>
      </c>
      <c r="O1155" s="20"/>
    </row>
    <row r="1156" spans="1:15" ht="13.5" customHeight="1" x14ac:dyDescent="0.25">
      <c r="A1156" s="1"/>
      <c r="B1156" s="22">
        <v>1144</v>
      </c>
      <c r="C1156" s="22">
        <v>2023</v>
      </c>
      <c r="D1156" s="22">
        <v>40653</v>
      </c>
      <c r="E1156" s="22" t="s">
        <v>4476</v>
      </c>
      <c r="F1156" s="22" t="s">
        <v>4477</v>
      </c>
      <c r="G1156" s="22" t="s">
        <v>4478</v>
      </c>
      <c r="H1156" s="22" t="s">
        <v>4479</v>
      </c>
      <c r="I1156" s="22" t="s">
        <v>23</v>
      </c>
      <c r="J1156" s="23">
        <v>2008</v>
      </c>
      <c r="K1156" s="22" t="s">
        <v>203</v>
      </c>
      <c r="L1156" s="23" t="s">
        <v>30</v>
      </c>
      <c r="M1156" s="23"/>
      <c r="N1156" s="22" t="s">
        <v>53</v>
      </c>
      <c r="O1156" s="22"/>
    </row>
    <row r="1157" spans="1:15" ht="13.5" customHeight="1" x14ac:dyDescent="0.25">
      <c r="A1157" s="1"/>
      <c r="B1157" s="20">
        <v>1145</v>
      </c>
      <c r="C1157" s="20">
        <v>2023</v>
      </c>
      <c r="D1157" s="20">
        <v>10826</v>
      </c>
      <c r="E1157" s="20" t="s">
        <v>4480</v>
      </c>
      <c r="F1157" s="20" t="s">
        <v>4481</v>
      </c>
      <c r="G1157" s="20" t="s">
        <v>4482</v>
      </c>
      <c r="H1157" s="20" t="s">
        <v>4483</v>
      </c>
      <c r="I1157" s="20" t="s">
        <v>23</v>
      </c>
      <c r="J1157" s="21">
        <v>2000</v>
      </c>
      <c r="K1157" s="20" t="s">
        <v>203</v>
      </c>
      <c r="L1157" s="21" t="s">
        <v>30</v>
      </c>
      <c r="M1157" s="21" t="s">
        <v>30</v>
      </c>
      <c r="N1157" s="20"/>
      <c r="O1157" s="20"/>
    </row>
    <row r="1158" spans="1:15" ht="13.5" customHeight="1" x14ac:dyDescent="0.25">
      <c r="A1158" s="1"/>
      <c r="B1158" s="22">
        <v>1146</v>
      </c>
      <c r="C1158" s="22">
        <v>2023</v>
      </c>
      <c r="D1158" s="22">
        <v>11366</v>
      </c>
      <c r="E1158" s="22" t="s">
        <v>4484</v>
      </c>
      <c r="F1158" s="22" t="s">
        <v>4485</v>
      </c>
      <c r="G1158" s="22" t="s">
        <v>4486</v>
      </c>
      <c r="H1158" s="22" t="s">
        <v>4487</v>
      </c>
      <c r="I1158" s="22" t="s">
        <v>23</v>
      </c>
      <c r="J1158" s="23">
        <v>2000</v>
      </c>
      <c r="K1158" s="22" t="s">
        <v>1475</v>
      </c>
      <c r="L1158" s="23" t="s">
        <v>30</v>
      </c>
      <c r="M1158" s="23" t="s">
        <v>30</v>
      </c>
      <c r="N1158" s="22"/>
      <c r="O1158" s="22"/>
    </row>
    <row r="1159" spans="1:15" ht="13.5" customHeight="1" x14ac:dyDescent="0.25">
      <c r="A1159" s="1"/>
      <c r="B1159" s="20">
        <v>1147</v>
      </c>
      <c r="C1159" s="20">
        <v>2023</v>
      </c>
      <c r="D1159" s="20">
        <v>13349</v>
      </c>
      <c r="E1159" s="20" t="s">
        <v>4488</v>
      </c>
      <c r="F1159" s="20" t="s">
        <v>4489</v>
      </c>
      <c r="G1159" s="20"/>
      <c r="H1159" s="20" t="s">
        <v>4490</v>
      </c>
      <c r="I1159" s="20" t="s">
        <v>23</v>
      </c>
      <c r="J1159" s="21">
        <v>2011</v>
      </c>
      <c r="K1159" s="20" t="s">
        <v>67</v>
      </c>
      <c r="L1159" s="21"/>
      <c r="M1159" s="21"/>
      <c r="N1159" s="20" t="s">
        <v>250</v>
      </c>
      <c r="O1159" s="20"/>
    </row>
    <row r="1160" spans="1:15" ht="13.5" customHeight="1" x14ac:dyDescent="0.25">
      <c r="A1160" s="1"/>
      <c r="B1160" s="22">
        <v>1148</v>
      </c>
      <c r="C1160" s="22">
        <v>2023</v>
      </c>
      <c r="D1160" s="22">
        <v>357</v>
      </c>
      <c r="E1160" s="22" t="s">
        <v>4491</v>
      </c>
      <c r="F1160" s="22" t="s">
        <v>4492</v>
      </c>
      <c r="G1160" s="22" t="s">
        <v>4493</v>
      </c>
      <c r="H1160" s="22" t="s">
        <v>4494</v>
      </c>
      <c r="I1160" s="22" t="s">
        <v>23</v>
      </c>
      <c r="J1160" s="23">
        <v>2000</v>
      </c>
      <c r="K1160" s="22" t="s">
        <v>44</v>
      </c>
      <c r="L1160" s="23" t="s">
        <v>30</v>
      </c>
      <c r="M1160" s="23" t="s">
        <v>30</v>
      </c>
      <c r="N1160" s="22"/>
      <c r="O1160" s="22"/>
    </row>
    <row r="1161" spans="1:15" ht="13.5" customHeight="1" x14ac:dyDescent="0.25">
      <c r="A1161" s="1"/>
      <c r="B1161" s="20">
        <v>1149</v>
      </c>
      <c r="C1161" s="20">
        <v>2023</v>
      </c>
      <c r="D1161" s="20">
        <v>10875</v>
      </c>
      <c r="E1161" s="20" t="s">
        <v>4495</v>
      </c>
      <c r="F1161" s="20" t="s">
        <v>4496</v>
      </c>
      <c r="G1161" s="20" t="s">
        <v>4497</v>
      </c>
      <c r="H1161" s="20" t="s">
        <v>4498</v>
      </c>
      <c r="I1161" s="20" t="s">
        <v>23</v>
      </c>
      <c r="J1161" s="21">
        <v>2000</v>
      </c>
      <c r="K1161" s="20" t="s">
        <v>34</v>
      </c>
      <c r="L1161" s="21" t="s">
        <v>30</v>
      </c>
      <c r="M1161" s="21" t="s">
        <v>30</v>
      </c>
      <c r="N1161" s="20"/>
      <c r="O1161" s="20"/>
    </row>
    <row r="1162" spans="1:15" ht="13.5" customHeight="1" x14ac:dyDescent="0.25">
      <c r="A1162" s="1"/>
      <c r="B1162" s="22">
        <v>1150</v>
      </c>
      <c r="C1162" s="22">
        <v>2023</v>
      </c>
      <c r="D1162" s="22">
        <v>10877</v>
      </c>
      <c r="E1162" s="22" t="s">
        <v>4499</v>
      </c>
      <c r="F1162" s="22" t="s">
        <v>4500</v>
      </c>
      <c r="G1162" s="22" t="s">
        <v>4501</v>
      </c>
      <c r="H1162" s="22" t="s">
        <v>4502</v>
      </c>
      <c r="I1162" s="22" t="s">
        <v>23</v>
      </c>
      <c r="J1162" s="23">
        <v>2000</v>
      </c>
      <c r="K1162" s="22" t="s">
        <v>39</v>
      </c>
      <c r="L1162" s="23" t="s">
        <v>30</v>
      </c>
      <c r="M1162" s="23" t="s">
        <v>30</v>
      </c>
      <c r="N1162" s="22"/>
      <c r="O1162" s="22"/>
    </row>
    <row r="1163" spans="1:15" ht="13.5" customHeight="1" x14ac:dyDescent="0.25">
      <c r="A1163" s="1"/>
      <c r="B1163" s="20">
        <v>1151</v>
      </c>
      <c r="C1163" s="20">
        <v>2023</v>
      </c>
      <c r="D1163" s="20">
        <v>10880</v>
      </c>
      <c r="E1163" s="20" t="s">
        <v>4503</v>
      </c>
      <c r="F1163" s="20" t="s">
        <v>4504</v>
      </c>
      <c r="G1163" s="20" t="s">
        <v>4505</v>
      </c>
      <c r="H1163" s="20" t="s">
        <v>4506</v>
      </c>
      <c r="I1163" s="20" t="s">
        <v>23</v>
      </c>
      <c r="J1163" s="21">
        <v>2000</v>
      </c>
      <c r="K1163" s="20" t="s">
        <v>39</v>
      </c>
      <c r="L1163" s="21" t="s">
        <v>30</v>
      </c>
      <c r="M1163" s="21" t="s">
        <v>30</v>
      </c>
      <c r="N1163" s="20"/>
      <c r="O1163" s="20"/>
    </row>
    <row r="1164" spans="1:15" ht="13.5" customHeight="1" x14ac:dyDescent="0.25">
      <c r="A1164" s="1"/>
      <c r="B1164" s="22">
        <v>1152</v>
      </c>
      <c r="C1164" s="22">
        <v>2023</v>
      </c>
      <c r="D1164" s="22">
        <v>10876</v>
      </c>
      <c r="E1164" s="22" t="s">
        <v>4507</v>
      </c>
      <c r="F1164" s="22" t="s">
        <v>4508</v>
      </c>
      <c r="G1164" s="22"/>
      <c r="H1164" s="22" t="s">
        <v>4509</v>
      </c>
      <c r="I1164" s="22" t="s">
        <v>23</v>
      </c>
      <c r="J1164" s="23">
        <v>2000</v>
      </c>
      <c r="K1164" s="22" t="s">
        <v>24</v>
      </c>
      <c r="L1164" s="23"/>
      <c r="M1164" s="23" t="s">
        <v>30</v>
      </c>
      <c r="N1164" s="22"/>
      <c r="O1164" s="22"/>
    </row>
    <row r="1165" spans="1:15" ht="13.5" customHeight="1" x14ac:dyDescent="0.25">
      <c r="A1165" s="1"/>
      <c r="B1165" s="20">
        <v>1153</v>
      </c>
      <c r="C1165" s="20">
        <v>2023</v>
      </c>
      <c r="D1165" s="20">
        <v>11852</v>
      </c>
      <c r="E1165" s="20" t="s">
        <v>4510</v>
      </c>
      <c r="F1165" s="20" t="s">
        <v>4511</v>
      </c>
      <c r="G1165" s="20" t="s">
        <v>4512</v>
      </c>
      <c r="H1165" s="20" t="s">
        <v>4513</v>
      </c>
      <c r="I1165" s="20" t="s">
        <v>23</v>
      </c>
      <c r="J1165" s="21">
        <v>2000</v>
      </c>
      <c r="K1165" s="20" t="s">
        <v>95</v>
      </c>
      <c r="L1165" s="21" t="s">
        <v>30</v>
      </c>
      <c r="M1165" s="21" t="s">
        <v>30</v>
      </c>
      <c r="N1165" s="20" t="s">
        <v>74</v>
      </c>
      <c r="O1165" s="20"/>
    </row>
    <row r="1166" spans="1:15" ht="13.5" customHeight="1" x14ac:dyDescent="0.25">
      <c r="A1166" s="1"/>
      <c r="B1166" s="22">
        <v>1154</v>
      </c>
      <c r="C1166" s="22">
        <v>2023</v>
      </c>
      <c r="D1166" s="22">
        <v>11998</v>
      </c>
      <c r="E1166" s="22" t="s">
        <v>4514</v>
      </c>
      <c r="F1166" s="22" t="s">
        <v>4515</v>
      </c>
      <c r="G1166" s="22" t="s">
        <v>4516</v>
      </c>
      <c r="H1166" s="22" t="s">
        <v>4517</v>
      </c>
      <c r="I1166" s="22" t="s">
        <v>23</v>
      </c>
      <c r="J1166" s="23">
        <v>2004</v>
      </c>
      <c r="K1166" s="22" t="s">
        <v>24</v>
      </c>
      <c r="L1166" s="23" t="s">
        <v>30</v>
      </c>
      <c r="M1166" s="23" t="s">
        <v>30</v>
      </c>
      <c r="N1166" s="22" t="s">
        <v>74</v>
      </c>
      <c r="O1166" s="22"/>
    </row>
    <row r="1167" spans="1:15" ht="13.5" customHeight="1" x14ac:dyDescent="0.25">
      <c r="A1167" s="1"/>
      <c r="B1167" s="20">
        <v>1155</v>
      </c>
      <c r="C1167" s="20">
        <v>2023</v>
      </c>
      <c r="D1167" s="20">
        <v>41465</v>
      </c>
      <c r="E1167" s="20" t="s">
        <v>4518</v>
      </c>
      <c r="F1167" s="20" t="s">
        <v>4519</v>
      </c>
      <c r="G1167" s="20" t="s">
        <v>4520</v>
      </c>
      <c r="H1167" s="20" t="s">
        <v>4521</v>
      </c>
      <c r="I1167" s="20" t="s">
        <v>23</v>
      </c>
      <c r="J1167" s="21">
        <v>2017</v>
      </c>
      <c r="K1167" s="20" t="s">
        <v>203</v>
      </c>
      <c r="L1167" s="21" t="s">
        <v>30</v>
      </c>
      <c r="M1167" s="21"/>
      <c r="N1167" s="20" t="s">
        <v>265</v>
      </c>
      <c r="O1167" s="20"/>
    </row>
    <row r="1168" spans="1:15" ht="13.5" customHeight="1" x14ac:dyDescent="0.25">
      <c r="A1168" s="1"/>
      <c r="B1168" s="22">
        <v>1156</v>
      </c>
      <c r="C1168" s="22">
        <v>2023</v>
      </c>
      <c r="D1168" s="22">
        <v>10878</v>
      </c>
      <c r="E1168" s="22" t="s">
        <v>4522</v>
      </c>
      <c r="F1168" s="22" t="s">
        <v>4523</v>
      </c>
      <c r="G1168" s="22" t="s">
        <v>4524</v>
      </c>
      <c r="H1168" s="22" t="s">
        <v>4525</v>
      </c>
      <c r="I1168" s="22" t="s">
        <v>23</v>
      </c>
      <c r="J1168" s="23">
        <v>2000</v>
      </c>
      <c r="K1168" s="22" t="s">
        <v>44</v>
      </c>
      <c r="L1168" s="23" t="s">
        <v>30</v>
      </c>
      <c r="M1168" s="23" t="s">
        <v>30</v>
      </c>
      <c r="N1168" s="22"/>
      <c r="O1168" s="22"/>
    </row>
    <row r="1169" spans="1:15" ht="13.5" customHeight="1" x14ac:dyDescent="0.25">
      <c r="A1169" s="1"/>
      <c r="B1169" s="20">
        <v>1157</v>
      </c>
      <c r="C1169" s="20">
        <v>2023</v>
      </c>
      <c r="D1169" s="20">
        <v>11487</v>
      </c>
      <c r="E1169" s="20" t="s">
        <v>4526</v>
      </c>
      <c r="F1169" s="20" t="s">
        <v>4527</v>
      </c>
      <c r="G1169" s="20" t="s">
        <v>4528</v>
      </c>
      <c r="H1169" s="20" t="s">
        <v>4529</v>
      </c>
      <c r="I1169" s="20" t="s">
        <v>62</v>
      </c>
      <c r="J1169" s="21">
        <v>2006</v>
      </c>
      <c r="K1169" s="20" t="s">
        <v>67</v>
      </c>
      <c r="L1169" s="21" t="s">
        <v>30</v>
      </c>
      <c r="M1169" s="21" t="s">
        <v>30</v>
      </c>
      <c r="N1169" s="20"/>
      <c r="O1169" s="20"/>
    </row>
    <row r="1170" spans="1:15" ht="13.5" customHeight="1" x14ac:dyDescent="0.25">
      <c r="A1170" s="1"/>
      <c r="B1170" s="22">
        <v>1158</v>
      </c>
      <c r="C1170" s="22">
        <v>2023</v>
      </c>
      <c r="D1170" s="22">
        <v>12687</v>
      </c>
      <c r="E1170" s="22" t="s">
        <v>4530</v>
      </c>
      <c r="F1170" s="22" t="s">
        <v>4531</v>
      </c>
      <c r="G1170" s="22"/>
      <c r="H1170" s="22" t="s">
        <v>4532</v>
      </c>
      <c r="I1170" s="22" t="s">
        <v>23</v>
      </c>
      <c r="J1170" s="23">
        <v>2010</v>
      </c>
      <c r="K1170" s="22" t="s">
        <v>34</v>
      </c>
      <c r="L1170" s="23"/>
      <c r="M1170" s="23" t="s">
        <v>30</v>
      </c>
      <c r="N1170" s="22" t="s">
        <v>1310</v>
      </c>
      <c r="O1170" s="22"/>
    </row>
    <row r="1171" spans="1:15" ht="13.5" customHeight="1" x14ac:dyDescent="0.25">
      <c r="A1171" s="1"/>
      <c r="B1171" s="20">
        <v>1159</v>
      </c>
      <c r="C1171" s="20">
        <v>2023</v>
      </c>
      <c r="D1171" s="20">
        <v>10900</v>
      </c>
      <c r="E1171" s="20" t="s">
        <v>4533</v>
      </c>
      <c r="F1171" s="20" t="s">
        <v>4534</v>
      </c>
      <c r="G1171" s="20" t="s">
        <v>4535</v>
      </c>
      <c r="H1171" s="20" t="s">
        <v>4536</v>
      </c>
      <c r="I1171" s="20" t="s">
        <v>23</v>
      </c>
      <c r="J1171" s="21">
        <v>2000</v>
      </c>
      <c r="K1171" s="20" t="s">
        <v>39</v>
      </c>
      <c r="L1171" s="21" t="s">
        <v>30</v>
      </c>
      <c r="M1171" s="21" t="s">
        <v>30</v>
      </c>
      <c r="N1171" s="20"/>
      <c r="O1171" s="20"/>
    </row>
    <row r="1172" spans="1:15" ht="13.5" customHeight="1" x14ac:dyDescent="0.25">
      <c r="A1172" s="1"/>
      <c r="B1172" s="22">
        <v>1160</v>
      </c>
      <c r="C1172" s="22">
        <v>2023</v>
      </c>
      <c r="D1172" s="22">
        <v>359</v>
      </c>
      <c r="E1172" s="22" t="s">
        <v>4537</v>
      </c>
      <c r="F1172" s="22" t="s">
        <v>4538</v>
      </c>
      <c r="G1172" s="22" t="s">
        <v>4539</v>
      </c>
      <c r="H1172" s="22" t="s">
        <v>4540</v>
      </c>
      <c r="I1172" s="22" t="s">
        <v>23</v>
      </c>
      <c r="J1172" s="23">
        <v>2000</v>
      </c>
      <c r="K1172" s="22" t="s">
        <v>34</v>
      </c>
      <c r="L1172" s="23" t="s">
        <v>30</v>
      </c>
      <c r="M1172" s="23" t="s">
        <v>30</v>
      </c>
      <c r="N1172" s="22"/>
      <c r="O1172" s="22"/>
    </row>
    <row r="1173" spans="1:15" ht="13.5" customHeight="1" x14ac:dyDescent="0.25">
      <c r="A1173" s="1"/>
      <c r="B1173" s="20">
        <v>1161</v>
      </c>
      <c r="C1173" s="20">
        <v>2023</v>
      </c>
      <c r="D1173" s="20">
        <v>360</v>
      </c>
      <c r="E1173" s="20" t="s">
        <v>4541</v>
      </c>
      <c r="F1173" s="20" t="s">
        <v>4542</v>
      </c>
      <c r="G1173" s="20" t="s">
        <v>4543</v>
      </c>
      <c r="H1173" s="20" t="s">
        <v>4544</v>
      </c>
      <c r="I1173" s="20" t="s">
        <v>23</v>
      </c>
      <c r="J1173" s="21">
        <v>2000</v>
      </c>
      <c r="K1173" s="20" t="s">
        <v>34</v>
      </c>
      <c r="L1173" s="21" t="s">
        <v>30</v>
      </c>
      <c r="M1173" s="21" t="s">
        <v>30</v>
      </c>
      <c r="N1173" s="20"/>
      <c r="O1173" s="20"/>
    </row>
    <row r="1174" spans="1:15" ht="13.5" customHeight="1" x14ac:dyDescent="0.25">
      <c r="A1174" s="1"/>
      <c r="B1174" s="22">
        <v>1162</v>
      </c>
      <c r="C1174" s="22">
        <v>2023</v>
      </c>
      <c r="D1174" s="22">
        <v>10825</v>
      </c>
      <c r="E1174" s="22" t="s">
        <v>4545</v>
      </c>
      <c r="F1174" s="22" t="s">
        <v>4546</v>
      </c>
      <c r="G1174" s="22" t="s">
        <v>4547</v>
      </c>
      <c r="H1174" s="22" t="s">
        <v>4548</v>
      </c>
      <c r="I1174" s="22" t="s">
        <v>23</v>
      </c>
      <c r="J1174" s="23">
        <v>2002</v>
      </c>
      <c r="K1174" s="22" t="s">
        <v>67</v>
      </c>
      <c r="L1174" s="23" t="s">
        <v>30</v>
      </c>
      <c r="M1174" s="23" t="s">
        <v>30</v>
      </c>
      <c r="N1174" s="22"/>
      <c r="O1174" s="22"/>
    </row>
    <row r="1175" spans="1:15" ht="13.5" customHeight="1" x14ac:dyDescent="0.25">
      <c r="A1175" s="1"/>
      <c r="B1175" s="20">
        <v>1163</v>
      </c>
      <c r="C1175" s="20">
        <v>2023</v>
      </c>
      <c r="D1175" s="20">
        <v>10827</v>
      </c>
      <c r="E1175" s="20" t="s">
        <v>4549</v>
      </c>
      <c r="F1175" s="20" t="s">
        <v>4550</v>
      </c>
      <c r="G1175" s="20" t="s">
        <v>4551</v>
      </c>
      <c r="H1175" s="20" t="s">
        <v>4552</v>
      </c>
      <c r="I1175" s="20" t="s">
        <v>23</v>
      </c>
      <c r="J1175" s="21">
        <v>2000</v>
      </c>
      <c r="K1175" s="20" t="s">
        <v>34</v>
      </c>
      <c r="L1175" s="21" t="s">
        <v>30</v>
      </c>
      <c r="M1175" s="21" t="s">
        <v>30</v>
      </c>
      <c r="N1175" s="20"/>
      <c r="O1175" s="20"/>
    </row>
    <row r="1176" spans="1:15" ht="13.5" customHeight="1" x14ac:dyDescent="0.25">
      <c r="A1176" s="1"/>
      <c r="B1176" s="22">
        <v>1164</v>
      </c>
      <c r="C1176" s="22">
        <v>2023</v>
      </c>
      <c r="D1176" s="22">
        <v>42001</v>
      </c>
      <c r="E1176" s="22" t="s">
        <v>4553</v>
      </c>
      <c r="F1176" s="22" t="s">
        <v>4554</v>
      </c>
      <c r="G1176" s="22" t="s">
        <v>4555</v>
      </c>
      <c r="H1176" s="22" t="s">
        <v>4556</v>
      </c>
      <c r="I1176" s="22" t="s">
        <v>23</v>
      </c>
      <c r="J1176" s="23">
        <v>2018</v>
      </c>
      <c r="K1176" s="22" t="s">
        <v>184</v>
      </c>
      <c r="L1176" s="23" t="s">
        <v>30</v>
      </c>
      <c r="M1176" s="23"/>
      <c r="N1176" s="22" t="s">
        <v>213</v>
      </c>
      <c r="O1176" s="22"/>
    </row>
    <row r="1177" spans="1:15" ht="13.5" customHeight="1" x14ac:dyDescent="0.25">
      <c r="A1177" s="1"/>
      <c r="B1177" s="20">
        <v>1165</v>
      </c>
      <c r="C1177" s="20">
        <v>2023</v>
      </c>
      <c r="D1177" s="20">
        <v>11488</v>
      </c>
      <c r="E1177" s="20" t="s">
        <v>4557</v>
      </c>
      <c r="F1177" s="20" t="s">
        <v>4558</v>
      </c>
      <c r="G1177" s="20" t="s">
        <v>4559</v>
      </c>
      <c r="H1177" s="20" t="s">
        <v>4560</v>
      </c>
      <c r="I1177" s="20" t="s">
        <v>62</v>
      </c>
      <c r="J1177" s="21">
        <v>2006</v>
      </c>
      <c r="K1177" s="20" t="s">
        <v>67</v>
      </c>
      <c r="L1177" s="21" t="s">
        <v>30</v>
      </c>
      <c r="M1177" s="21" t="s">
        <v>30</v>
      </c>
      <c r="N1177" s="20"/>
      <c r="O1177" s="20"/>
    </row>
    <row r="1178" spans="1:15" ht="13.5" customHeight="1" x14ac:dyDescent="0.25">
      <c r="A1178" s="1"/>
      <c r="B1178" s="22">
        <v>1166</v>
      </c>
      <c r="C1178" s="22">
        <v>2023</v>
      </c>
      <c r="D1178" s="22">
        <v>11390</v>
      </c>
      <c r="E1178" s="22" t="s">
        <v>4561</v>
      </c>
      <c r="F1178" s="22" t="s">
        <v>4562</v>
      </c>
      <c r="G1178" s="22" t="s">
        <v>4563</v>
      </c>
      <c r="H1178" s="22" t="s">
        <v>4564</v>
      </c>
      <c r="I1178" s="22" t="s">
        <v>23</v>
      </c>
      <c r="J1178" s="23">
        <v>2000</v>
      </c>
      <c r="K1178" s="22" t="s">
        <v>114</v>
      </c>
      <c r="L1178" s="23" t="s">
        <v>30</v>
      </c>
      <c r="M1178" s="23" t="s">
        <v>30</v>
      </c>
      <c r="N1178" s="22"/>
      <c r="O1178" s="22"/>
    </row>
    <row r="1179" spans="1:15" ht="13.5" customHeight="1" x14ac:dyDescent="0.25">
      <c r="A1179" s="1"/>
      <c r="B1179" s="20">
        <v>1167</v>
      </c>
      <c r="C1179" s="20">
        <v>2023</v>
      </c>
      <c r="D1179" s="20">
        <v>11416</v>
      </c>
      <c r="E1179" s="20" t="s">
        <v>4565</v>
      </c>
      <c r="F1179" s="20" t="s">
        <v>4566</v>
      </c>
      <c r="G1179" s="20"/>
      <c r="H1179" s="20" t="s">
        <v>4567</v>
      </c>
      <c r="I1179" s="20" t="s">
        <v>23</v>
      </c>
      <c r="J1179" s="21">
        <v>2005</v>
      </c>
      <c r="K1179" s="20" t="s">
        <v>114</v>
      </c>
      <c r="L1179" s="21"/>
      <c r="M1179" s="21" t="s">
        <v>30</v>
      </c>
      <c r="N1179" s="20"/>
      <c r="O1179" s="20"/>
    </row>
    <row r="1180" spans="1:15" ht="13.5" customHeight="1" x14ac:dyDescent="0.25">
      <c r="A1180" s="1"/>
      <c r="B1180" s="22">
        <v>1168</v>
      </c>
      <c r="C1180" s="22">
        <v>2023</v>
      </c>
      <c r="D1180" s="22">
        <v>10822</v>
      </c>
      <c r="E1180" s="22" t="s">
        <v>4568</v>
      </c>
      <c r="F1180" s="22" t="s">
        <v>4569</v>
      </c>
      <c r="G1180" s="22" t="s">
        <v>4570</v>
      </c>
      <c r="H1180" s="22" t="s">
        <v>4571</v>
      </c>
      <c r="I1180" s="22" t="s">
        <v>23</v>
      </c>
      <c r="J1180" s="23">
        <v>2000</v>
      </c>
      <c r="K1180" s="22" t="s">
        <v>24</v>
      </c>
      <c r="L1180" s="23" t="s">
        <v>30</v>
      </c>
      <c r="M1180" s="23" t="s">
        <v>30</v>
      </c>
      <c r="N1180" s="22"/>
      <c r="O1180" s="22"/>
    </row>
    <row r="1181" spans="1:15" ht="13.5" customHeight="1" x14ac:dyDescent="0.25">
      <c r="A1181" s="1"/>
      <c r="B1181" s="20">
        <v>1169</v>
      </c>
      <c r="C1181" s="20">
        <v>2023</v>
      </c>
      <c r="D1181" s="20">
        <v>40692</v>
      </c>
      <c r="E1181" s="20" t="s">
        <v>4572</v>
      </c>
      <c r="F1181" s="20" t="s">
        <v>4573</v>
      </c>
      <c r="G1181" s="20" t="s">
        <v>4574</v>
      </c>
      <c r="H1181" s="20" t="s">
        <v>4575</v>
      </c>
      <c r="I1181" s="20" t="s">
        <v>23</v>
      </c>
      <c r="J1181" s="21">
        <v>2014</v>
      </c>
      <c r="K1181" s="20" t="s">
        <v>73</v>
      </c>
      <c r="L1181" s="21" t="s">
        <v>30</v>
      </c>
      <c r="M1181" s="21"/>
      <c r="N1181" s="20" t="s">
        <v>381</v>
      </c>
      <c r="O1181" s="20"/>
    </row>
    <row r="1182" spans="1:15" ht="13.5" customHeight="1" x14ac:dyDescent="0.25">
      <c r="A1182" s="1"/>
      <c r="B1182" s="22">
        <v>1170</v>
      </c>
      <c r="C1182" s="22">
        <v>2023</v>
      </c>
      <c r="D1182" s="22">
        <v>12528</v>
      </c>
      <c r="E1182" s="22" t="s">
        <v>4576</v>
      </c>
      <c r="F1182" s="22" t="s">
        <v>4577</v>
      </c>
      <c r="G1182" s="22" t="s">
        <v>4578</v>
      </c>
      <c r="H1182" s="22" t="s">
        <v>4579</v>
      </c>
      <c r="I1182" s="22" t="s">
        <v>23</v>
      </c>
      <c r="J1182" s="23">
        <v>2000</v>
      </c>
      <c r="K1182" s="22" t="s">
        <v>73</v>
      </c>
      <c r="L1182" s="23" t="s">
        <v>30</v>
      </c>
      <c r="M1182" s="23"/>
      <c r="N1182" s="22" t="s">
        <v>431</v>
      </c>
      <c r="O1182" s="22"/>
    </row>
    <row r="1183" spans="1:15" ht="13.5" customHeight="1" x14ac:dyDescent="0.25">
      <c r="A1183" s="1"/>
      <c r="B1183" s="20">
        <v>1171</v>
      </c>
      <c r="C1183" s="20">
        <v>2023</v>
      </c>
      <c r="D1183" s="20">
        <v>10603</v>
      </c>
      <c r="E1183" s="20" t="s">
        <v>4580</v>
      </c>
      <c r="F1183" s="20" t="s">
        <v>4581</v>
      </c>
      <c r="G1183" s="20" t="s">
        <v>4582</v>
      </c>
      <c r="H1183" s="20" t="s">
        <v>4583</v>
      </c>
      <c r="I1183" s="20" t="s">
        <v>23</v>
      </c>
      <c r="J1183" s="21">
        <v>2000</v>
      </c>
      <c r="K1183" s="20" t="s">
        <v>184</v>
      </c>
      <c r="L1183" s="21" t="s">
        <v>30</v>
      </c>
      <c r="M1183" s="21" t="s">
        <v>30</v>
      </c>
      <c r="N1183" s="20"/>
      <c r="O1183" s="20"/>
    </row>
    <row r="1184" spans="1:15" ht="13.5" customHeight="1" x14ac:dyDescent="0.25">
      <c r="A1184" s="1"/>
      <c r="B1184" s="22">
        <v>1172</v>
      </c>
      <c r="C1184" s="22">
        <v>2023</v>
      </c>
      <c r="D1184" s="22">
        <v>3</v>
      </c>
      <c r="E1184" s="22" t="s">
        <v>4584</v>
      </c>
      <c r="F1184" s="22" t="s">
        <v>4585</v>
      </c>
      <c r="G1184" s="22" t="s">
        <v>4586</v>
      </c>
      <c r="H1184" s="22" t="s">
        <v>4587</v>
      </c>
      <c r="I1184" s="22" t="s">
        <v>23</v>
      </c>
      <c r="J1184" s="23">
        <v>2006</v>
      </c>
      <c r="K1184" s="22" t="s">
        <v>34</v>
      </c>
      <c r="L1184" s="23" t="s">
        <v>30</v>
      </c>
      <c r="M1184" s="23" t="s">
        <v>30</v>
      </c>
      <c r="N1184" s="22"/>
      <c r="O1184" s="22"/>
    </row>
    <row r="1185" spans="1:15" ht="13.5" customHeight="1" x14ac:dyDescent="0.25">
      <c r="A1185" s="1"/>
      <c r="B1185" s="20">
        <v>1173</v>
      </c>
      <c r="C1185" s="20">
        <v>2023</v>
      </c>
      <c r="D1185" s="20">
        <v>11957</v>
      </c>
      <c r="E1185" s="20" t="s">
        <v>4588</v>
      </c>
      <c r="F1185" s="20" t="s">
        <v>4589</v>
      </c>
      <c r="G1185" s="20" t="s">
        <v>4590</v>
      </c>
      <c r="H1185" s="20" t="s">
        <v>4591</v>
      </c>
      <c r="I1185" s="20" t="s">
        <v>62</v>
      </c>
      <c r="J1185" s="21">
        <v>2007</v>
      </c>
      <c r="K1185" s="20" t="s">
        <v>44</v>
      </c>
      <c r="L1185" s="21" t="s">
        <v>30</v>
      </c>
      <c r="M1185" s="21" t="s">
        <v>30</v>
      </c>
      <c r="N1185" s="20" t="s">
        <v>74</v>
      </c>
      <c r="O1185" s="20"/>
    </row>
    <row r="1186" spans="1:15" ht="13.5" customHeight="1" x14ac:dyDescent="0.25">
      <c r="A1186" s="1"/>
      <c r="B1186" s="22">
        <v>1174</v>
      </c>
      <c r="C1186" s="22">
        <v>2023</v>
      </c>
      <c r="D1186" s="22">
        <v>11958</v>
      </c>
      <c r="E1186" s="22" t="s">
        <v>4592</v>
      </c>
      <c r="F1186" s="22" t="s">
        <v>4593</v>
      </c>
      <c r="G1186" s="22" t="s">
        <v>4594</v>
      </c>
      <c r="H1186" s="22" t="s">
        <v>4595</v>
      </c>
      <c r="I1186" s="22" t="s">
        <v>62</v>
      </c>
      <c r="J1186" s="23">
        <v>2007</v>
      </c>
      <c r="K1186" s="22" t="s">
        <v>63</v>
      </c>
      <c r="L1186" s="23" t="s">
        <v>30</v>
      </c>
      <c r="M1186" s="23" t="s">
        <v>30</v>
      </c>
      <c r="N1186" s="22" t="s">
        <v>74</v>
      </c>
      <c r="O1186" s="22"/>
    </row>
    <row r="1187" spans="1:15" ht="13.5" customHeight="1" x14ac:dyDescent="0.25">
      <c r="A1187" s="1"/>
      <c r="B1187" s="20">
        <v>1175</v>
      </c>
      <c r="C1187" s="20">
        <v>2023</v>
      </c>
      <c r="D1187" s="20">
        <v>10879</v>
      </c>
      <c r="E1187" s="20" t="s">
        <v>4596</v>
      </c>
      <c r="F1187" s="20" t="s">
        <v>4597</v>
      </c>
      <c r="G1187" s="20" t="s">
        <v>4598</v>
      </c>
      <c r="H1187" s="20" t="s">
        <v>4599</v>
      </c>
      <c r="I1187" s="20" t="s">
        <v>23</v>
      </c>
      <c r="J1187" s="21">
        <v>2000</v>
      </c>
      <c r="K1187" s="20" t="s">
        <v>39</v>
      </c>
      <c r="L1187" s="21" t="s">
        <v>30</v>
      </c>
      <c r="M1187" s="21" t="s">
        <v>30</v>
      </c>
      <c r="N1187" s="20"/>
      <c r="O1187" s="20"/>
    </row>
    <row r="1188" spans="1:15" ht="13.5" customHeight="1" x14ac:dyDescent="0.25">
      <c r="A1188" s="1"/>
      <c r="B1188" s="22">
        <v>1176</v>
      </c>
      <c r="C1188" s="22">
        <v>2023</v>
      </c>
      <c r="D1188" s="22">
        <v>40313</v>
      </c>
      <c r="E1188" s="22" t="s">
        <v>4600</v>
      </c>
      <c r="F1188" s="22" t="s">
        <v>4601</v>
      </c>
      <c r="G1188" s="22" t="s">
        <v>4602</v>
      </c>
      <c r="H1188" s="22" t="s">
        <v>4603</v>
      </c>
      <c r="I1188" s="22" t="s">
        <v>23</v>
      </c>
      <c r="J1188" s="23">
        <v>2013</v>
      </c>
      <c r="K1188" s="22" t="s">
        <v>67</v>
      </c>
      <c r="L1188" s="23" t="s">
        <v>30</v>
      </c>
      <c r="M1188" s="23"/>
      <c r="N1188" s="22" t="s">
        <v>101</v>
      </c>
      <c r="O1188" s="22"/>
    </row>
    <row r="1189" spans="1:15" ht="13.5" customHeight="1" x14ac:dyDescent="0.25">
      <c r="A1189" s="1"/>
      <c r="B1189" s="20">
        <v>1177</v>
      </c>
      <c r="C1189" s="20">
        <v>2023</v>
      </c>
      <c r="D1189" s="20">
        <v>12892</v>
      </c>
      <c r="E1189" s="20" t="s">
        <v>4604</v>
      </c>
      <c r="F1189" s="20" t="s">
        <v>4605</v>
      </c>
      <c r="G1189" s="20"/>
      <c r="H1189" s="20" t="s">
        <v>4606</v>
      </c>
      <c r="I1189" s="20" t="s">
        <v>23</v>
      </c>
      <c r="J1189" s="21">
        <v>2009</v>
      </c>
      <c r="K1189" s="20" t="s">
        <v>34</v>
      </c>
      <c r="L1189" s="21"/>
      <c r="M1189" s="21"/>
      <c r="N1189" s="20" t="s">
        <v>431</v>
      </c>
      <c r="O1189" s="20"/>
    </row>
    <row r="1190" spans="1:15" ht="13.5" customHeight="1" x14ac:dyDescent="0.25">
      <c r="A1190" s="1"/>
      <c r="B1190" s="22">
        <v>1178</v>
      </c>
      <c r="C1190" s="22">
        <v>2023</v>
      </c>
      <c r="D1190" s="22">
        <v>10823</v>
      </c>
      <c r="E1190" s="22" t="s">
        <v>4607</v>
      </c>
      <c r="F1190" s="22" t="s">
        <v>4608</v>
      </c>
      <c r="G1190" s="22" t="s">
        <v>4609</v>
      </c>
      <c r="H1190" s="22" t="s">
        <v>4610</v>
      </c>
      <c r="I1190" s="22" t="s">
        <v>23</v>
      </c>
      <c r="J1190" s="23">
        <v>2000</v>
      </c>
      <c r="K1190" s="22" t="s">
        <v>184</v>
      </c>
      <c r="L1190" s="23" t="s">
        <v>30</v>
      </c>
      <c r="M1190" s="23" t="s">
        <v>30</v>
      </c>
      <c r="N1190" s="22"/>
      <c r="O1190" s="22"/>
    </row>
    <row r="1191" spans="1:15" ht="13.5" customHeight="1" x14ac:dyDescent="0.25">
      <c r="A1191" s="1"/>
      <c r="B1191" s="20">
        <v>1179</v>
      </c>
      <c r="C1191" s="20">
        <v>2023</v>
      </c>
      <c r="D1191" s="20">
        <v>13389</v>
      </c>
      <c r="E1191" s="20" t="s">
        <v>4611</v>
      </c>
      <c r="F1191" s="20" t="s">
        <v>4612</v>
      </c>
      <c r="G1191" s="20" t="s">
        <v>4613</v>
      </c>
      <c r="H1191" s="20" t="s">
        <v>4614</v>
      </c>
      <c r="I1191" s="20" t="s">
        <v>23</v>
      </c>
      <c r="J1191" s="21">
        <v>2011</v>
      </c>
      <c r="K1191" s="20" t="s">
        <v>114</v>
      </c>
      <c r="L1191" s="21" t="s">
        <v>30</v>
      </c>
      <c r="M1191" s="21"/>
      <c r="N1191" s="20" t="s">
        <v>250</v>
      </c>
      <c r="O1191" s="20"/>
    </row>
    <row r="1192" spans="1:15" ht="13.5" customHeight="1" x14ac:dyDescent="0.25">
      <c r="A1192" s="1"/>
      <c r="B1192" s="22">
        <v>1180</v>
      </c>
      <c r="C1192" s="22">
        <v>2023</v>
      </c>
      <c r="D1192" s="22">
        <v>145</v>
      </c>
      <c r="E1192" s="22" t="s">
        <v>4615</v>
      </c>
      <c r="F1192" s="22" t="s">
        <v>4616</v>
      </c>
      <c r="G1192" s="22" t="s">
        <v>4617</v>
      </c>
      <c r="H1192" s="22" t="s">
        <v>4618</v>
      </c>
      <c r="I1192" s="22" t="s">
        <v>23</v>
      </c>
      <c r="J1192" s="23">
        <v>2000</v>
      </c>
      <c r="K1192" s="22" t="s">
        <v>114</v>
      </c>
      <c r="L1192" s="23" t="s">
        <v>30</v>
      </c>
      <c r="M1192" s="23" t="s">
        <v>30</v>
      </c>
      <c r="N1192" s="22"/>
      <c r="O1192" s="22"/>
    </row>
    <row r="1193" spans="1:15" ht="13.5" customHeight="1" x14ac:dyDescent="0.25">
      <c r="A1193" s="1"/>
      <c r="B1193" s="20">
        <v>1181</v>
      </c>
      <c r="C1193" s="20">
        <v>2023</v>
      </c>
      <c r="D1193" s="20">
        <v>41809</v>
      </c>
      <c r="E1193" s="20" t="s">
        <v>4619</v>
      </c>
      <c r="F1193" s="20" t="s">
        <v>4620</v>
      </c>
      <c r="G1193" s="20" t="s">
        <v>4621</v>
      </c>
      <c r="H1193" s="20" t="s">
        <v>4622</v>
      </c>
      <c r="I1193" s="20" t="s">
        <v>23</v>
      </c>
      <c r="J1193" s="21">
        <v>2017</v>
      </c>
      <c r="K1193" s="20" t="s">
        <v>203</v>
      </c>
      <c r="L1193" s="21" t="s">
        <v>30</v>
      </c>
      <c r="M1193" s="21"/>
      <c r="N1193" s="20" t="s">
        <v>265</v>
      </c>
      <c r="O1193" s="20"/>
    </row>
    <row r="1194" spans="1:15" ht="13.5" customHeight="1" x14ac:dyDescent="0.25">
      <c r="A1194" s="1"/>
      <c r="B1194" s="22">
        <v>1182</v>
      </c>
      <c r="C1194" s="22">
        <v>2023</v>
      </c>
      <c r="D1194" s="22">
        <v>10824</v>
      </c>
      <c r="E1194" s="22" t="s">
        <v>4623</v>
      </c>
      <c r="F1194" s="22" t="s">
        <v>4624</v>
      </c>
      <c r="G1194" s="22" t="s">
        <v>4625</v>
      </c>
      <c r="H1194" s="22" t="s">
        <v>4626</v>
      </c>
      <c r="I1194" s="22" t="s">
        <v>23</v>
      </c>
      <c r="J1194" s="23">
        <v>2000</v>
      </c>
      <c r="K1194" s="22" t="s">
        <v>475</v>
      </c>
      <c r="L1194" s="23" t="s">
        <v>30</v>
      </c>
      <c r="M1194" s="23" t="s">
        <v>30</v>
      </c>
      <c r="N1194" s="22"/>
      <c r="O1194" s="22"/>
    </row>
    <row r="1195" spans="1:15" ht="13.5" customHeight="1" x14ac:dyDescent="0.25">
      <c r="A1195" s="1"/>
      <c r="B1195" s="20">
        <v>1183</v>
      </c>
      <c r="C1195" s="20">
        <v>2023</v>
      </c>
      <c r="D1195" s="20">
        <v>42488</v>
      </c>
      <c r="E1195" s="20" t="s">
        <v>4627</v>
      </c>
      <c r="F1195" s="20" t="s">
        <v>4628</v>
      </c>
      <c r="G1195" s="20" t="s">
        <v>4629</v>
      </c>
      <c r="H1195" s="20" t="s">
        <v>4630</v>
      </c>
      <c r="I1195" s="20" t="s">
        <v>23</v>
      </c>
      <c r="J1195" s="21">
        <v>2019</v>
      </c>
      <c r="K1195" s="20" t="s">
        <v>67</v>
      </c>
      <c r="L1195" s="21" t="s">
        <v>30</v>
      </c>
      <c r="M1195" s="21"/>
      <c r="N1195" s="20" t="s">
        <v>218</v>
      </c>
      <c r="O1195" s="20"/>
    </row>
    <row r="1196" spans="1:15" ht="13.5" customHeight="1" x14ac:dyDescent="0.25">
      <c r="A1196" s="1"/>
      <c r="B1196" s="22">
        <v>1184</v>
      </c>
      <c r="C1196" s="22">
        <v>2023</v>
      </c>
      <c r="D1196" s="22">
        <v>40865</v>
      </c>
      <c r="E1196" s="22" t="s">
        <v>4631</v>
      </c>
      <c r="F1196" s="22" t="s">
        <v>4632</v>
      </c>
      <c r="G1196" s="22" t="s">
        <v>4633</v>
      </c>
      <c r="H1196" s="22" t="s">
        <v>4634</v>
      </c>
      <c r="I1196" s="22" t="s">
        <v>23</v>
      </c>
      <c r="J1196" s="23">
        <v>2015</v>
      </c>
      <c r="K1196" s="22" t="s">
        <v>394</v>
      </c>
      <c r="L1196" s="23" t="s">
        <v>30</v>
      </c>
      <c r="M1196" s="23"/>
      <c r="N1196" s="22" t="s">
        <v>185</v>
      </c>
      <c r="O1196" s="22"/>
    </row>
    <row r="1197" spans="1:15" ht="13.5" customHeight="1" x14ac:dyDescent="0.25">
      <c r="A1197" s="1"/>
      <c r="B1197" s="20">
        <v>1185</v>
      </c>
      <c r="C1197" s="20">
        <v>2023</v>
      </c>
      <c r="D1197" s="20">
        <v>10882</v>
      </c>
      <c r="E1197" s="20" t="s">
        <v>4635</v>
      </c>
      <c r="F1197" s="20" t="s">
        <v>4636</v>
      </c>
      <c r="G1197" s="20" t="s">
        <v>4637</v>
      </c>
      <c r="H1197" s="20" t="s">
        <v>4638</v>
      </c>
      <c r="I1197" s="20" t="s">
        <v>23</v>
      </c>
      <c r="J1197" s="21">
        <v>2000</v>
      </c>
      <c r="K1197" s="20" t="s">
        <v>203</v>
      </c>
      <c r="L1197" s="21" t="s">
        <v>30</v>
      </c>
      <c r="M1197" s="21" t="s">
        <v>30</v>
      </c>
      <c r="N1197" s="20"/>
      <c r="O1197" s="20"/>
    </row>
    <row r="1198" spans="1:15" ht="13.5" customHeight="1" x14ac:dyDescent="0.25">
      <c r="A1198" s="1"/>
      <c r="B1198" s="22">
        <v>1186</v>
      </c>
      <c r="C1198" s="22">
        <v>2023</v>
      </c>
      <c r="D1198" s="22">
        <v>42240</v>
      </c>
      <c r="E1198" s="22" t="s">
        <v>4639</v>
      </c>
      <c r="F1198" s="22" t="s">
        <v>4640</v>
      </c>
      <c r="G1198" s="22" t="s">
        <v>4641</v>
      </c>
      <c r="H1198" s="22" t="s">
        <v>4642</v>
      </c>
      <c r="I1198" s="22" t="s">
        <v>23</v>
      </c>
      <c r="J1198" s="23">
        <v>2018</v>
      </c>
      <c r="K1198" s="22" t="s">
        <v>3895</v>
      </c>
      <c r="L1198" s="23" t="s">
        <v>30</v>
      </c>
      <c r="M1198" s="23"/>
      <c r="N1198" s="22" t="s">
        <v>213</v>
      </c>
      <c r="O1198" s="22"/>
    </row>
    <row r="1199" spans="1:15" ht="13.5" customHeight="1" x14ac:dyDescent="0.25">
      <c r="A1199" s="1"/>
      <c r="B1199" s="20">
        <v>1187</v>
      </c>
      <c r="C1199" s="20">
        <v>2023</v>
      </c>
      <c r="D1199" s="20">
        <v>40200</v>
      </c>
      <c r="E1199" s="20" t="s">
        <v>4643</v>
      </c>
      <c r="F1199" s="20" t="s">
        <v>4644</v>
      </c>
      <c r="G1199" s="20"/>
      <c r="H1199" s="20" t="s">
        <v>4645</v>
      </c>
      <c r="I1199" s="20" t="s">
        <v>23</v>
      </c>
      <c r="J1199" s="21">
        <v>2012</v>
      </c>
      <c r="K1199" s="20" t="s">
        <v>39</v>
      </c>
      <c r="L1199" s="21"/>
      <c r="M1199" s="21"/>
      <c r="N1199" s="20"/>
      <c r="O1199" s="20"/>
    </row>
    <row r="1200" spans="1:15" ht="13.5" customHeight="1" x14ac:dyDescent="0.25">
      <c r="A1200" s="1"/>
      <c r="B1200" s="22">
        <v>1188</v>
      </c>
      <c r="C1200" s="22">
        <v>2023</v>
      </c>
      <c r="D1200" s="22">
        <v>10278</v>
      </c>
      <c r="E1200" s="22" t="s">
        <v>4646</v>
      </c>
      <c r="F1200" s="22" t="s">
        <v>4647</v>
      </c>
      <c r="G1200" s="22"/>
      <c r="H1200" s="22" t="s">
        <v>4648</v>
      </c>
      <c r="I1200" s="22" t="s">
        <v>23</v>
      </c>
      <c r="J1200" s="23">
        <v>2000</v>
      </c>
      <c r="K1200" s="22" t="s">
        <v>39</v>
      </c>
      <c r="L1200" s="23"/>
      <c r="M1200" s="23" t="s">
        <v>30</v>
      </c>
      <c r="N1200" s="22"/>
      <c r="O1200" s="22"/>
    </row>
    <row r="1201" spans="1:15" ht="13.5" customHeight="1" x14ac:dyDescent="0.25">
      <c r="A1201" s="1"/>
      <c r="B1201" s="20">
        <v>1189</v>
      </c>
      <c r="C1201" s="20">
        <v>2023</v>
      </c>
      <c r="D1201" s="20">
        <v>40870</v>
      </c>
      <c r="E1201" s="20" t="s">
        <v>4649</v>
      </c>
      <c r="F1201" s="20" t="s">
        <v>4650</v>
      </c>
      <c r="G1201" s="20" t="s">
        <v>4651</v>
      </c>
      <c r="H1201" s="20" t="s">
        <v>4652</v>
      </c>
      <c r="I1201" s="20" t="s">
        <v>23</v>
      </c>
      <c r="J1201" s="21">
        <v>2015</v>
      </c>
      <c r="K1201" s="20" t="s">
        <v>24</v>
      </c>
      <c r="L1201" s="21" t="s">
        <v>30</v>
      </c>
      <c r="M1201" s="21"/>
      <c r="N1201" s="20" t="s">
        <v>185</v>
      </c>
      <c r="O1201" s="20"/>
    </row>
    <row r="1202" spans="1:15" ht="13.5" customHeight="1" x14ac:dyDescent="0.25">
      <c r="A1202" s="1"/>
      <c r="B1202" s="22">
        <v>1190</v>
      </c>
      <c r="C1202" s="22">
        <v>2023</v>
      </c>
      <c r="D1202" s="22">
        <v>10883</v>
      </c>
      <c r="E1202" s="22" t="s">
        <v>4653</v>
      </c>
      <c r="F1202" s="22" t="s">
        <v>4654</v>
      </c>
      <c r="G1202" s="22" t="s">
        <v>4655</v>
      </c>
      <c r="H1202" s="22" t="s">
        <v>4656</v>
      </c>
      <c r="I1202" s="22" t="s">
        <v>23</v>
      </c>
      <c r="J1202" s="23">
        <v>2000</v>
      </c>
      <c r="K1202" s="22" t="s">
        <v>44</v>
      </c>
      <c r="L1202" s="23" t="s">
        <v>30</v>
      </c>
      <c r="M1202" s="23" t="s">
        <v>30</v>
      </c>
      <c r="N1202" s="22"/>
      <c r="O1202" s="22"/>
    </row>
    <row r="1203" spans="1:15" ht="13.5" customHeight="1" x14ac:dyDescent="0.25">
      <c r="A1203" s="1"/>
      <c r="B1203" s="20">
        <v>1191</v>
      </c>
      <c r="C1203" s="20">
        <v>2023</v>
      </c>
      <c r="D1203" s="20">
        <v>10884</v>
      </c>
      <c r="E1203" s="20" t="s">
        <v>4657</v>
      </c>
      <c r="F1203" s="20" t="s">
        <v>4658</v>
      </c>
      <c r="G1203" s="20" t="s">
        <v>4659</v>
      </c>
      <c r="H1203" s="20" t="s">
        <v>4660</v>
      </c>
      <c r="I1203" s="20" t="s">
        <v>23</v>
      </c>
      <c r="J1203" s="21">
        <v>2000</v>
      </c>
      <c r="K1203" s="20" t="s">
        <v>44</v>
      </c>
      <c r="L1203" s="21" t="s">
        <v>30</v>
      </c>
      <c r="M1203" s="21" t="s">
        <v>30</v>
      </c>
      <c r="N1203" s="20"/>
      <c r="O1203" s="20"/>
    </row>
    <row r="1204" spans="1:15" ht="13.5" customHeight="1" x14ac:dyDescent="0.25">
      <c r="A1204" s="1"/>
      <c r="B1204" s="22">
        <v>1192</v>
      </c>
      <c r="C1204" s="22">
        <v>2023</v>
      </c>
      <c r="D1204" s="22">
        <v>12583</v>
      </c>
      <c r="E1204" s="22" t="s">
        <v>4661</v>
      </c>
      <c r="F1204" s="22" t="s">
        <v>4662</v>
      </c>
      <c r="G1204" s="22" t="s">
        <v>4663</v>
      </c>
      <c r="H1204" s="22" t="s">
        <v>4664</v>
      </c>
      <c r="I1204" s="22" t="s">
        <v>4665</v>
      </c>
      <c r="J1204" s="23">
        <v>2009</v>
      </c>
      <c r="K1204" s="22" t="s">
        <v>95</v>
      </c>
      <c r="L1204" s="23" t="s">
        <v>30</v>
      </c>
      <c r="M1204" s="23"/>
      <c r="N1204" s="22" t="s">
        <v>431</v>
      </c>
      <c r="O1204" s="22"/>
    </row>
    <row r="1205" spans="1:15" ht="13.5" customHeight="1" x14ac:dyDescent="0.25">
      <c r="A1205" s="1"/>
      <c r="B1205" s="20">
        <v>1193</v>
      </c>
      <c r="C1205" s="20">
        <v>2023</v>
      </c>
      <c r="D1205" s="20">
        <v>12040</v>
      </c>
      <c r="E1205" s="20" t="s">
        <v>4666</v>
      </c>
      <c r="F1205" s="20" t="s">
        <v>4667</v>
      </c>
      <c r="G1205" s="20"/>
      <c r="H1205" s="20" t="s">
        <v>4668</v>
      </c>
      <c r="I1205" s="20" t="s">
        <v>23</v>
      </c>
      <c r="J1205" s="21">
        <v>2000</v>
      </c>
      <c r="K1205" s="20" t="s">
        <v>95</v>
      </c>
      <c r="L1205" s="21"/>
      <c r="M1205" s="21" t="s">
        <v>30</v>
      </c>
      <c r="N1205" s="20" t="s">
        <v>245</v>
      </c>
      <c r="O1205" s="20"/>
    </row>
    <row r="1206" spans="1:15" ht="13.5" customHeight="1" x14ac:dyDescent="0.25">
      <c r="A1206" s="1"/>
      <c r="B1206" s="22">
        <v>1194</v>
      </c>
      <c r="C1206" s="22">
        <v>2023</v>
      </c>
      <c r="D1206" s="22">
        <v>10831</v>
      </c>
      <c r="E1206" s="22" t="s">
        <v>4669</v>
      </c>
      <c r="F1206" s="22" t="s">
        <v>4670</v>
      </c>
      <c r="G1206" s="22" t="s">
        <v>4671</v>
      </c>
      <c r="H1206" s="22" t="s">
        <v>4672</v>
      </c>
      <c r="I1206" s="22" t="s">
        <v>23</v>
      </c>
      <c r="J1206" s="23">
        <v>2000</v>
      </c>
      <c r="K1206" s="22" t="s">
        <v>184</v>
      </c>
      <c r="L1206" s="23" t="s">
        <v>30</v>
      </c>
      <c r="M1206" s="23" t="s">
        <v>30</v>
      </c>
      <c r="N1206" s="22"/>
      <c r="O1206" s="22"/>
    </row>
    <row r="1207" spans="1:15" ht="13.5" customHeight="1" x14ac:dyDescent="0.25">
      <c r="A1207" s="1"/>
      <c r="B1207" s="20">
        <v>1195</v>
      </c>
      <c r="C1207" s="20">
        <v>2023</v>
      </c>
      <c r="D1207" s="20">
        <v>12574</v>
      </c>
      <c r="E1207" s="20" t="s">
        <v>4673</v>
      </c>
      <c r="F1207" s="20" t="s">
        <v>4674</v>
      </c>
      <c r="G1207" s="20" t="s">
        <v>4675</v>
      </c>
      <c r="H1207" s="20" t="s">
        <v>4676</v>
      </c>
      <c r="I1207" s="20" t="s">
        <v>23</v>
      </c>
      <c r="J1207" s="21">
        <v>2009</v>
      </c>
      <c r="K1207" s="20" t="s">
        <v>39</v>
      </c>
      <c r="L1207" s="21" t="s">
        <v>30</v>
      </c>
      <c r="M1207" s="21" t="s">
        <v>30</v>
      </c>
      <c r="N1207" s="20" t="s">
        <v>431</v>
      </c>
      <c r="O1207" s="20"/>
    </row>
    <row r="1208" spans="1:15" ht="13.5" customHeight="1" x14ac:dyDescent="0.25">
      <c r="A1208" s="1"/>
      <c r="B1208" s="22">
        <v>1196</v>
      </c>
      <c r="C1208" s="22">
        <v>2023</v>
      </c>
      <c r="D1208" s="22">
        <v>10887</v>
      </c>
      <c r="E1208" s="22" t="s">
        <v>4677</v>
      </c>
      <c r="F1208" s="22" t="s">
        <v>4678</v>
      </c>
      <c r="G1208" s="22" t="s">
        <v>4679</v>
      </c>
      <c r="H1208" s="22" t="s">
        <v>4680</v>
      </c>
      <c r="I1208" s="22" t="s">
        <v>23</v>
      </c>
      <c r="J1208" s="23">
        <v>2000</v>
      </c>
      <c r="K1208" s="22" t="s">
        <v>475</v>
      </c>
      <c r="L1208" s="23" t="s">
        <v>30</v>
      </c>
      <c r="M1208" s="23" t="s">
        <v>30</v>
      </c>
      <c r="N1208" s="22"/>
      <c r="O1208" s="22"/>
    </row>
    <row r="1209" spans="1:15" ht="13.5" customHeight="1" x14ac:dyDescent="0.25">
      <c r="A1209" s="1"/>
      <c r="B1209" s="20">
        <v>1197</v>
      </c>
      <c r="C1209" s="20">
        <v>2023</v>
      </c>
      <c r="D1209" s="20">
        <v>11403</v>
      </c>
      <c r="E1209" s="20" t="s">
        <v>4681</v>
      </c>
      <c r="F1209" s="20" t="s">
        <v>4682</v>
      </c>
      <c r="G1209" s="20" t="s">
        <v>4683</v>
      </c>
      <c r="H1209" s="20" t="s">
        <v>4684</v>
      </c>
      <c r="I1209" s="20" t="s">
        <v>23</v>
      </c>
      <c r="J1209" s="21">
        <v>2006</v>
      </c>
      <c r="K1209" s="20" t="s">
        <v>475</v>
      </c>
      <c r="L1209" s="21" t="s">
        <v>30</v>
      </c>
      <c r="M1209" s="21" t="s">
        <v>30</v>
      </c>
      <c r="N1209" s="20"/>
      <c r="O1209" s="20"/>
    </row>
    <row r="1210" spans="1:15" ht="13.5" customHeight="1" x14ac:dyDescent="0.25">
      <c r="A1210" s="1"/>
      <c r="B1210" s="22">
        <v>1198</v>
      </c>
      <c r="C1210" s="22">
        <v>2023</v>
      </c>
      <c r="D1210" s="22">
        <v>712</v>
      </c>
      <c r="E1210" s="22" t="s">
        <v>4685</v>
      </c>
      <c r="F1210" s="22" t="s">
        <v>4686</v>
      </c>
      <c r="G1210" s="22" t="s">
        <v>4687</v>
      </c>
      <c r="H1210" s="22" t="s">
        <v>4688</v>
      </c>
      <c r="I1210" s="22" t="s">
        <v>23</v>
      </c>
      <c r="J1210" s="23">
        <v>2000</v>
      </c>
      <c r="K1210" s="22" t="s">
        <v>475</v>
      </c>
      <c r="L1210" s="23" t="s">
        <v>30</v>
      </c>
      <c r="M1210" s="23" t="s">
        <v>30</v>
      </c>
      <c r="N1210" s="22"/>
      <c r="O1210" s="22"/>
    </row>
    <row r="1211" spans="1:15" ht="13.5" customHeight="1" x14ac:dyDescent="0.25">
      <c r="A1211" s="1"/>
      <c r="B1211" s="20">
        <v>1199</v>
      </c>
      <c r="C1211" s="20">
        <v>2023</v>
      </c>
      <c r="D1211" s="20">
        <v>12197</v>
      </c>
      <c r="E1211" s="20" t="s">
        <v>4689</v>
      </c>
      <c r="F1211" s="20" t="s">
        <v>4690</v>
      </c>
      <c r="G1211" s="20" t="s">
        <v>4691</v>
      </c>
      <c r="H1211" s="20" t="s">
        <v>4692</v>
      </c>
      <c r="I1211" s="20" t="s">
        <v>23</v>
      </c>
      <c r="J1211" s="21">
        <v>2000</v>
      </c>
      <c r="K1211" s="20" t="s">
        <v>475</v>
      </c>
      <c r="L1211" s="21" t="s">
        <v>30</v>
      </c>
      <c r="M1211" s="21" t="s">
        <v>30</v>
      </c>
      <c r="N1211" s="20" t="s">
        <v>35</v>
      </c>
      <c r="O1211" s="20"/>
    </row>
    <row r="1212" spans="1:15" ht="13.5" customHeight="1" x14ac:dyDescent="0.25">
      <c r="A1212" s="1"/>
      <c r="B1212" s="22">
        <v>1200</v>
      </c>
      <c r="C1212" s="22">
        <v>2023</v>
      </c>
      <c r="D1212" s="22">
        <v>41996</v>
      </c>
      <c r="E1212" s="22" t="s">
        <v>4693</v>
      </c>
      <c r="F1212" s="22" t="s">
        <v>4694</v>
      </c>
      <c r="G1212" s="22" t="s">
        <v>4695</v>
      </c>
      <c r="H1212" s="22" t="s">
        <v>4696</v>
      </c>
      <c r="I1212" s="22" t="s">
        <v>23</v>
      </c>
      <c r="J1212" s="23">
        <v>2018</v>
      </c>
      <c r="K1212" s="22" t="s">
        <v>475</v>
      </c>
      <c r="L1212" s="23" t="s">
        <v>30</v>
      </c>
      <c r="M1212" s="23"/>
      <c r="N1212" s="22" t="s">
        <v>213</v>
      </c>
      <c r="O1212" s="22"/>
    </row>
    <row r="1213" spans="1:15" ht="13.5" customHeight="1" x14ac:dyDescent="0.25">
      <c r="A1213" s="1"/>
      <c r="B1213" s="20">
        <v>1201</v>
      </c>
      <c r="C1213" s="20">
        <v>2023</v>
      </c>
      <c r="D1213" s="20">
        <v>10833</v>
      </c>
      <c r="E1213" s="20" t="s">
        <v>4697</v>
      </c>
      <c r="F1213" s="20" t="s">
        <v>4698</v>
      </c>
      <c r="G1213" s="20" t="s">
        <v>4699</v>
      </c>
      <c r="H1213" s="20" t="s">
        <v>4700</v>
      </c>
      <c r="I1213" s="20" t="s">
        <v>23</v>
      </c>
      <c r="J1213" s="21">
        <v>2000</v>
      </c>
      <c r="K1213" s="20" t="s">
        <v>73</v>
      </c>
      <c r="L1213" s="21" t="s">
        <v>30</v>
      </c>
      <c r="M1213" s="21" t="s">
        <v>30</v>
      </c>
      <c r="N1213" s="20"/>
      <c r="O1213" s="20"/>
    </row>
    <row r="1214" spans="1:15" ht="13.5" customHeight="1" x14ac:dyDescent="0.25">
      <c r="A1214" s="1"/>
      <c r="B1214" s="22">
        <v>1202</v>
      </c>
      <c r="C1214" s="22">
        <v>2023</v>
      </c>
      <c r="D1214" s="22">
        <v>10659</v>
      </c>
      <c r="E1214" s="22" t="s">
        <v>4701</v>
      </c>
      <c r="F1214" s="22" t="s">
        <v>4702</v>
      </c>
      <c r="G1214" s="22" t="s">
        <v>4703</v>
      </c>
      <c r="H1214" s="22" t="s">
        <v>4704</v>
      </c>
      <c r="I1214" s="22" t="s">
        <v>23</v>
      </c>
      <c r="J1214" s="23">
        <v>2000</v>
      </c>
      <c r="K1214" s="22" t="s">
        <v>67</v>
      </c>
      <c r="L1214" s="23" t="s">
        <v>30</v>
      </c>
      <c r="M1214" s="23" t="s">
        <v>30</v>
      </c>
      <c r="N1214" s="22"/>
      <c r="O1214" s="22"/>
    </row>
    <row r="1215" spans="1:15" ht="13.5" customHeight="1" x14ac:dyDescent="0.25">
      <c r="A1215" s="1"/>
      <c r="B1215" s="20">
        <v>1203</v>
      </c>
      <c r="C1215" s="20">
        <v>2023</v>
      </c>
      <c r="D1215" s="20">
        <v>42835</v>
      </c>
      <c r="E1215" s="20" t="s">
        <v>4705</v>
      </c>
      <c r="F1215" s="20" t="s">
        <v>4706</v>
      </c>
      <c r="G1215" s="20" t="s">
        <v>4707</v>
      </c>
      <c r="H1215" s="20" t="s">
        <v>4708</v>
      </c>
      <c r="I1215" s="20" t="s">
        <v>23</v>
      </c>
      <c r="J1215" s="21">
        <v>2019</v>
      </c>
      <c r="K1215" s="20" t="s">
        <v>67</v>
      </c>
      <c r="L1215" s="21" t="s">
        <v>30</v>
      </c>
      <c r="M1215" s="21"/>
      <c r="N1215" s="20" t="s">
        <v>123</v>
      </c>
      <c r="O1215" s="20"/>
    </row>
    <row r="1216" spans="1:15" ht="13.5" customHeight="1" x14ac:dyDescent="0.25">
      <c r="A1216" s="1"/>
      <c r="B1216" s="22">
        <v>1204</v>
      </c>
      <c r="C1216" s="22">
        <v>2023</v>
      </c>
      <c r="D1216" s="22">
        <v>10832</v>
      </c>
      <c r="E1216" s="22" t="s">
        <v>4709</v>
      </c>
      <c r="F1216" s="22" t="s">
        <v>4710</v>
      </c>
      <c r="G1216" s="22" t="s">
        <v>4711</v>
      </c>
      <c r="H1216" s="22" t="s">
        <v>4712</v>
      </c>
      <c r="I1216" s="22" t="s">
        <v>23</v>
      </c>
      <c r="J1216" s="23">
        <v>2000</v>
      </c>
      <c r="K1216" s="22" t="s">
        <v>24</v>
      </c>
      <c r="L1216" s="23" t="s">
        <v>30</v>
      </c>
      <c r="M1216" s="23" t="s">
        <v>30</v>
      </c>
      <c r="N1216" s="22"/>
      <c r="O1216" s="22"/>
    </row>
    <row r="1217" spans="1:15" ht="13.5" customHeight="1" x14ac:dyDescent="0.25">
      <c r="A1217" s="1"/>
      <c r="B1217" s="20">
        <v>1205</v>
      </c>
      <c r="C1217" s="20">
        <v>2023</v>
      </c>
      <c r="D1217" s="20">
        <v>11664</v>
      </c>
      <c r="E1217" s="20" t="s">
        <v>4713</v>
      </c>
      <c r="F1217" s="20" t="s">
        <v>4714</v>
      </c>
      <c r="G1217" s="20" t="s">
        <v>4715</v>
      </c>
      <c r="H1217" s="20" t="s">
        <v>4716</v>
      </c>
      <c r="I1217" s="20" t="s">
        <v>23</v>
      </c>
      <c r="J1217" s="21">
        <v>2000</v>
      </c>
      <c r="K1217" s="20" t="s">
        <v>24</v>
      </c>
      <c r="L1217" s="21" t="s">
        <v>30</v>
      </c>
      <c r="M1217" s="21" t="s">
        <v>30</v>
      </c>
      <c r="N1217" s="20" t="s">
        <v>74</v>
      </c>
      <c r="O1217" s="20"/>
    </row>
    <row r="1218" spans="1:15" ht="13.5" customHeight="1" x14ac:dyDescent="0.25">
      <c r="A1218" s="1"/>
      <c r="B1218" s="22">
        <v>1206</v>
      </c>
      <c r="C1218" s="22">
        <v>2023</v>
      </c>
      <c r="D1218" s="22">
        <v>10836</v>
      </c>
      <c r="E1218" s="22" t="s">
        <v>4717</v>
      </c>
      <c r="F1218" s="22" t="s">
        <v>4718</v>
      </c>
      <c r="G1218" s="22" t="s">
        <v>4719</v>
      </c>
      <c r="H1218" s="22" t="s">
        <v>4720</v>
      </c>
      <c r="I1218" s="22" t="s">
        <v>23</v>
      </c>
      <c r="J1218" s="23">
        <v>2000</v>
      </c>
      <c r="K1218" s="22" t="s">
        <v>67</v>
      </c>
      <c r="L1218" s="23" t="s">
        <v>30</v>
      </c>
      <c r="M1218" s="23" t="s">
        <v>30</v>
      </c>
      <c r="N1218" s="22"/>
      <c r="O1218" s="22"/>
    </row>
    <row r="1219" spans="1:15" ht="13.5" customHeight="1" x14ac:dyDescent="0.25">
      <c r="A1219" s="1"/>
      <c r="B1219" s="20">
        <v>1207</v>
      </c>
      <c r="C1219" s="20">
        <v>2023</v>
      </c>
      <c r="D1219" s="20">
        <v>41808</v>
      </c>
      <c r="E1219" s="20" t="s">
        <v>4721</v>
      </c>
      <c r="F1219" s="20" t="s">
        <v>4722</v>
      </c>
      <c r="G1219" s="20" t="s">
        <v>4723</v>
      </c>
      <c r="H1219" s="20" t="s">
        <v>4724</v>
      </c>
      <c r="I1219" s="20" t="s">
        <v>223</v>
      </c>
      <c r="J1219" s="21">
        <v>2015</v>
      </c>
      <c r="K1219" s="20" t="s">
        <v>44</v>
      </c>
      <c r="L1219" s="21" t="s">
        <v>30</v>
      </c>
      <c r="M1219" s="21"/>
      <c r="N1219" s="20" t="s">
        <v>105</v>
      </c>
      <c r="O1219" s="20"/>
    </row>
    <row r="1220" spans="1:15" ht="13.5" customHeight="1" x14ac:dyDescent="0.25">
      <c r="A1220" s="1"/>
      <c r="B1220" s="22">
        <v>1208</v>
      </c>
      <c r="C1220" s="22">
        <v>2023</v>
      </c>
      <c r="D1220" s="22">
        <v>40618</v>
      </c>
      <c r="E1220" s="22" t="s">
        <v>4725</v>
      </c>
      <c r="F1220" s="22" t="s">
        <v>4726</v>
      </c>
      <c r="G1220" s="22"/>
      <c r="H1220" s="22" t="s">
        <v>4727</v>
      </c>
      <c r="I1220" s="22" t="s">
        <v>23</v>
      </c>
      <c r="J1220" s="23">
        <v>2000</v>
      </c>
      <c r="K1220" s="22" t="s">
        <v>39</v>
      </c>
      <c r="L1220" s="23"/>
      <c r="M1220" s="23"/>
      <c r="N1220" s="22" t="s">
        <v>53</v>
      </c>
      <c r="O1220" s="22"/>
    </row>
    <row r="1221" spans="1:15" ht="13.5" customHeight="1" x14ac:dyDescent="0.25">
      <c r="A1221" s="1"/>
      <c r="B1221" s="20">
        <v>1209</v>
      </c>
      <c r="C1221" s="20">
        <v>2023</v>
      </c>
      <c r="D1221" s="20">
        <v>10665</v>
      </c>
      <c r="E1221" s="20" t="s">
        <v>4728</v>
      </c>
      <c r="F1221" s="20" t="s">
        <v>4729</v>
      </c>
      <c r="G1221" s="20" t="s">
        <v>4730</v>
      </c>
      <c r="H1221" s="20" t="s">
        <v>4731</v>
      </c>
      <c r="I1221" s="20" t="s">
        <v>23</v>
      </c>
      <c r="J1221" s="21">
        <v>2000</v>
      </c>
      <c r="K1221" s="20" t="s">
        <v>44</v>
      </c>
      <c r="L1221" s="21" t="s">
        <v>30</v>
      </c>
      <c r="M1221" s="21" t="s">
        <v>30</v>
      </c>
      <c r="N1221" s="20"/>
      <c r="O1221" s="20"/>
    </row>
    <row r="1222" spans="1:15" ht="13.5" customHeight="1" x14ac:dyDescent="0.25">
      <c r="A1222" s="1"/>
      <c r="B1222" s="22">
        <v>1210</v>
      </c>
      <c r="C1222" s="22">
        <v>2023</v>
      </c>
      <c r="D1222" s="22">
        <v>10891</v>
      </c>
      <c r="E1222" s="22" t="s">
        <v>4732</v>
      </c>
      <c r="F1222" s="22" t="s">
        <v>4733</v>
      </c>
      <c r="G1222" s="22" t="s">
        <v>4734</v>
      </c>
      <c r="H1222" s="22" t="s">
        <v>4735</v>
      </c>
      <c r="I1222" s="22" t="s">
        <v>23</v>
      </c>
      <c r="J1222" s="23">
        <v>2000</v>
      </c>
      <c r="K1222" s="22" t="s">
        <v>67</v>
      </c>
      <c r="L1222" s="23" t="s">
        <v>30</v>
      </c>
      <c r="M1222" s="23" t="s">
        <v>30</v>
      </c>
      <c r="N1222" s="22"/>
      <c r="O1222" s="22"/>
    </row>
    <row r="1223" spans="1:15" ht="13.5" customHeight="1" x14ac:dyDescent="0.25">
      <c r="A1223" s="1"/>
      <c r="B1223" s="20">
        <v>1211</v>
      </c>
      <c r="C1223" s="20">
        <v>2023</v>
      </c>
      <c r="D1223" s="20">
        <v>11823</v>
      </c>
      <c r="E1223" s="20" t="s">
        <v>4736</v>
      </c>
      <c r="F1223" s="20" t="s">
        <v>4737</v>
      </c>
      <c r="G1223" s="20" t="s">
        <v>4738</v>
      </c>
      <c r="H1223" s="20" t="s">
        <v>4739</v>
      </c>
      <c r="I1223" s="20" t="s">
        <v>62</v>
      </c>
      <c r="J1223" s="21">
        <v>2007</v>
      </c>
      <c r="K1223" s="20" t="s">
        <v>63</v>
      </c>
      <c r="L1223" s="21" t="s">
        <v>30</v>
      </c>
      <c r="M1223" s="21" t="s">
        <v>30</v>
      </c>
      <c r="N1223" s="20" t="s">
        <v>74</v>
      </c>
      <c r="O1223" s="20"/>
    </row>
    <row r="1224" spans="1:15" ht="13.5" customHeight="1" x14ac:dyDescent="0.25">
      <c r="A1224" s="1"/>
      <c r="B1224" s="22">
        <v>1212</v>
      </c>
      <c r="C1224" s="22">
        <v>2023</v>
      </c>
      <c r="D1224" s="22">
        <v>40201</v>
      </c>
      <c r="E1224" s="22" t="s">
        <v>4740</v>
      </c>
      <c r="F1224" s="22" t="s">
        <v>4741</v>
      </c>
      <c r="G1224" s="22"/>
      <c r="H1224" s="22" t="s">
        <v>4742</v>
      </c>
      <c r="I1224" s="22" t="s">
        <v>23</v>
      </c>
      <c r="J1224" s="23">
        <v>2012</v>
      </c>
      <c r="K1224" s="22" t="s">
        <v>95</v>
      </c>
      <c r="L1224" s="23"/>
      <c r="M1224" s="23"/>
      <c r="N1224" s="22"/>
      <c r="O1224" s="22"/>
    </row>
    <row r="1225" spans="1:15" ht="13.5" customHeight="1" x14ac:dyDescent="0.25">
      <c r="A1225" s="1"/>
      <c r="B1225" s="20">
        <v>1213</v>
      </c>
      <c r="C1225" s="20">
        <v>2023</v>
      </c>
      <c r="D1225" s="20">
        <v>13412</v>
      </c>
      <c r="E1225" s="20" t="s">
        <v>4743</v>
      </c>
      <c r="F1225" s="20" t="s">
        <v>4744</v>
      </c>
      <c r="G1225" s="20" t="s">
        <v>4745</v>
      </c>
      <c r="H1225" s="20" t="s">
        <v>4746</v>
      </c>
      <c r="I1225" s="20" t="s">
        <v>23</v>
      </c>
      <c r="J1225" s="21">
        <v>2011</v>
      </c>
      <c r="K1225" s="20" t="s">
        <v>95</v>
      </c>
      <c r="L1225" s="21" t="s">
        <v>30</v>
      </c>
      <c r="M1225" s="21"/>
      <c r="N1225" s="20" t="s">
        <v>250</v>
      </c>
      <c r="O1225" s="20"/>
    </row>
    <row r="1226" spans="1:15" ht="13.5" customHeight="1" x14ac:dyDescent="0.25">
      <c r="A1226" s="1"/>
      <c r="B1226" s="22">
        <v>1214</v>
      </c>
      <c r="C1226" s="22">
        <v>2023</v>
      </c>
      <c r="D1226" s="22">
        <v>10164</v>
      </c>
      <c r="E1226" s="22" t="s">
        <v>4747</v>
      </c>
      <c r="F1226" s="22" t="s">
        <v>4748</v>
      </c>
      <c r="G1226" s="22" t="s">
        <v>4749</v>
      </c>
      <c r="H1226" s="22" t="s">
        <v>4750</v>
      </c>
      <c r="I1226" s="22" t="s">
        <v>23</v>
      </c>
      <c r="J1226" s="23">
        <v>2000</v>
      </c>
      <c r="K1226" s="22" t="s">
        <v>34</v>
      </c>
      <c r="L1226" s="23" t="s">
        <v>30</v>
      </c>
      <c r="M1226" s="23" t="s">
        <v>30</v>
      </c>
      <c r="N1226" s="22"/>
      <c r="O1226" s="22"/>
    </row>
    <row r="1227" spans="1:15" ht="13.5" customHeight="1" x14ac:dyDescent="0.25">
      <c r="A1227" s="1"/>
      <c r="B1227" s="20">
        <v>1215</v>
      </c>
      <c r="C1227" s="20">
        <v>2023</v>
      </c>
      <c r="D1227" s="20">
        <v>28</v>
      </c>
      <c r="E1227" s="20" t="s">
        <v>4751</v>
      </c>
      <c r="F1227" s="20" t="s">
        <v>4752</v>
      </c>
      <c r="G1227" s="20" t="s">
        <v>4753</v>
      </c>
      <c r="H1227" s="20" t="s">
        <v>4754</v>
      </c>
      <c r="I1227" s="20" t="s">
        <v>223</v>
      </c>
      <c r="J1227" s="21">
        <v>2001</v>
      </c>
      <c r="K1227" s="20" t="s">
        <v>44</v>
      </c>
      <c r="L1227" s="21" t="s">
        <v>30</v>
      </c>
      <c r="M1227" s="21" t="s">
        <v>30</v>
      </c>
      <c r="N1227" s="20"/>
      <c r="O1227" s="20"/>
    </row>
    <row r="1228" spans="1:15" ht="13.5" customHeight="1" x14ac:dyDescent="0.25">
      <c r="A1228" s="1"/>
      <c r="B1228" s="22">
        <v>1216</v>
      </c>
      <c r="C1228" s="22">
        <v>2023</v>
      </c>
      <c r="D1228" s="22">
        <v>10893</v>
      </c>
      <c r="E1228" s="22" t="s">
        <v>4755</v>
      </c>
      <c r="F1228" s="22" t="s">
        <v>4756</v>
      </c>
      <c r="G1228" s="22" t="s">
        <v>4757</v>
      </c>
      <c r="H1228" s="22" t="s">
        <v>4758</v>
      </c>
      <c r="I1228" s="22" t="s">
        <v>62</v>
      </c>
      <c r="J1228" s="23">
        <v>2000</v>
      </c>
      <c r="K1228" s="22" t="s">
        <v>34</v>
      </c>
      <c r="L1228" s="23" t="s">
        <v>30</v>
      </c>
      <c r="M1228" s="23" t="s">
        <v>30</v>
      </c>
      <c r="N1228" s="22"/>
      <c r="O1228" s="22"/>
    </row>
    <row r="1229" spans="1:15" ht="13.5" customHeight="1" x14ac:dyDescent="0.25">
      <c r="A1229" s="1"/>
      <c r="B1229" s="20">
        <v>1217</v>
      </c>
      <c r="C1229" s="20">
        <v>2023</v>
      </c>
      <c r="D1229" s="20">
        <v>191</v>
      </c>
      <c r="E1229" s="20" t="s">
        <v>4759</v>
      </c>
      <c r="F1229" s="20" t="s">
        <v>4760</v>
      </c>
      <c r="G1229" s="20" t="s">
        <v>4761</v>
      </c>
      <c r="H1229" s="20" t="s">
        <v>4762</v>
      </c>
      <c r="I1229" s="20" t="s">
        <v>23</v>
      </c>
      <c r="J1229" s="21">
        <v>2000</v>
      </c>
      <c r="K1229" s="20" t="s">
        <v>475</v>
      </c>
      <c r="L1229" s="21" t="s">
        <v>30</v>
      </c>
      <c r="M1229" s="21" t="s">
        <v>30</v>
      </c>
      <c r="N1229" s="20"/>
      <c r="O1229" s="20"/>
    </row>
    <row r="1230" spans="1:15" ht="13.5" customHeight="1" x14ac:dyDescent="0.25">
      <c r="A1230" s="1"/>
      <c r="B1230" s="22">
        <v>1218</v>
      </c>
      <c r="C1230" s="22">
        <v>2023</v>
      </c>
      <c r="D1230" s="22">
        <v>11447</v>
      </c>
      <c r="E1230" s="22" t="s">
        <v>4763</v>
      </c>
      <c r="F1230" s="22" t="s">
        <v>4764</v>
      </c>
      <c r="G1230" s="22" t="s">
        <v>4765</v>
      </c>
      <c r="H1230" s="22" t="s">
        <v>4766</v>
      </c>
      <c r="I1230" s="22" t="s">
        <v>62</v>
      </c>
      <c r="J1230" s="23">
        <v>2000</v>
      </c>
      <c r="K1230" s="22" t="s">
        <v>63</v>
      </c>
      <c r="L1230" s="23" t="s">
        <v>30</v>
      </c>
      <c r="M1230" s="23" t="s">
        <v>30</v>
      </c>
      <c r="N1230" s="22"/>
      <c r="O1230" s="22"/>
    </row>
    <row r="1231" spans="1:15" ht="13.5" customHeight="1" x14ac:dyDescent="0.25">
      <c r="A1231" s="1"/>
      <c r="B1231" s="20">
        <v>1219</v>
      </c>
      <c r="C1231" s="20">
        <v>2023</v>
      </c>
      <c r="D1231" s="20">
        <v>11292</v>
      </c>
      <c r="E1231" s="20" t="s">
        <v>4767</v>
      </c>
      <c r="F1231" s="20" t="s">
        <v>4768</v>
      </c>
      <c r="G1231" s="20" t="s">
        <v>4769</v>
      </c>
      <c r="H1231" s="20" t="s">
        <v>4770</v>
      </c>
      <c r="I1231" s="20" t="s">
        <v>23</v>
      </c>
      <c r="J1231" s="21">
        <v>2005</v>
      </c>
      <c r="K1231" s="20" t="s">
        <v>394</v>
      </c>
      <c r="L1231" s="21" t="s">
        <v>30</v>
      </c>
      <c r="M1231" s="21" t="s">
        <v>30</v>
      </c>
      <c r="N1231" s="20"/>
      <c r="O1231" s="20"/>
    </row>
    <row r="1232" spans="1:15" ht="13.5" customHeight="1" x14ac:dyDescent="0.25">
      <c r="A1232" s="1"/>
      <c r="B1232" s="22">
        <v>1220</v>
      </c>
      <c r="C1232" s="22">
        <v>2023</v>
      </c>
      <c r="D1232" s="22">
        <v>11668</v>
      </c>
      <c r="E1232" s="22" t="s">
        <v>4771</v>
      </c>
      <c r="F1232" s="22" t="s">
        <v>4772</v>
      </c>
      <c r="G1232" s="22" t="s">
        <v>4773</v>
      </c>
      <c r="H1232" s="22" t="s">
        <v>4774</v>
      </c>
      <c r="I1232" s="22" t="s">
        <v>23</v>
      </c>
      <c r="J1232" s="23">
        <v>2001</v>
      </c>
      <c r="K1232" s="22" t="s">
        <v>24</v>
      </c>
      <c r="L1232" s="23" t="s">
        <v>30</v>
      </c>
      <c r="M1232" s="23" t="s">
        <v>30</v>
      </c>
      <c r="N1232" s="22" t="s">
        <v>74</v>
      </c>
      <c r="O1232" s="22"/>
    </row>
    <row r="1233" spans="1:15" ht="13.5" customHeight="1" x14ac:dyDescent="0.25">
      <c r="A1233" s="1"/>
      <c r="B1233" s="20">
        <v>1221</v>
      </c>
      <c r="C1233" s="20">
        <v>2023</v>
      </c>
      <c r="D1233" s="20">
        <v>10834</v>
      </c>
      <c r="E1233" s="20" t="s">
        <v>4775</v>
      </c>
      <c r="F1233" s="20" t="s">
        <v>4776</v>
      </c>
      <c r="G1233" s="20" t="s">
        <v>4777</v>
      </c>
      <c r="H1233" s="20" t="s">
        <v>4778</v>
      </c>
      <c r="I1233" s="20" t="s">
        <v>23</v>
      </c>
      <c r="J1233" s="21">
        <v>2000</v>
      </c>
      <c r="K1233" s="20" t="s">
        <v>184</v>
      </c>
      <c r="L1233" s="21" t="s">
        <v>30</v>
      </c>
      <c r="M1233" s="21" t="s">
        <v>30</v>
      </c>
      <c r="N1233" s="20"/>
      <c r="O1233" s="20"/>
    </row>
    <row r="1234" spans="1:15" ht="13.5" customHeight="1" x14ac:dyDescent="0.25">
      <c r="A1234" s="1"/>
      <c r="B1234" s="22">
        <v>1222</v>
      </c>
      <c r="C1234" s="22">
        <v>2023</v>
      </c>
      <c r="D1234" s="22">
        <v>10896</v>
      </c>
      <c r="E1234" s="22" t="s">
        <v>4779</v>
      </c>
      <c r="F1234" s="22" t="s">
        <v>4780</v>
      </c>
      <c r="G1234" s="22" t="s">
        <v>4781</v>
      </c>
      <c r="H1234" s="22" t="s">
        <v>4782</v>
      </c>
      <c r="I1234" s="22" t="s">
        <v>23</v>
      </c>
      <c r="J1234" s="23">
        <v>2000</v>
      </c>
      <c r="K1234" s="22" t="s">
        <v>39</v>
      </c>
      <c r="L1234" s="23" t="s">
        <v>30</v>
      </c>
      <c r="M1234" s="23" t="s">
        <v>30</v>
      </c>
      <c r="N1234" s="22"/>
      <c r="O1234" s="22"/>
    </row>
    <row r="1235" spans="1:15" ht="13.5" customHeight="1" x14ac:dyDescent="0.25">
      <c r="A1235" s="1"/>
      <c r="B1235" s="20">
        <v>1223</v>
      </c>
      <c r="C1235" s="20">
        <v>2023</v>
      </c>
      <c r="D1235" s="20">
        <v>10693</v>
      </c>
      <c r="E1235" s="20" t="s">
        <v>4783</v>
      </c>
      <c r="F1235" s="20" t="s">
        <v>4784</v>
      </c>
      <c r="G1235" s="20" t="s">
        <v>4785</v>
      </c>
      <c r="H1235" s="20" t="s">
        <v>4786</v>
      </c>
      <c r="I1235" s="20" t="s">
        <v>23</v>
      </c>
      <c r="J1235" s="21">
        <v>2000</v>
      </c>
      <c r="K1235" s="20" t="s">
        <v>475</v>
      </c>
      <c r="L1235" s="21" t="s">
        <v>30</v>
      </c>
      <c r="M1235" s="21" t="s">
        <v>30</v>
      </c>
      <c r="N1235" s="20"/>
      <c r="O1235" s="20"/>
    </row>
    <row r="1236" spans="1:15" ht="13.5" customHeight="1" x14ac:dyDescent="0.25">
      <c r="A1236" s="1"/>
      <c r="B1236" s="22">
        <v>1224</v>
      </c>
      <c r="C1236" s="22">
        <v>2023</v>
      </c>
      <c r="D1236" s="22">
        <v>11784</v>
      </c>
      <c r="E1236" s="22" t="s">
        <v>4787</v>
      </c>
      <c r="F1236" s="22" t="s">
        <v>4788</v>
      </c>
      <c r="G1236" s="22" t="s">
        <v>4789</v>
      </c>
      <c r="H1236" s="22" t="s">
        <v>4790</v>
      </c>
      <c r="I1236" s="22" t="s">
        <v>223</v>
      </c>
      <c r="J1236" s="23">
        <v>2007</v>
      </c>
      <c r="K1236" s="22" t="s">
        <v>44</v>
      </c>
      <c r="L1236" s="23" t="s">
        <v>30</v>
      </c>
      <c r="M1236" s="23" t="s">
        <v>30</v>
      </c>
      <c r="N1236" s="22" t="s">
        <v>245</v>
      </c>
      <c r="O1236" s="22"/>
    </row>
    <row r="1237" spans="1:15" ht="13.5" customHeight="1" x14ac:dyDescent="0.25">
      <c r="A1237" s="1"/>
      <c r="B1237" s="20">
        <v>1225</v>
      </c>
      <c r="C1237" s="20">
        <v>2023</v>
      </c>
      <c r="D1237" s="20">
        <v>41981</v>
      </c>
      <c r="E1237" s="20" t="s">
        <v>4791</v>
      </c>
      <c r="F1237" s="20" t="s">
        <v>4792</v>
      </c>
      <c r="G1237" s="20" t="s">
        <v>4793</v>
      </c>
      <c r="H1237" s="20" t="s">
        <v>4794</v>
      </c>
      <c r="I1237" s="20" t="s">
        <v>100</v>
      </c>
      <c r="J1237" s="21">
        <v>2011</v>
      </c>
      <c r="K1237" s="20" t="s">
        <v>24</v>
      </c>
      <c r="L1237" s="21" t="s">
        <v>30</v>
      </c>
      <c r="M1237" s="21"/>
      <c r="N1237" s="20" t="s">
        <v>151</v>
      </c>
      <c r="O1237" s="20"/>
    </row>
    <row r="1238" spans="1:15" ht="13.5" customHeight="1" x14ac:dyDescent="0.25">
      <c r="A1238" s="1"/>
      <c r="B1238" s="22">
        <v>1226</v>
      </c>
      <c r="C1238" s="22">
        <v>2023</v>
      </c>
      <c r="D1238" s="22">
        <v>10895</v>
      </c>
      <c r="E1238" s="22" t="s">
        <v>4795</v>
      </c>
      <c r="F1238" s="22" t="s">
        <v>4796</v>
      </c>
      <c r="G1238" s="22" t="s">
        <v>4797</v>
      </c>
      <c r="H1238" s="22" t="s">
        <v>4798</v>
      </c>
      <c r="I1238" s="22" t="s">
        <v>23</v>
      </c>
      <c r="J1238" s="23">
        <v>2000</v>
      </c>
      <c r="K1238" s="22" t="s">
        <v>34</v>
      </c>
      <c r="L1238" s="23" t="s">
        <v>30</v>
      </c>
      <c r="M1238" s="23" t="s">
        <v>30</v>
      </c>
      <c r="N1238" s="22"/>
      <c r="O1238" s="22"/>
    </row>
    <row r="1239" spans="1:15" ht="13.5" customHeight="1" x14ac:dyDescent="0.25">
      <c r="A1239" s="1"/>
      <c r="B1239" s="20">
        <v>1227</v>
      </c>
      <c r="C1239" s="20">
        <v>2023</v>
      </c>
      <c r="D1239" s="20">
        <v>11694</v>
      </c>
      <c r="E1239" s="20" t="s">
        <v>4799</v>
      </c>
      <c r="F1239" s="20" t="s">
        <v>4800</v>
      </c>
      <c r="G1239" s="20"/>
      <c r="H1239" s="20" t="s">
        <v>4801</v>
      </c>
      <c r="I1239" s="20" t="s">
        <v>23</v>
      </c>
      <c r="J1239" s="21">
        <v>2007</v>
      </c>
      <c r="K1239" s="20" t="s">
        <v>24</v>
      </c>
      <c r="L1239" s="21"/>
      <c r="M1239" s="21" t="s">
        <v>30</v>
      </c>
      <c r="N1239" s="20"/>
      <c r="O1239" s="20"/>
    </row>
    <row r="1240" spans="1:15" ht="13.5" customHeight="1" x14ac:dyDescent="0.25">
      <c r="A1240" s="1"/>
      <c r="B1240" s="22">
        <v>1228</v>
      </c>
      <c r="C1240" s="22">
        <v>2023</v>
      </c>
      <c r="D1240" s="22">
        <v>13197</v>
      </c>
      <c r="E1240" s="22" t="s">
        <v>4802</v>
      </c>
      <c r="F1240" s="22" t="s">
        <v>4803</v>
      </c>
      <c r="G1240" s="22" t="s">
        <v>4804</v>
      </c>
      <c r="H1240" s="22" t="s">
        <v>4805</v>
      </c>
      <c r="I1240" s="22" t="s">
        <v>23</v>
      </c>
      <c r="J1240" s="23">
        <v>2010</v>
      </c>
      <c r="K1240" s="22" t="s">
        <v>24</v>
      </c>
      <c r="L1240" s="23" t="s">
        <v>30</v>
      </c>
      <c r="M1240" s="23"/>
      <c r="N1240" s="22" t="s">
        <v>173</v>
      </c>
      <c r="O1240" s="22"/>
    </row>
    <row r="1241" spans="1:15" ht="13.5" customHeight="1" x14ac:dyDescent="0.25">
      <c r="A1241" s="1"/>
      <c r="B1241" s="20">
        <v>1229</v>
      </c>
      <c r="C1241" s="20">
        <v>2023</v>
      </c>
      <c r="D1241" s="20">
        <v>11676</v>
      </c>
      <c r="E1241" s="20" t="s">
        <v>4806</v>
      </c>
      <c r="F1241" s="20" t="s">
        <v>4807</v>
      </c>
      <c r="G1241" s="20" t="s">
        <v>4808</v>
      </c>
      <c r="H1241" s="20" t="s">
        <v>4809</v>
      </c>
      <c r="I1241" s="20" t="s">
        <v>4810</v>
      </c>
      <c r="J1241" s="21">
        <v>2000</v>
      </c>
      <c r="K1241" s="20" t="s">
        <v>34</v>
      </c>
      <c r="L1241" s="21" t="s">
        <v>30</v>
      </c>
      <c r="M1241" s="21" t="s">
        <v>30</v>
      </c>
      <c r="N1241" s="20" t="s">
        <v>74</v>
      </c>
      <c r="O1241" s="20"/>
    </row>
    <row r="1242" spans="1:15" ht="13.5" customHeight="1" x14ac:dyDescent="0.25">
      <c r="A1242" s="1"/>
      <c r="B1242" s="22">
        <v>1230</v>
      </c>
      <c r="C1242" s="22">
        <v>2023</v>
      </c>
      <c r="D1242" s="22">
        <v>41686</v>
      </c>
      <c r="E1242" s="22" t="s">
        <v>4811</v>
      </c>
      <c r="F1242" s="22" t="s">
        <v>4812</v>
      </c>
      <c r="G1242" s="22"/>
      <c r="H1242" s="22" t="s">
        <v>4813</v>
      </c>
      <c r="I1242" s="22" t="s">
        <v>23</v>
      </c>
      <c r="J1242" s="23">
        <v>2017</v>
      </c>
      <c r="K1242" s="22" t="s">
        <v>73</v>
      </c>
      <c r="L1242" s="23"/>
      <c r="M1242" s="23"/>
      <c r="N1242" s="22" t="s">
        <v>265</v>
      </c>
      <c r="O1242" s="22"/>
    </row>
    <row r="1243" spans="1:15" ht="13.5" customHeight="1" x14ac:dyDescent="0.25">
      <c r="A1243" s="1"/>
      <c r="B1243" s="20">
        <v>1231</v>
      </c>
      <c r="C1243" s="20">
        <v>2023</v>
      </c>
      <c r="D1243" s="20">
        <v>41</v>
      </c>
      <c r="E1243" s="20" t="s">
        <v>4814</v>
      </c>
      <c r="F1243" s="20" t="s">
        <v>4815</v>
      </c>
      <c r="G1243" s="20" t="s">
        <v>4816</v>
      </c>
      <c r="H1243" s="20" t="s">
        <v>4817</v>
      </c>
      <c r="I1243" s="20" t="s">
        <v>223</v>
      </c>
      <c r="J1243" s="21">
        <v>2000</v>
      </c>
      <c r="K1243" s="20" t="s">
        <v>44</v>
      </c>
      <c r="L1243" s="21" t="s">
        <v>30</v>
      </c>
      <c r="M1243" s="21" t="s">
        <v>30</v>
      </c>
      <c r="N1243" s="20"/>
      <c r="O1243" s="20"/>
    </row>
    <row r="1244" spans="1:15" ht="13.5" customHeight="1" x14ac:dyDescent="0.25">
      <c r="A1244" s="1"/>
      <c r="B1244" s="22">
        <v>1232</v>
      </c>
      <c r="C1244" s="22">
        <v>2023</v>
      </c>
      <c r="D1244" s="22">
        <v>11959</v>
      </c>
      <c r="E1244" s="22" t="s">
        <v>4818</v>
      </c>
      <c r="F1244" s="22" t="s">
        <v>4819</v>
      </c>
      <c r="G1244" s="22" t="s">
        <v>4820</v>
      </c>
      <c r="H1244" s="22" t="s">
        <v>4821</v>
      </c>
      <c r="I1244" s="22" t="s">
        <v>62</v>
      </c>
      <c r="J1244" s="23">
        <v>2007</v>
      </c>
      <c r="K1244" s="22" t="s">
        <v>63</v>
      </c>
      <c r="L1244" s="23" t="s">
        <v>30</v>
      </c>
      <c r="M1244" s="23" t="s">
        <v>30</v>
      </c>
      <c r="N1244" s="22" t="s">
        <v>74</v>
      </c>
      <c r="O1244" s="22"/>
    </row>
    <row r="1245" spans="1:15" ht="13.5" customHeight="1" x14ac:dyDescent="0.25">
      <c r="A1245" s="1"/>
      <c r="B1245" s="20">
        <v>1233</v>
      </c>
      <c r="C1245" s="20">
        <v>2023</v>
      </c>
      <c r="D1245" s="20">
        <v>10894</v>
      </c>
      <c r="E1245" s="20" t="s">
        <v>4822</v>
      </c>
      <c r="F1245" s="20" t="s">
        <v>4823</v>
      </c>
      <c r="G1245" s="20"/>
      <c r="H1245" s="20" t="s">
        <v>4824</v>
      </c>
      <c r="I1245" s="20" t="s">
        <v>23</v>
      </c>
      <c r="J1245" s="21">
        <v>2000</v>
      </c>
      <c r="K1245" s="20" t="s">
        <v>63</v>
      </c>
      <c r="L1245" s="21"/>
      <c r="M1245" s="21" t="s">
        <v>30</v>
      </c>
      <c r="N1245" s="20"/>
      <c r="O1245" s="20"/>
    </row>
    <row r="1246" spans="1:15" ht="13.5" customHeight="1" x14ac:dyDescent="0.25">
      <c r="A1246" s="1"/>
      <c r="B1246" s="22">
        <v>1234</v>
      </c>
      <c r="C1246" s="22">
        <v>2023</v>
      </c>
      <c r="D1246" s="22">
        <v>10899</v>
      </c>
      <c r="E1246" s="22" t="s">
        <v>4825</v>
      </c>
      <c r="F1246" s="22" t="s">
        <v>4826</v>
      </c>
      <c r="G1246" s="22"/>
      <c r="H1246" s="22" t="s">
        <v>4827</v>
      </c>
      <c r="I1246" s="22" t="s">
        <v>23</v>
      </c>
      <c r="J1246" s="23">
        <v>2000</v>
      </c>
      <c r="K1246" s="22" t="s">
        <v>39</v>
      </c>
      <c r="L1246" s="23"/>
      <c r="M1246" s="23" t="s">
        <v>30</v>
      </c>
      <c r="N1246" s="22"/>
      <c r="O1246" s="22"/>
    </row>
    <row r="1247" spans="1:15" ht="13.5" customHeight="1" x14ac:dyDescent="0.25">
      <c r="A1247" s="1"/>
      <c r="B1247" s="20">
        <v>1235</v>
      </c>
      <c r="C1247" s="20">
        <v>2023</v>
      </c>
      <c r="D1247" s="20">
        <v>535</v>
      </c>
      <c r="E1247" s="20" t="s">
        <v>4828</v>
      </c>
      <c r="F1247" s="20" t="s">
        <v>4829</v>
      </c>
      <c r="G1247" s="20" t="s">
        <v>4830</v>
      </c>
      <c r="H1247" s="20" t="s">
        <v>4831</v>
      </c>
      <c r="I1247" s="20" t="s">
        <v>23</v>
      </c>
      <c r="J1247" s="21">
        <v>2000</v>
      </c>
      <c r="K1247" s="20" t="s">
        <v>39</v>
      </c>
      <c r="L1247" s="21" t="s">
        <v>30</v>
      </c>
      <c r="M1247" s="21" t="s">
        <v>30</v>
      </c>
      <c r="N1247" s="20"/>
      <c r="O1247" s="20"/>
    </row>
    <row r="1248" spans="1:15" ht="13.5" customHeight="1" x14ac:dyDescent="0.25">
      <c r="A1248" s="1"/>
      <c r="B1248" s="22">
        <v>1236</v>
      </c>
      <c r="C1248" s="22">
        <v>2023</v>
      </c>
      <c r="D1248" s="22">
        <v>12029</v>
      </c>
      <c r="E1248" s="22" t="s">
        <v>4832</v>
      </c>
      <c r="F1248" s="22" t="s">
        <v>4833</v>
      </c>
      <c r="G1248" s="22"/>
      <c r="H1248" s="22" t="s">
        <v>4834</v>
      </c>
      <c r="I1248" s="22" t="s">
        <v>23</v>
      </c>
      <c r="J1248" s="23">
        <v>2000</v>
      </c>
      <c r="K1248" s="22" t="s">
        <v>39</v>
      </c>
      <c r="L1248" s="23"/>
      <c r="M1248" s="23" t="s">
        <v>30</v>
      </c>
      <c r="N1248" s="22" t="s">
        <v>74</v>
      </c>
      <c r="O1248" s="22"/>
    </row>
    <row r="1249" spans="1:15" ht="13.5" customHeight="1" x14ac:dyDescent="0.25">
      <c r="A1249" s="1"/>
      <c r="B1249" s="20">
        <v>1237</v>
      </c>
      <c r="C1249" s="20">
        <v>2023</v>
      </c>
      <c r="D1249" s="20">
        <v>11605</v>
      </c>
      <c r="E1249" s="20" t="s">
        <v>4835</v>
      </c>
      <c r="F1249" s="20" t="s">
        <v>4836</v>
      </c>
      <c r="G1249" s="20" t="s">
        <v>4837</v>
      </c>
      <c r="H1249" s="20" t="s">
        <v>4838</v>
      </c>
      <c r="I1249" s="20" t="s">
        <v>23</v>
      </c>
      <c r="J1249" s="21">
        <v>2000</v>
      </c>
      <c r="K1249" s="20" t="s">
        <v>39</v>
      </c>
      <c r="L1249" s="21" t="s">
        <v>30</v>
      </c>
      <c r="M1249" s="21" t="s">
        <v>30</v>
      </c>
      <c r="N1249" s="20" t="s">
        <v>74</v>
      </c>
      <c r="O1249" s="20"/>
    </row>
    <row r="1250" spans="1:15" ht="13.5" customHeight="1" x14ac:dyDescent="0.25">
      <c r="A1250" s="1"/>
      <c r="B1250" s="22">
        <v>1238</v>
      </c>
      <c r="C1250" s="22">
        <v>2023</v>
      </c>
      <c r="D1250" s="22">
        <v>11606</v>
      </c>
      <c r="E1250" s="22" t="s">
        <v>4839</v>
      </c>
      <c r="F1250" s="22" t="s">
        <v>4840</v>
      </c>
      <c r="G1250" s="22" t="s">
        <v>4841</v>
      </c>
      <c r="H1250" s="22" t="s">
        <v>4842</v>
      </c>
      <c r="I1250" s="22" t="s">
        <v>23</v>
      </c>
      <c r="J1250" s="23">
        <v>2000</v>
      </c>
      <c r="K1250" s="22" t="s">
        <v>39</v>
      </c>
      <c r="L1250" s="23" t="s">
        <v>30</v>
      </c>
      <c r="M1250" s="23" t="s">
        <v>30</v>
      </c>
      <c r="N1250" s="22" t="s">
        <v>74</v>
      </c>
      <c r="O1250" s="22"/>
    </row>
    <row r="1251" spans="1:15" ht="13.5" customHeight="1" x14ac:dyDescent="0.25">
      <c r="A1251" s="1"/>
      <c r="B1251" s="20">
        <v>1239</v>
      </c>
      <c r="C1251" s="20">
        <v>2023</v>
      </c>
      <c r="D1251" s="20">
        <v>10327</v>
      </c>
      <c r="E1251" s="20" t="s">
        <v>4843</v>
      </c>
      <c r="F1251" s="20" t="s">
        <v>4844</v>
      </c>
      <c r="G1251" s="20" t="s">
        <v>4845</v>
      </c>
      <c r="H1251" s="20" t="s">
        <v>4846</v>
      </c>
      <c r="I1251" s="20" t="s">
        <v>23</v>
      </c>
      <c r="J1251" s="21">
        <v>2000</v>
      </c>
      <c r="K1251" s="20" t="s">
        <v>34</v>
      </c>
      <c r="L1251" s="21" t="s">
        <v>30</v>
      </c>
      <c r="M1251" s="21"/>
      <c r="N1251" s="20"/>
      <c r="O1251" s="20"/>
    </row>
    <row r="1252" spans="1:15" ht="13.5" customHeight="1" x14ac:dyDescent="0.25">
      <c r="A1252" s="1"/>
      <c r="B1252" s="22">
        <v>1240</v>
      </c>
      <c r="C1252" s="22">
        <v>2023</v>
      </c>
      <c r="D1252" s="22">
        <v>12041</v>
      </c>
      <c r="E1252" s="22" t="s">
        <v>4847</v>
      </c>
      <c r="F1252" s="22" t="s">
        <v>4848</v>
      </c>
      <c r="G1252" s="22"/>
      <c r="H1252" s="22" t="s">
        <v>4849</v>
      </c>
      <c r="I1252" s="22" t="s">
        <v>23</v>
      </c>
      <c r="J1252" s="23">
        <v>2000</v>
      </c>
      <c r="K1252" s="22" t="s">
        <v>34</v>
      </c>
      <c r="L1252" s="23"/>
      <c r="M1252" s="23" t="s">
        <v>30</v>
      </c>
      <c r="N1252" s="22" t="s">
        <v>245</v>
      </c>
      <c r="O1252" s="22"/>
    </row>
    <row r="1253" spans="1:15" ht="13.5" customHeight="1" x14ac:dyDescent="0.25">
      <c r="A1253" s="1"/>
      <c r="B1253" s="20">
        <v>1241</v>
      </c>
      <c r="C1253" s="20">
        <v>2023</v>
      </c>
      <c r="D1253" s="20">
        <v>190</v>
      </c>
      <c r="E1253" s="20" t="s">
        <v>4850</v>
      </c>
      <c r="F1253" s="20" t="s">
        <v>4851</v>
      </c>
      <c r="G1253" s="20" t="s">
        <v>4852</v>
      </c>
      <c r="H1253" s="20" t="s">
        <v>4853</v>
      </c>
      <c r="I1253" s="20" t="s">
        <v>23</v>
      </c>
      <c r="J1253" s="21">
        <v>2000</v>
      </c>
      <c r="K1253" s="20" t="s">
        <v>95</v>
      </c>
      <c r="L1253" s="21" t="s">
        <v>30</v>
      </c>
      <c r="M1253" s="21" t="s">
        <v>30</v>
      </c>
      <c r="N1253" s="20"/>
      <c r="O1253" s="20"/>
    </row>
    <row r="1254" spans="1:15" ht="13.5" customHeight="1" x14ac:dyDescent="0.25">
      <c r="A1254" s="1"/>
      <c r="B1254" s="22">
        <v>1242</v>
      </c>
      <c r="C1254" s="22">
        <v>2023</v>
      </c>
      <c r="D1254" s="22">
        <v>11442</v>
      </c>
      <c r="E1254" s="22" t="s">
        <v>4854</v>
      </c>
      <c r="F1254" s="22" t="s">
        <v>4855</v>
      </c>
      <c r="G1254" s="22" t="s">
        <v>4856</v>
      </c>
      <c r="H1254" s="22" t="s">
        <v>4857</v>
      </c>
      <c r="I1254" s="22" t="s">
        <v>94</v>
      </c>
      <c r="J1254" s="23">
        <v>2001</v>
      </c>
      <c r="K1254" s="22" t="s">
        <v>95</v>
      </c>
      <c r="L1254" s="23" t="s">
        <v>30</v>
      </c>
      <c r="M1254" s="23" t="s">
        <v>30</v>
      </c>
      <c r="N1254" s="22"/>
      <c r="O1254" s="22"/>
    </row>
    <row r="1255" spans="1:15" ht="13.5" customHeight="1" x14ac:dyDescent="0.25">
      <c r="A1255" s="1"/>
      <c r="B1255" s="20">
        <v>1243</v>
      </c>
      <c r="C1255" s="20">
        <v>2023</v>
      </c>
      <c r="D1255" s="20">
        <v>10109</v>
      </c>
      <c r="E1255" s="20" t="s">
        <v>4858</v>
      </c>
      <c r="F1255" s="20" t="s">
        <v>4859</v>
      </c>
      <c r="G1255" s="20" t="s">
        <v>4860</v>
      </c>
      <c r="H1255" s="20" t="s">
        <v>4861</v>
      </c>
      <c r="I1255" s="20" t="s">
        <v>23</v>
      </c>
      <c r="J1255" s="21">
        <v>2000</v>
      </c>
      <c r="K1255" s="20" t="s">
        <v>475</v>
      </c>
      <c r="L1255" s="21" t="s">
        <v>30</v>
      </c>
      <c r="M1255" s="21" t="s">
        <v>30</v>
      </c>
      <c r="N1255" s="20"/>
      <c r="O1255" s="20"/>
    </row>
    <row r="1256" spans="1:15" ht="13.5" customHeight="1" x14ac:dyDescent="0.25">
      <c r="A1256" s="1"/>
      <c r="B1256" s="22">
        <v>1244</v>
      </c>
      <c r="C1256" s="22">
        <v>2023</v>
      </c>
      <c r="D1256" s="22">
        <v>22</v>
      </c>
      <c r="E1256" s="22" t="s">
        <v>4862</v>
      </c>
      <c r="F1256" s="22" t="s">
        <v>4863</v>
      </c>
      <c r="G1256" s="22" t="s">
        <v>4864</v>
      </c>
      <c r="H1256" s="22" t="s">
        <v>4865</v>
      </c>
      <c r="I1256" s="22" t="s">
        <v>223</v>
      </c>
      <c r="J1256" s="23">
        <v>2000</v>
      </c>
      <c r="K1256" s="22" t="s">
        <v>44</v>
      </c>
      <c r="L1256" s="23" t="s">
        <v>30</v>
      </c>
      <c r="M1256" s="23" t="s">
        <v>30</v>
      </c>
      <c r="N1256" s="22"/>
      <c r="O1256" s="22"/>
    </row>
    <row r="1257" spans="1:15" ht="13.5" customHeight="1" x14ac:dyDescent="0.25">
      <c r="A1257" s="1"/>
      <c r="B1257" s="20">
        <v>1245</v>
      </c>
      <c r="C1257" s="20">
        <v>2023</v>
      </c>
      <c r="D1257" s="20">
        <v>41651</v>
      </c>
      <c r="E1257" s="20" t="s">
        <v>4866</v>
      </c>
      <c r="F1257" s="20" t="s">
        <v>4867</v>
      </c>
      <c r="G1257" s="20" t="s">
        <v>4868</v>
      </c>
      <c r="H1257" s="20" t="s">
        <v>4869</v>
      </c>
      <c r="I1257" s="20" t="s">
        <v>23</v>
      </c>
      <c r="J1257" s="21">
        <v>2017</v>
      </c>
      <c r="K1257" s="20" t="s">
        <v>95</v>
      </c>
      <c r="L1257" s="21" t="s">
        <v>30</v>
      </c>
      <c r="M1257" s="21"/>
      <c r="N1257" s="20" t="s">
        <v>265</v>
      </c>
      <c r="O1257" s="20"/>
    </row>
    <row r="1258" spans="1:15" ht="13.5" customHeight="1" x14ac:dyDescent="0.25">
      <c r="A1258" s="1"/>
      <c r="B1258" s="22">
        <v>1246</v>
      </c>
      <c r="C1258" s="22">
        <v>2023</v>
      </c>
      <c r="D1258" s="22">
        <v>40497</v>
      </c>
      <c r="E1258" s="22" t="s">
        <v>4870</v>
      </c>
      <c r="F1258" s="22" t="s">
        <v>4871</v>
      </c>
      <c r="G1258" s="22"/>
      <c r="H1258" s="22" t="s">
        <v>4872</v>
      </c>
      <c r="I1258" s="22" t="s">
        <v>23</v>
      </c>
      <c r="J1258" s="23">
        <v>2014</v>
      </c>
      <c r="K1258" s="22" t="s">
        <v>29</v>
      </c>
      <c r="L1258" s="23"/>
      <c r="M1258" s="23"/>
      <c r="N1258" s="22"/>
      <c r="O1258" s="22"/>
    </row>
    <row r="1259" spans="1:15" ht="13.5" customHeight="1" x14ac:dyDescent="0.25">
      <c r="A1259" s="1"/>
      <c r="B1259" s="20">
        <v>1247</v>
      </c>
      <c r="C1259" s="20">
        <v>2023</v>
      </c>
      <c r="D1259" s="20">
        <v>10898</v>
      </c>
      <c r="E1259" s="20" t="s">
        <v>4873</v>
      </c>
      <c r="F1259" s="20" t="s">
        <v>4874</v>
      </c>
      <c r="G1259" s="20" t="s">
        <v>4875</v>
      </c>
      <c r="H1259" s="20" t="s">
        <v>4876</v>
      </c>
      <c r="I1259" s="20" t="s">
        <v>23</v>
      </c>
      <c r="J1259" s="21">
        <v>2000</v>
      </c>
      <c r="K1259" s="20" t="s">
        <v>44</v>
      </c>
      <c r="L1259" s="21" t="s">
        <v>30</v>
      </c>
      <c r="M1259" s="21" t="s">
        <v>30</v>
      </c>
      <c r="N1259" s="20"/>
      <c r="O1259" s="20"/>
    </row>
    <row r="1260" spans="1:15" ht="13.5" customHeight="1" x14ac:dyDescent="0.25">
      <c r="A1260" s="1"/>
      <c r="B1260" s="22">
        <v>1248</v>
      </c>
      <c r="C1260" s="22">
        <v>2023</v>
      </c>
      <c r="D1260" s="22">
        <v>10723</v>
      </c>
      <c r="E1260" s="22" t="s">
        <v>4877</v>
      </c>
      <c r="F1260" s="22" t="s">
        <v>4878</v>
      </c>
      <c r="G1260" s="22" t="s">
        <v>4879</v>
      </c>
      <c r="H1260" s="22" t="s">
        <v>4880</v>
      </c>
      <c r="I1260" s="22" t="s">
        <v>23</v>
      </c>
      <c r="J1260" s="23">
        <v>2003</v>
      </c>
      <c r="K1260" s="22" t="s">
        <v>114</v>
      </c>
      <c r="L1260" s="23" t="s">
        <v>30</v>
      </c>
      <c r="M1260" s="23" t="s">
        <v>30</v>
      </c>
      <c r="N1260" s="22"/>
      <c r="O1260" s="22"/>
    </row>
    <row r="1261" spans="1:15" ht="13.5" customHeight="1" x14ac:dyDescent="0.25">
      <c r="A1261" s="1"/>
      <c r="B1261" s="20">
        <v>1249</v>
      </c>
      <c r="C1261" s="20">
        <v>2023</v>
      </c>
      <c r="D1261" s="20">
        <v>10902</v>
      </c>
      <c r="E1261" s="20" t="s">
        <v>4881</v>
      </c>
      <c r="F1261" s="20" t="s">
        <v>4882</v>
      </c>
      <c r="G1261" s="20" t="s">
        <v>4883</v>
      </c>
      <c r="H1261" s="20" t="s">
        <v>4884</v>
      </c>
      <c r="I1261" s="20" t="s">
        <v>23</v>
      </c>
      <c r="J1261" s="21">
        <v>2000</v>
      </c>
      <c r="K1261" s="20" t="s">
        <v>184</v>
      </c>
      <c r="L1261" s="21" t="s">
        <v>30</v>
      </c>
      <c r="M1261" s="21" t="s">
        <v>30</v>
      </c>
      <c r="N1261" s="20"/>
      <c r="O1261" s="20"/>
    </row>
    <row r="1262" spans="1:15" ht="13.5" customHeight="1" x14ac:dyDescent="0.25">
      <c r="A1262" s="1"/>
      <c r="B1262" s="22">
        <v>1250</v>
      </c>
      <c r="C1262" s="22">
        <v>2023</v>
      </c>
      <c r="D1262" s="22">
        <v>41635</v>
      </c>
      <c r="E1262" s="22" t="s">
        <v>4885</v>
      </c>
      <c r="F1262" s="22" t="s">
        <v>4886</v>
      </c>
      <c r="G1262" s="22" t="s">
        <v>4887</v>
      </c>
      <c r="H1262" s="22" t="s">
        <v>4888</v>
      </c>
      <c r="I1262" s="22" t="s">
        <v>23</v>
      </c>
      <c r="J1262" s="23">
        <v>2017</v>
      </c>
      <c r="K1262" s="22" t="s">
        <v>67</v>
      </c>
      <c r="L1262" s="23" t="s">
        <v>30</v>
      </c>
      <c r="M1262" s="23"/>
      <c r="N1262" s="22" t="s">
        <v>265</v>
      </c>
      <c r="O1262" s="22"/>
    </row>
    <row r="1263" spans="1:15" ht="13.5" customHeight="1" x14ac:dyDescent="0.25">
      <c r="A1263" s="1"/>
      <c r="B1263" s="20">
        <v>1251</v>
      </c>
      <c r="C1263" s="20">
        <v>2023</v>
      </c>
      <c r="D1263" s="20">
        <v>42843</v>
      </c>
      <c r="E1263" s="20" t="s">
        <v>4889</v>
      </c>
      <c r="F1263" s="20" t="s">
        <v>4890</v>
      </c>
      <c r="G1263" s="20"/>
      <c r="H1263" s="20" t="s">
        <v>4891</v>
      </c>
      <c r="I1263" s="20" t="s">
        <v>23</v>
      </c>
      <c r="J1263" s="21">
        <v>2017</v>
      </c>
      <c r="K1263" s="20" t="s">
        <v>39</v>
      </c>
      <c r="L1263" s="21"/>
      <c r="M1263" s="21"/>
      <c r="N1263" s="20" t="s">
        <v>270</v>
      </c>
      <c r="O1263" s="20"/>
    </row>
    <row r="1264" spans="1:15" ht="13.5" customHeight="1" x14ac:dyDescent="0.25">
      <c r="A1264" s="1"/>
      <c r="B1264" s="22">
        <v>1252</v>
      </c>
      <c r="C1264" s="22">
        <v>2023</v>
      </c>
      <c r="D1264" s="22">
        <v>41666</v>
      </c>
      <c r="E1264" s="22" t="s">
        <v>4892</v>
      </c>
      <c r="F1264" s="22" t="s">
        <v>4893</v>
      </c>
      <c r="G1264" s="22" t="s">
        <v>4894</v>
      </c>
      <c r="H1264" s="22" t="s">
        <v>4895</v>
      </c>
      <c r="I1264" s="22" t="s">
        <v>23</v>
      </c>
      <c r="J1264" s="23">
        <v>2017</v>
      </c>
      <c r="K1264" s="22" t="s">
        <v>114</v>
      </c>
      <c r="L1264" s="23" t="s">
        <v>30</v>
      </c>
      <c r="M1264" s="23"/>
      <c r="N1264" s="22" t="s">
        <v>265</v>
      </c>
      <c r="O1264" s="22"/>
    </row>
    <row r="1265" spans="1:15" ht="13.5" customHeight="1" x14ac:dyDescent="0.25">
      <c r="A1265" s="1"/>
      <c r="B1265" s="20">
        <v>1253</v>
      </c>
      <c r="C1265" s="20">
        <v>2023</v>
      </c>
      <c r="D1265" s="20">
        <v>12308</v>
      </c>
      <c r="E1265" s="20" t="s">
        <v>4896</v>
      </c>
      <c r="F1265" s="20" t="s">
        <v>4897</v>
      </c>
      <c r="G1265" s="20"/>
      <c r="H1265" s="20" t="s">
        <v>4898</v>
      </c>
      <c r="I1265" s="20" t="s">
        <v>23</v>
      </c>
      <c r="J1265" s="21">
        <v>2008</v>
      </c>
      <c r="K1265" s="20" t="s">
        <v>39</v>
      </c>
      <c r="L1265" s="21"/>
      <c r="M1265" s="21" t="s">
        <v>30</v>
      </c>
      <c r="N1265" s="20" t="s">
        <v>352</v>
      </c>
      <c r="O1265" s="20"/>
    </row>
    <row r="1266" spans="1:15" ht="13.5" customHeight="1" x14ac:dyDescent="0.25">
      <c r="A1266" s="1"/>
      <c r="B1266" s="22">
        <v>1254</v>
      </c>
      <c r="C1266" s="22">
        <v>2023</v>
      </c>
      <c r="D1266" s="22">
        <v>10732</v>
      </c>
      <c r="E1266" s="22" t="s">
        <v>4899</v>
      </c>
      <c r="F1266" s="22" t="s">
        <v>4900</v>
      </c>
      <c r="G1266" s="22" t="s">
        <v>4901</v>
      </c>
      <c r="H1266" s="22" t="s">
        <v>4902</v>
      </c>
      <c r="I1266" s="22" t="s">
        <v>23</v>
      </c>
      <c r="J1266" s="23">
        <v>2000</v>
      </c>
      <c r="K1266" s="22" t="s">
        <v>44</v>
      </c>
      <c r="L1266" s="23" t="s">
        <v>30</v>
      </c>
      <c r="M1266" s="23" t="s">
        <v>30</v>
      </c>
      <c r="N1266" s="22"/>
      <c r="O1266" s="22"/>
    </row>
    <row r="1267" spans="1:15" ht="13.5" customHeight="1" x14ac:dyDescent="0.25">
      <c r="A1267" s="1"/>
      <c r="B1267" s="20">
        <v>1255</v>
      </c>
      <c r="C1267" s="20">
        <v>2023</v>
      </c>
      <c r="D1267" s="20">
        <v>40062</v>
      </c>
      <c r="E1267" s="20" t="s">
        <v>4903</v>
      </c>
      <c r="F1267" s="20" t="s">
        <v>4904</v>
      </c>
      <c r="G1267" s="20" t="s">
        <v>4905</v>
      </c>
      <c r="H1267" s="20" t="s">
        <v>4906</v>
      </c>
      <c r="I1267" s="20" t="s">
        <v>23</v>
      </c>
      <c r="J1267" s="21">
        <v>2012</v>
      </c>
      <c r="K1267" s="20" t="s">
        <v>44</v>
      </c>
      <c r="L1267" s="21" t="s">
        <v>30</v>
      </c>
      <c r="M1267" s="21"/>
      <c r="N1267" s="20" t="s">
        <v>163</v>
      </c>
      <c r="O1267" s="20"/>
    </row>
    <row r="1268" spans="1:15" ht="13.5" customHeight="1" x14ac:dyDescent="0.25">
      <c r="A1268" s="1"/>
      <c r="B1268" s="22">
        <v>1256</v>
      </c>
      <c r="C1268" s="22">
        <v>2023</v>
      </c>
      <c r="D1268" s="22">
        <v>10901</v>
      </c>
      <c r="E1268" s="22" t="s">
        <v>4907</v>
      </c>
      <c r="F1268" s="22" t="s">
        <v>4908</v>
      </c>
      <c r="G1268" s="22" t="s">
        <v>4909</v>
      </c>
      <c r="H1268" s="22" t="s">
        <v>4910</v>
      </c>
      <c r="I1268" s="22" t="s">
        <v>23</v>
      </c>
      <c r="J1268" s="23">
        <v>2000</v>
      </c>
      <c r="K1268" s="22" t="s">
        <v>184</v>
      </c>
      <c r="L1268" s="23" t="s">
        <v>30</v>
      </c>
      <c r="M1268" s="23" t="s">
        <v>30</v>
      </c>
      <c r="N1268" s="22"/>
      <c r="O1268" s="22"/>
    </row>
    <row r="1269" spans="1:15" ht="13.5" customHeight="1" x14ac:dyDescent="0.25">
      <c r="A1269" s="1"/>
      <c r="B1269" s="20">
        <v>1257</v>
      </c>
      <c r="C1269" s="20">
        <v>2023</v>
      </c>
      <c r="D1269" s="20">
        <v>41134</v>
      </c>
      <c r="E1269" s="20" t="s">
        <v>4911</v>
      </c>
      <c r="F1269" s="20" t="s">
        <v>4912</v>
      </c>
      <c r="G1269" s="20"/>
      <c r="H1269" s="20" t="s">
        <v>4913</v>
      </c>
      <c r="I1269" s="20" t="s">
        <v>23</v>
      </c>
      <c r="J1269" s="21">
        <v>2016</v>
      </c>
      <c r="K1269" s="20" t="s">
        <v>184</v>
      </c>
      <c r="L1269" s="21"/>
      <c r="M1269" s="21"/>
      <c r="N1269" s="20" t="s">
        <v>204</v>
      </c>
      <c r="O1269" s="20"/>
    </row>
    <row r="1270" spans="1:15" ht="13.5" customHeight="1" x14ac:dyDescent="0.25">
      <c r="A1270" s="1"/>
      <c r="B1270" s="22">
        <v>1258</v>
      </c>
      <c r="C1270" s="22">
        <v>2023</v>
      </c>
      <c r="D1270" s="22">
        <v>42241</v>
      </c>
      <c r="E1270" s="22" t="s">
        <v>4914</v>
      </c>
      <c r="F1270" s="22" t="s">
        <v>4915</v>
      </c>
      <c r="G1270" s="22" t="s">
        <v>4916</v>
      </c>
      <c r="H1270" s="22" t="s">
        <v>4917</v>
      </c>
      <c r="I1270" s="22" t="s">
        <v>23</v>
      </c>
      <c r="J1270" s="23">
        <v>2006</v>
      </c>
      <c r="K1270" s="22" t="s">
        <v>67</v>
      </c>
      <c r="L1270" s="23" t="s">
        <v>30</v>
      </c>
      <c r="M1270" s="23"/>
      <c r="N1270" s="22" t="s">
        <v>151</v>
      </c>
      <c r="O1270" s="22"/>
    </row>
    <row r="1271" spans="1:15" ht="13.5" customHeight="1" x14ac:dyDescent="0.25">
      <c r="A1271" s="1"/>
      <c r="B1271" s="20">
        <v>1259</v>
      </c>
      <c r="C1271" s="20">
        <v>2023</v>
      </c>
      <c r="D1271" s="20">
        <v>41513</v>
      </c>
      <c r="E1271" s="20" t="s">
        <v>4918</v>
      </c>
      <c r="F1271" s="20" t="s">
        <v>4919</v>
      </c>
      <c r="G1271" s="20" t="s">
        <v>4920</v>
      </c>
      <c r="H1271" s="20" t="s">
        <v>4921</v>
      </c>
      <c r="I1271" s="20" t="s">
        <v>23</v>
      </c>
      <c r="J1271" s="21">
        <v>2017</v>
      </c>
      <c r="K1271" s="20" t="s">
        <v>95</v>
      </c>
      <c r="L1271" s="21" t="s">
        <v>30</v>
      </c>
      <c r="M1271" s="21"/>
      <c r="N1271" s="20" t="s">
        <v>105</v>
      </c>
      <c r="O1271" s="20"/>
    </row>
    <row r="1272" spans="1:15" ht="13.5" customHeight="1" x14ac:dyDescent="0.25">
      <c r="A1272" s="1"/>
      <c r="B1272" s="22">
        <v>1260</v>
      </c>
      <c r="C1272" s="22">
        <v>2023</v>
      </c>
      <c r="D1272" s="22">
        <v>11489</v>
      </c>
      <c r="E1272" s="22" t="s">
        <v>4922</v>
      </c>
      <c r="F1272" s="22" t="s">
        <v>4923</v>
      </c>
      <c r="G1272" s="22" t="s">
        <v>4924</v>
      </c>
      <c r="H1272" s="22" t="s">
        <v>4925</v>
      </c>
      <c r="I1272" s="22" t="s">
        <v>62</v>
      </c>
      <c r="J1272" s="23">
        <v>2006</v>
      </c>
      <c r="K1272" s="22" t="s">
        <v>34</v>
      </c>
      <c r="L1272" s="23" t="s">
        <v>30</v>
      </c>
      <c r="M1272" s="23" t="s">
        <v>30</v>
      </c>
      <c r="N1272" s="22"/>
      <c r="O1272" s="22"/>
    </row>
    <row r="1273" spans="1:15" ht="13.5" customHeight="1" x14ac:dyDescent="0.25">
      <c r="A1273" s="1"/>
      <c r="B1273" s="20">
        <v>1261</v>
      </c>
      <c r="C1273" s="20">
        <v>2023</v>
      </c>
      <c r="D1273" s="20">
        <v>10903</v>
      </c>
      <c r="E1273" s="20" t="s">
        <v>4926</v>
      </c>
      <c r="F1273" s="20" t="s">
        <v>4927</v>
      </c>
      <c r="G1273" s="20" t="s">
        <v>4928</v>
      </c>
      <c r="H1273" s="20" t="s">
        <v>4929</v>
      </c>
      <c r="I1273" s="20" t="s">
        <v>23</v>
      </c>
      <c r="J1273" s="21">
        <v>2000</v>
      </c>
      <c r="K1273" s="20" t="s">
        <v>39</v>
      </c>
      <c r="L1273" s="21" t="s">
        <v>30</v>
      </c>
      <c r="M1273" s="21" t="s">
        <v>30</v>
      </c>
      <c r="N1273" s="20"/>
      <c r="O1273" s="20"/>
    </row>
    <row r="1274" spans="1:15" ht="13.5" customHeight="1" x14ac:dyDescent="0.25">
      <c r="A1274" s="1"/>
      <c r="B1274" s="22">
        <v>1262</v>
      </c>
      <c r="C1274" s="22">
        <v>2023</v>
      </c>
      <c r="D1274" s="22">
        <v>10847</v>
      </c>
      <c r="E1274" s="22" t="s">
        <v>4930</v>
      </c>
      <c r="F1274" s="22" t="s">
        <v>4931</v>
      </c>
      <c r="G1274" s="22" t="s">
        <v>4932</v>
      </c>
      <c r="H1274" s="22" t="s">
        <v>4933</v>
      </c>
      <c r="I1274" s="22" t="s">
        <v>23</v>
      </c>
      <c r="J1274" s="23">
        <v>2000</v>
      </c>
      <c r="K1274" s="22" t="s">
        <v>24</v>
      </c>
      <c r="L1274" s="23" t="s">
        <v>30</v>
      </c>
      <c r="M1274" s="23" t="s">
        <v>30</v>
      </c>
      <c r="N1274" s="22"/>
      <c r="O1274" s="22"/>
    </row>
    <row r="1275" spans="1:15" ht="13.5" customHeight="1" x14ac:dyDescent="0.25">
      <c r="A1275" s="1"/>
      <c r="B1275" s="20">
        <v>1263</v>
      </c>
      <c r="C1275" s="20">
        <v>2023</v>
      </c>
      <c r="D1275" s="20">
        <v>40961</v>
      </c>
      <c r="E1275" s="20" t="s">
        <v>4934</v>
      </c>
      <c r="F1275" s="20" t="s">
        <v>4935</v>
      </c>
      <c r="G1275" s="20" t="s">
        <v>4936</v>
      </c>
      <c r="H1275" s="20" t="s">
        <v>4937</v>
      </c>
      <c r="I1275" s="20" t="s">
        <v>23</v>
      </c>
      <c r="J1275" s="21">
        <v>2015</v>
      </c>
      <c r="K1275" s="20" t="s">
        <v>73</v>
      </c>
      <c r="L1275" s="21" t="s">
        <v>30</v>
      </c>
      <c r="M1275" s="21"/>
      <c r="N1275" s="20" t="s">
        <v>68</v>
      </c>
      <c r="O1275" s="20"/>
    </row>
    <row r="1276" spans="1:15" ht="13.5" customHeight="1" x14ac:dyDescent="0.25">
      <c r="A1276" s="1"/>
      <c r="B1276" s="22">
        <v>1264</v>
      </c>
      <c r="C1276" s="22">
        <v>2023</v>
      </c>
      <c r="D1276" s="22">
        <v>10781</v>
      </c>
      <c r="E1276" s="22" t="s">
        <v>4938</v>
      </c>
      <c r="F1276" s="22" t="s">
        <v>4939</v>
      </c>
      <c r="G1276" s="22" t="s">
        <v>4940</v>
      </c>
      <c r="H1276" s="22" t="s">
        <v>4941</v>
      </c>
      <c r="I1276" s="22" t="s">
        <v>23</v>
      </c>
      <c r="J1276" s="23">
        <v>2000</v>
      </c>
      <c r="K1276" s="22" t="s">
        <v>73</v>
      </c>
      <c r="L1276" s="23" t="s">
        <v>30</v>
      </c>
      <c r="M1276" s="23" t="s">
        <v>30</v>
      </c>
      <c r="N1276" s="22"/>
      <c r="O1276" s="22"/>
    </row>
    <row r="1277" spans="1:15" ht="13.5" customHeight="1" x14ac:dyDescent="0.25">
      <c r="A1277" s="1"/>
      <c r="B1277" s="20">
        <v>1265</v>
      </c>
      <c r="C1277" s="20">
        <v>2023</v>
      </c>
      <c r="D1277" s="20">
        <v>40812</v>
      </c>
      <c r="E1277" s="20" t="s">
        <v>4942</v>
      </c>
      <c r="F1277" s="20" t="s">
        <v>4943</v>
      </c>
      <c r="G1277" s="20" t="s">
        <v>4944</v>
      </c>
      <c r="H1277" s="20" t="s">
        <v>4945</v>
      </c>
      <c r="I1277" s="20" t="s">
        <v>23</v>
      </c>
      <c r="J1277" s="21">
        <v>2015</v>
      </c>
      <c r="K1277" s="20" t="s">
        <v>475</v>
      </c>
      <c r="L1277" s="21" t="s">
        <v>30</v>
      </c>
      <c r="M1277" s="21"/>
      <c r="N1277" s="20" t="s">
        <v>68</v>
      </c>
      <c r="O1277" s="20"/>
    </row>
    <row r="1278" spans="1:15" ht="13.5" customHeight="1" x14ac:dyDescent="0.25">
      <c r="A1278" s="1"/>
      <c r="B1278" s="22">
        <v>1266</v>
      </c>
      <c r="C1278" s="22">
        <v>2023</v>
      </c>
      <c r="D1278" s="22">
        <v>10842</v>
      </c>
      <c r="E1278" s="22" t="s">
        <v>4946</v>
      </c>
      <c r="F1278" s="22" t="s">
        <v>4947</v>
      </c>
      <c r="G1278" s="22" t="s">
        <v>4948</v>
      </c>
      <c r="H1278" s="22" t="s">
        <v>4949</v>
      </c>
      <c r="I1278" s="22" t="s">
        <v>23</v>
      </c>
      <c r="J1278" s="23">
        <v>2001</v>
      </c>
      <c r="K1278" s="22" t="s">
        <v>475</v>
      </c>
      <c r="L1278" s="23" t="s">
        <v>30</v>
      </c>
      <c r="M1278" s="23" t="s">
        <v>30</v>
      </c>
      <c r="N1278" s="22"/>
      <c r="O1278" s="22"/>
    </row>
    <row r="1279" spans="1:15" ht="13.5" customHeight="1" x14ac:dyDescent="0.25">
      <c r="A1279" s="1"/>
      <c r="B1279" s="20">
        <v>1267</v>
      </c>
      <c r="C1279" s="20">
        <v>2023</v>
      </c>
      <c r="D1279" s="20">
        <v>10762</v>
      </c>
      <c r="E1279" s="20" t="s">
        <v>4950</v>
      </c>
      <c r="F1279" s="20" t="s">
        <v>4951</v>
      </c>
      <c r="G1279" s="20" t="s">
        <v>4952</v>
      </c>
      <c r="H1279" s="20" t="s">
        <v>4953</v>
      </c>
      <c r="I1279" s="20" t="s">
        <v>23</v>
      </c>
      <c r="J1279" s="21">
        <v>2000</v>
      </c>
      <c r="K1279" s="20" t="s">
        <v>67</v>
      </c>
      <c r="L1279" s="21" t="s">
        <v>30</v>
      </c>
      <c r="M1279" s="21" t="s">
        <v>30</v>
      </c>
      <c r="N1279" s="20"/>
      <c r="O1279" s="20"/>
    </row>
    <row r="1280" spans="1:15" ht="13.5" customHeight="1" x14ac:dyDescent="0.25">
      <c r="A1280" s="1"/>
      <c r="B1280" s="22">
        <v>1268</v>
      </c>
      <c r="C1280" s="22">
        <v>2023</v>
      </c>
      <c r="D1280" s="22">
        <v>10904</v>
      </c>
      <c r="E1280" s="22" t="s">
        <v>4954</v>
      </c>
      <c r="F1280" s="22" t="s">
        <v>4955</v>
      </c>
      <c r="G1280" s="22" t="s">
        <v>4956</v>
      </c>
      <c r="H1280" s="22" t="s">
        <v>4957</v>
      </c>
      <c r="I1280" s="22" t="s">
        <v>23</v>
      </c>
      <c r="J1280" s="23">
        <v>2000</v>
      </c>
      <c r="K1280" s="22" t="s">
        <v>24</v>
      </c>
      <c r="L1280" s="23" t="s">
        <v>30</v>
      </c>
      <c r="M1280" s="23" t="s">
        <v>30</v>
      </c>
      <c r="N1280" s="22"/>
      <c r="O1280" s="22"/>
    </row>
    <row r="1281" spans="1:15" ht="13.5" customHeight="1" x14ac:dyDescent="0.25">
      <c r="A1281" s="1"/>
      <c r="B1281" s="20">
        <v>1269</v>
      </c>
      <c r="C1281" s="20">
        <v>2023</v>
      </c>
      <c r="D1281" s="20">
        <v>10905</v>
      </c>
      <c r="E1281" s="20" t="s">
        <v>4958</v>
      </c>
      <c r="F1281" s="20" t="s">
        <v>4959</v>
      </c>
      <c r="G1281" s="20" t="s">
        <v>4960</v>
      </c>
      <c r="H1281" s="20" t="s">
        <v>4961</v>
      </c>
      <c r="I1281" s="20" t="s">
        <v>23</v>
      </c>
      <c r="J1281" s="21">
        <v>2000</v>
      </c>
      <c r="K1281" s="20" t="s">
        <v>34</v>
      </c>
      <c r="L1281" s="21" t="s">
        <v>30</v>
      </c>
      <c r="M1281" s="21" t="s">
        <v>30</v>
      </c>
      <c r="N1281" s="20"/>
      <c r="O1281" s="20"/>
    </row>
    <row r="1282" spans="1:15" ht="13.5" customHeight="1" x14ac:dyDescent="0.25">
      <c r="A1282" s="1"/>
      <c r="B1282" s="22">
        <v>1270</v>
      </c>
      <c r="C1282" s="22">
        <v>2023</v>
      </c>
      <c r="D1282" s="22">
        <v>10841</v>
      </c>
      <c r="E1282" s="22" t="s">
        <v>4962</v>
      </c>
      <c r="F1282" s="22" t="s">
        <v>4963</v>
      </c>
      <c r="G1282" s="22" t="s">
        <v>4964</v>
      </c>
      <c r="H1282" s="22" t="s">
        <v>4965</v>
      </c>
      <c r="I1282" s="22" t="s">
        <v>23</v>
      </c>
      <c r="J1282" s="23">
        <v>2000</v>
      </c>
      <c r="K1282" s="22" t="s">
        <v>34</v>
      </c>
      <c r="L1282" s="23" t="s">
        <v>30</v>
      </c>
      <c r="M1282" s="23" t="s">
        <v>30</v>
      </c>
      <c r="N1282" s="22"/>
      <c r="O1282" s="22"/>
    </row>
    <row r="1283" spans="1:15" ht="13.5" customHeight="1" x14ac:dyDescent="0.25">
      <c r="A1283" s="1"/>
      <c r="B1283" s="20">
        <v>1271</v>
      </c>
      <c r="C1283" s="20">
        <v>2023</v>
      </c>
      <c r="D1283" s="20">
        <v>10846</v>
      </c>
      <c r="E1283" s="20" t="s">
        <v>4966</v>
      </c>
      <c r="F1283" s="20" t="s">
        <v>4967</v>
      </c>
      <c r="G1283" s="20" t="s">
        <v>4968</v>
      </c>
      <c r="H1283" s="20" t="s">
        <v>4969</v>
      </c>
      <c r="I1283" s="20" t="s">
        <v>23</v>
      </c>
      <c r="J1283" s="21">
        <v>2000</v>
      </c>
      <c r="K1283" s="20" t="s">
        <v>67</v>
      </c>
      <c r="L1283" s="21" t="s">
        <v>30</v>
      </c>
      <c r="M1283" s="21" t="s">
        <v>30</v>
      </c>
      <c r="N1283" s="20"/>
      <c r="O1283" s="20"/>
    </row>
    <row r="1284" spans="1:15" ht="13.5" customHeight="1" x14ac:dyDescent="0.25">
      <c r="A1284" s="1"/>
      <c r="B1284" s="22">
        <v>1272</v>
      </c>
      <c r="C1284" s="22">
        <v>2023</v>
      </c>
      <c r="D1284" s="22">
        <v>10844</v>
      </c>
      <c r="E1284" s="22" t="s">
        <v>4970</v>
      </c>
      <c r="F1284" s="22" t="s">
        <v>4971</v>
      </c>
      <c r="G1284" s="22" t="s">
        <v>4972</v>
      </c>
      <c r="H1284" s="22" t="s">
        <v>4973</v>
      </c>
      <c r="I1284" s="22" t="s">
        <v>23</v>
      </c>
      <c r="J1284" s="23">
        <v>2000</v>
      </c>
      <c r="K1284" s="22" t="s">
        <v>114</v>
      </c>
      <c r="L1284" s="23" t="s">
        <v>30</v>
      </c>
      <c r="M1284" s="23" t="s">
        <v>30</v>
      </c>
      <c r="N1284" s="22"/>
      <c r="O1284" s="22"/>
    </row>
    <row r="1285" spans="1:15" ht="13.5" customHeight="1" x14ac:dyDescent="0.25">
      <c r="A1285" s="1"/>
      <c r="B1285" s="20">
        <v>1273</v>
      </c>
      <c r="C1285" s="20">
        <v>2023</v>
      </c>
      <c r="D1285" s="20">
        <v>10845</v>
      </c>
      <c r="E1285" s="20" t="s">
        <v>4974</v>
      </c>
      <c r="F1285" s="20" t="s">
        <v>4975</v>
      </c>
      <c r="G1285" s="20" t="s">
        <v>4976</v>
      </c>
      <c r="H1285" s="20" t="s">
        <v>4977</v>
      </c>
      <c r="I1285" s="20" t="s">
        <v>23</v>
      </c>
      <c r="J1285" s="21">
        <v>2000</v>
      </c>
      <c r="K1285" s="20" t="s">
        <v>29</v>
      </c>
      <c r="L1285" s="21" t="s">
        <v>30</v>
      </c>
      <c r="M1285" s="21" t="s">
        <v>30</v>
      </c>
      <c r="N1285" s="20"/>
      <c r="O1285" s="20"/>
    </row>
    <row r="1286" spans="1:15" ht="13.5" customHeight="1" x14ac:dyDescent="0.25">
      <c r="A1286" s="1"/>
      <c r="B1286" s="22">
        <v>1274</v>
      </c>
      <c r="C1286" s="22">
        <v>2023</v>
      </c>
      <c r="D1286" s="22">
        <v>10843</v>
      </c>
      <c r="E1286" s="22" t="s">
        <v>4978</v>
      </c>
      <c r="F1286" s="22" t="s">
        <v>4979</v>
      </c>
      <c r="G1286" s="22" t="s">
        <v>4980</v>
      </c>
      <c r="H1286" s="22" t="s">
        <v>4981</v>
      </c>
      <c r="I1286" s="22" t="s">
        <v>23</v>
      </c>
      <c r="J1286" s="23">
        <v>2003</v>
      </c>
      <c r="K1286" s="22" t="s">
        <v>29</v>
      </c>
      <c r="L1286" s="23" t="s">
        <v>30</v>
      </c>
      <c r="M1286" s="23" t="s">
        <v>30</v>
      </c>
      <c r="N1286" s="22"/>
      <c r="O1286" s="22"/>
    </row>
    <row r="1287" spans="1:15" ht="13.5" customHeight="1" x14ac:dyDescent="0.25">
      <c r="A1287" s="1"/>
      <c r="B1287" s="20">
        <v>1275</v>
      </c>
      <c r="C1287" s="20">
        <v>2023</v>
      </c>
      <c r="D1287" s="20">
        <v>12134</v>
      </c>
      <c r="E1287" s="20" t="s">
        <v>4982</v>
      </c>
      <c r="F1287" s="20" t="s">
        <v>4983</v>
      </c>
      <c r="G1287" s="20" t="s">
        <v>4984</v>
      </c>
      <c r="H1287" s="20" t="s">
        <v>4985</v>
      </c>
      <c r="I1287" s="20" t="s">
        <v>23</v>
      </c>
      <c r="J1287" s="21">
        <v>2000</v>
      </c>
      <c r="K1287" s="20" t="s">
        <v>184</v>
      </c>
      <c r="L1287" s="21" t="s">
        <v>30</v>
      </c>
      <c r="M1287" s="21" t="s">
        <v>30</v>
      </c>
      <c r="N1287" s="20" t="s">
        <v>74</v>
      </c>
      <c r="O1287" s="20"/>
    </row>
    <row r="1288" spans="1:15" ht="13.5" customHeight="1" x14ac:dyDescent="0.25">
      <c r="A1288" s="1"/>
      <c r="B1288" s="22">
        <v>1276</v>
      </c>
      <c r="C1288" s="22">
        <v>2023</v>
      </c>
      <c r="D1288" s="22">
        <v>10840</v>
      </c>
      <c r="E1288" s="22" t="s">
        <v>4986</v>
      </c>
      <c r="F1288" s="22" t="s">
        <v>4987</v>
      </c>
      <c r="G1288" s="22"/>
      <c r="H1288" s="22" t="s">
        <v>4988</v>
      </c>
      <c r="I1288" s="22" t="s">
        <v>23</v>
      </c>
      <c r="J1288" s="23">
        <v>2000</v>
      </c>
      <c r="K1288" s="22" t="s">
        <v>39</v>
      </c>
      <c r="L1288" s="23"/>
      <c r="M1288" s="23" t="s">
        <v>30</v>
      </c>
      <c r="N1288" s="22"/>
      <c r="O1288" s="22"/>
    </row>
    <row r="1289" spans="1:15" ht="13.5" customHeight="1" x14ac:dyDescent="0.25">
      <c r="A1289" s="1"/>
      <c r="B1289" s="20">
        <v>1277</v>
      </c>
      <c r="C1289" s="20">
        <v>2023</v>
      </c>
      <c r="D1289" s="20">
        <v>42243</v>
      </c>
      <c r="E1289" s="20" t="s">
        <v>4989</v>
      </c>
      <c r="F1289" s="20" t="s">
        <v>4990</v>
      </c>
      <c r="G1289" s="20" t="s">
        <v>4991</v>
      </c>
      <c r="H1289" s="20" t="s">
        <v>4992</v>
      </c>
      <c r="I1289" s="20" t="s">
        <v>23</v>
      </c>
      <c r="J1289" s="21">
        <v>2006</v>
      </c>
      <c r="K1289" s="20" t="s">
        <v>67</v>
      </c>
      <c r="L1289" s="21" t="s">
        <v>30</v>
      </c>
      <c r="M1289" s="21"/>
      <c r="N1289" s="20" t="s">
        <v>151</v>
      </c>
      <c r="O1289" s="20"/>
    </row>
    <row r="1290" spans="1:15" ht="13.5" customHeight="1" x14ac:dyDescent="0.25">
      <c r="A1290" s="1"/>
      <c r="B1290" s="22">
        <v>1278</v>
      </c>
      <c r="C1290" s="22">
        <v>2023</v>
      </c>
      <c r="D1290" s="22">
        <v>12122</v>
      </c>
      <c r="E1290" s="22" t="s">
        <v>4993</v>
      </c>
      <c r="F1290" s="22" t="s">
        <v>4994</v>
      </c>
      <c r="G1290" s="22" t="s">
        <v>4995</v>
      </c>
      <c r="H1290" s="22" t="s">
        <v>4996</v>
      </c>
      <c r="I1290" s="22" t="s">
        <v>23</v>
      </c>
      <c r="J1290" s="23">
        <v>2000</v>
      </c>
      <c r="K1290" s="22" t="s">
        <v>184</v>
      </c>
      <c r="L1290" s="23" t="s">
        <v>30</v>
      </c>
      <c r="M1290" s="23" t="s">
        <v>30</v>
      </c>
      <c r="N1290" s="22" t="s">
        <v>74</v>
      </c>
      <c r="O1290" s="22"/>
    </row>
    <row r="1291" spans="1:15" ht="13.5" customHeight="1" x14ac:dyDescent="0.25">
      <c r="A1291" s="1"/>
      <c r="B1291" s="20">
        <v>1279</v>
      </c>
      <c r="C1291" s="20">
        <v>2023</v>
      </c>
      <c r="D1291" s="20">
        <v>10849</v>
      </c>
      <c r="E1291" s="20" t="s">
        <v>4997</v>
      </c>
      <c r="F1291" s="20" t="s">
        <v>4998</v>
      </c>
      <c r="G1291" s="20" t="s">
        <v>4999</v>
      </c>
      <c r="H1291" s="20" t="s">
        <v>5000</v>
      </c>
      <c r="I1291" s="20" t="s">
        <v>23</v>
      </c>
      <c r="J1291" s="21">
        <v>2000</v>
      </c>
      <c r="K1291" s="20" t="s">
        <v>73</v>
      </c>
      <c r="L1291" s="21" t="s">
        <v>30</v>
      </c>
      <c r="M1291" s="21" t="s">
        <v>30</v>
      </c>
      <c r="N1291" s="20"/>
      <c r="O1291" s="20"/>
    </row>
    <row r="1292" spans="1:15" ht="13.5" customHeight="1" x14ac:dyDescent="0.25">
      <c r="A1292" s="1"/>
      <c r="B1292" s="22">
        <v>1280</v>
      </c>
      <c r="C1292" s="22">
        <v>2023</v>
      </c>
      <c r="D1292" s="22">
        <v>10909</v>
      </c>
      <c r="E1292" s="22" t="s">
        <v>5001</v>
      </c>
      <c r="F1292" s="22" t="s">
        <v>5002</v>
      </c>
      <c r="G1292" s="22" t="s">
        <v>5003</v>
      </c>
      <c r="H1292" s="22" t="s">
        <v>5004</v>
      </c>
      <c r="I1292" s="22" t="s">
        <v>23</v>
      </c>
      <c r="J1292" s="23">
        <v>2000</v>
      </c>
      <c r="K1292" s="22" t="s">
        <v>63</v>
      </c>
      <c r="L1292" s="23" t="s">
        <v>30</v>
      </c>
      <c r="M1292" s="23" t="s">
        <v>30</v>
      </c>
      <c r="N1292" s="22"/>
      <c r="O1292" s="22"/>
    </row>
    <row r="1293" spans="1:15" ht="13.5" customHeight="1" x14ac:dyDescent="0.25">
      <c r="A1293" s="1"/>
      <c r="B1293" s="20">
        <v>1281</v>
      </c>
      <c r="C1293" s="20">
        <v>2023</v>
      </c>
      <c r="D1293" s="20">
        <v>12001</v>
      </c>
      <c r="E1293" s="20" t="s">
        <v>5005</v>
      </c>
      <c r="F1293" s="20" t="s">
        <v>5006</v>
      </c>
      <c r="G1293" s="20" t="s">
        <v>5007</v>
      </c>
      <c r="H1293" s="20" t="s">
        <v>5008</v>
      </c>
      <c r="I1293" s="20" t="s">
        <v>62</v>
      </c>
      <c r="J1293" s="21">
        <v>2007</v>
      </c>
      <c r="K1293" s="20" t="s">
        <v>67</v>
      </c>
      <c r="L1293" s="21" t="s">
        <v>30</v>
      </c>
      <c r="M1293" s="21" t="s">
        <v>30</v>
      </c>
      <c r="N1293" s="20" t="s">
        <v>74</v>
      </c>
      <c r="O1293" s="20"/>
    </row>
    <row r="1294" spans="1:15" ht="13.5" customHeight="1" x14ac:dyDescent="0.25">
      <c r="A1294" s="1"/>
      <c r="B1294" s="22">
        <v>1282</v>
      </c>
      <c r="C1294" s="22">
        <v>2023</v>
      </c>
      <c r="D1294" s="22">
        <v>10914</v>
      </c>
      <c r="E1294" s="22" t="s">
        <v>5009</v>
      </c>
      <c r="F1294" s="22" t="s">
        <v>5010</v>
      </c>
      <c r="G1294" s="22" t="s">
        <v>5011</v>
      </c>
      <c r="H1294" s="22" t="s">
        <v>5012</v>
      </c>
      <c r="I1294" s="22" t="s">
        <v>23</v>
      </c>
      <c r="J1294" s="23">
        <v>2000</v>
      </c>
      <c r="K1294" s="22" t="s">
        <v>34</v>
      </c>
      <c r="L1294" s="23" t="s">
        <v>30</v>
      </c>
      <c r="M1294" s="23" t="s">
        <v>30</v>
      </c>
      <c r="N1294" s="22"/>
      <c r="O1294" s="22"/>
    </row>
    <row r="1295" spans="1:15" ht="13.5" customHeight="1" x14ac:dyDescent="0.25">
      <c r="A1295" s="1"/>
      <c r="B1295" s="20">
        <v>1283</v>
      </c>
      <c r="C1295" s="20">
        <v>2023</v>
      </c>
      <c r="D1295" s="20">
        <v>10997</v>
      </c>
      <c r="E1295" s="20" t="s">
        <v>5013</v>
      </c>
      <c r="F1295" s="20" t="s">
        <v>5014</v>
      </c>
      <c r="G1295" s="20" t="s">
        <v>5015</v>
      </c>
      <c r="H1295" s="20" t="s">
        <v>5016</v>
      </c>
      <c r="I1295" s="20" t="s">
        <v>23</v>
      </c>
      <c r="J1295" s="21">
        <v>2000</v>
      </c>
      <c r="K1295" s="20" t="s">
        <v>29</v>
      </c>
      <c r="L1295" s="21" t="s">
        <v>30</v>
      </c>
      <c r="M1295" s="21" t="s">
        <v>30</v>
      </c>
      <c r="N1295" s="20"/>
      <c r="O1295" s="20"/>
    </row>
    <row r="1296" spans="1:15" ht="13.5" customHeight="1" x14ac:dyDescent="0.25">
      <c r="A1296" s="1"/>
      <c r="B1296" s="22">
        <v>1284</v>
      </c>
      <c r="C1296" s="22">
        <v>2023</v>
      </c>
      <c r="D1296" s="22">
        <v>187</v>
      </c>
      <c r="E1296" s="22" t="s">
        <v>5017</v>
      </c>
      <c r="F1296" s="22" t="s">
        <v>5018</v>
      </c>
      <c r="G1296" s="22" t="s">
        <v>5019</v>
      </c>
      <c r="H1296" s="22" t="s">
        <v>5020</v>
      </c>
      <c r="I1296" s="22" t="s">
        <v>23</v>
      </c>
      <c r="J1296" s="23">
        <v>2003</v>
      </c>
      <c r="K1296" s="22" t="s">
        <v>29</v>
      </c>
      <c r="L1296" s="23" t="s">
        <v>30</v>
      </c>
      <c r="M1296" s="23" t="s">
        <v>30</v>
      </c>
      <c r="N1296" s="22"/>
      <c r="O1296" s="22"/>
    </row>
    <row r="1297" spans="1:15" ht="13.5" customHeight="1" x14ac:dyDescent="0.25">
      <c r="A1297" s="1"/>
      <c r="B1297" s="20">
        <v>1285</v>
      </c>
      <c r="C1297" s="20">
        <v>2023</v>
      </c>
      <c r="D1297" s="20">
        <v>11804</v>
      </c>
      <c r="E1297" s="20" t="s">
        <v>5021</v>
      </c>
      <c r="F1297" s="20" t="s">
        <v>5022</v>
      </c>
      <c r="G1297" s="20" t="s">
        <v>5023</v>
      </c>
      <c r="H1297" s="20" t="s">
        <v>5024</v>
      </c>
      <c r="I1297" s="20" t="s">
        <v>5025</v>
      </c>
      <c r="J1297" s="21">
        <v>2002</v>
      </c>
      <c r="K1297" s="20" t="s">
        <v>67</v>
      </c>
      <c r="L1297" s="21" t="s">
        <v>30</v>
      </c>
      <c r="M1297" s="21" t="s">
        <v>30</v>
      </c>
      <c r="N1297" s="20" t="s">
        <v>74</v>
      </c>
      <c r="O1297" s="20"/>
    </row>
    <row r="1298" spans="1:15" ht="13.5" customHeight="1" x14ac:dyDescent="0.25">
      <c r="A1298" s="1"/>
      <c r="B1298" s="22">
        <v>1286</v>
      </c>
      <c r="C1298" s="22">
        <v>2023</v>
      </c>
      <c r="D1298" s="22">
        <v>773</v>
      </c>
      <c r="E1298" s="22" t="s">
        <v>5026</v>
      </c>
      <c r="F1298" s="22" t="s">
        <v>5027</v>
      </c>
      <c r="G1298" s="22" t="s">
        <v>5028</v>
      </c>
      <c r="H1298" s="22" t="s">
        <v>5029</v>
      </c>
      <c r="I1298" s="22" t="s">
        <v>23</v>
      </c>
      <c r="J1298" s="23">
        <v>2000</v>
      </c>
      <c r="K1298" s="22" t="s">
        <v>67</v>
      </c>
      <c r="L1298" s="23" t="s">
        <v>30</v>
      </c>
      <c r="M1298" s="23" t="s">
        <v>30</v>
      </c>
      <c r="N1298" s="22"/>
      <c r="O1298" s="22"/>
    </row>
    <row r="1299" spans="1:15" ht="13.5" customHeight="1" x14ac:dyDescent="0.25">
      <c r="A1299" s="1"/>
      <c r="B1299" s="20">
        <v>1287</v>
      </c>
      <c r="C1299" s="20">
        <v>2023</v>
      </c>
      <c r="D1299" s="20">
        <v>11457</v>
      </c>
      <c r="E1299" s="20" t="s">
        <v>5030</v>
      </c>
      <c r="F1299" s="20" t="s">
        <v>5031</v>
      </c>
      <c r="G1299" s="20" t="s">
        <v>5032</v>
      </c>
      <c r="H1299" s="20" t="s">
        <v>5033</v>
      </c>
      <c r="I1299" s="20" t="s">
        <v>23</v>
      </c>
      <c r="J1299" s="21">
        <v>2006</v>
      </c>
      <c r="K1299" s="20" t="s">
        <v>184</v>
      </c>
      <c r="L1299" s="21" t="s">
        <v>30</v>
      </c>
      <c r="M1299" s="21" t="s">
        <v>30</v>
      </c>
      <c r="N1299" s="20"/>
      <c r="O1299" s="20"/>
    </row>
    <row r="1300" spans="1:15" ht="13.5" customHeight="1" x14ac:dyDescent="0.25">
      <c r="A1300" s="1"/>
      <c r="B1300" s="22">
        <v>1288</v>
      </c>
      <c r="C1300" s="22">
        <v>2023</v>
      </c>
      <c r="D1300" s="22">
        <v>10163</v>
      </c>
      <c r="E1300" s="22" t="s">
        <v>5034</v>
      </c>
      <c r="F1300" s="22" t="s">
        <v>5035</v>
      </c>
      <c r="G1300" s="22"/>
      <c r="H1300" s="22" t="s">
        <v>5036</v>
      </c>
      <c r="I1300" s="22" t="s">
        <v>23</v>
      </c>
      <c r="J1300" s="23">
        <v>2000</v>
      </c>
      <c r="K1300" s="22" t="s">
        <v>67</v>
      </c>
      <c r="L1300" s="23"/>
      <c r="M1300" s="23" t="s">
        <v>30</v>
      </c>
      <c r="N1300" s="22"/>
      <c r="O1300" s="22"/>
    </row>
    <row r="1301" spans="1:15" ht="13.5" customHeight="1" x14ac:dyDescent="0.25">
      <c r="A1301" s="1"/>
      <c r="B1301" s="20">
        <v>1289</v>
      </c>
      <c r="C1301" s="20">
        <v>2023</v>
      </c>
      <c r="D1301" s="20">
        <v>11665</v>
      </c>
      <c r="E1301" s="20" t="s">
        <v>5037</v>
      </c>
      <c r="F1301" s="20" t="s">
        <v>5038</v>
      </c>
      <c r="G1301" s="20" t="s">
        <v>5039</v>
      </c>
      <c r="H1301" s="20" t="s">
        <v>5040</v>
      </c>
      <c r="I1301" s="20" t="s">
        <v>23</v>
      </c>
      <c r="J1301" s="21">
        <v>2000</v>
      </c>
      <c r="K1301" s="20" t="s">
        <v>24</v>
      </c>
      <c r="L1301" s="21" t="s">
        <v>30</v>
      </c>
      <c r="M1301" s="21" t="s">
        <v>30</v>
      </c>
      <c r="N1301" s="20" t="s">
        <v>74</v>
      </c>
      <c r="O1301" s="20"/>
    </row>
    <row r="1302" spans="1:15" ht="13.5" customHeight="1" x14ac:dyDescent="0.25">
      <c r="A1302" s="1"/>
      <c r="B1302" s="22">
        <v>1290</v>
      </c>
      <c r="C1302" s="22">
        <v>2023</v>
      </c>
      <c r="D1302" s="22">
        <v>10853</v>
      </c>
      <c r="E1302" s="22" t="s">
        <v>5041</v>
      </c>
      <c r="F1302" s="22" t="s">
        <v>5042</v>
      </c>
      <c r="G1302" s="22" t="s">
        <v>5043</v>
      </c>
      <c r="H1302" s="22" t="s">
        <v>5044</v>
      </c>
      <c r="I1302" s="22" t="s">
        <v>23</v>
      </c>
      <c r="J1302" s="23">
        <v>2000</v>
      </c>
      <c r="K1302" s="22" t="s">
        <v>24</v>
      </c>
      <c r="L1302" s="23" t="s">
        <v>30</v>
      </c>
      <c r="M1302" s="23" t="s">
        <v>30</v>
      </c>
      <c r="N1302" s="22"/>
      <c r="O1302" s="22"/>
    </row>
    <row r="1303" spans="1:15" ht="13.5" customHeight="1" x14ac:dyDescent="0.25">
      <c r="A1303" s="1"/>
      <c r="B1303" s="20">
        <v>1291</v>
      </c>
      <c r="C1303" s="20">
        <v>2023</v>
      </c>
      <c r="D1303" s="20">
        <v>10854</v>
      </c>
      <c r="E1303" s="20" t="s">
        <v>5045</v>
      </c>
      <c r="F1303" s="20" t="s">
        <v>5046</v>
      </c>
      <c r="G1303" s="20" t="s">
        <v>5047</v>
      </c>
      <c r="H1303" s="20" t="s">
        <v>5048</v>
      </c>
      <c r="I1303" s="20" t="s">
        <v>23</v>
      </c>
      <c r="J1303" s="21">
        <v>2000</v>
      </c>
      <c r="K1303" s="20" t="s">
        <v>24</v>
      </c>
      <c r="L1303" s="21" t="s">
        <v>30</v>
      </c>
      <c r="M1303" s="21" t="s">
        <v>30</v>
      </c>
      <c r="N1303" s="20"/>
      <c r="O1303" s="20"/>
    </row>
    <row r="1304" spans="1:15" ht="13.5" customHeight="1" x14ac:dyDescent="0.25">
      <c r="A1304" s="1"/>
      <c r="B1304" s="22">
        <v>1292</v>
      </c>
      <c r="C1304" s="22">
        <v>2023</v>
      </c>
      <c r="D1304" s="22">
        <v>285</v>
      </c>
      <c r="E1304" s="22" t="s">
        <v>5049</v>
      </c>
      <c r="F1304" s="22" t="s">
        <v>5050</v>
      </c>
      <c r="G1304" s="22" t="s">
        <v>5051</v>
      </c>
      <c r="H1304" s="22" t="s">
        <v>5052</v>
      </c>
      <c r="I1304" s="22" t="s">
        <v>23</v>
      </c>
      <c r="J1304" s="23">
        <v>2000</v>
      </c>
      <c r="K1304" s="22" t="s">
        <v>44</v>
      </c>
      <c r="L1304" s="23" t="s">
        <v>30</v>
      </c>
      <c r="M1304" s="23" t="s">
        <v>30</v>
      </c>
      <c r="N1304" s="22"/>
      <c r="O1304" s="22"/>
    </row>
    <row r="1305" spans="1:15" ht="13.5" customHeight="1" x14ac:dyDescent="0.25">
      <c r="A1305" s="1"/>
      <c r="B1305" s="20">
        <v>1293</v>
      </c>
      <c r="C1305" s="20">
        <v>2023</v>
      </c>
      <c r="D1305" s="20">
        <v>10910</v>
      </c>
      <c r="E1305" s="20" t="s">
        <v>5053</v>
      </c>
      <c r="F1305" s="20" t="s">
        <v>5054</v>
      </c>
      <c r="G1305" s="20" t="s">
        <v>5055</v>
      </c>
      <c r="H1305" s="20" t="s">
        <v>5056</v>
      </c>
      <c r="I1305" s="20" t="s">
        <v>23</v>
      </c>
      <c r="J1305" s="21">
        <v>2000</v>
      </c>
      <c r="K1305" s="20" t="s">
        <v>24</v>
      </c>
      <c r="L1305" s="21" t="s">
        <v>30</v>
      </c>
      <c r="M1305" s="21" t="s">
        <v>30</v>
      </c>
      <c r="N1305" s="20"/>
      <c r="O1305" s="20"/>
    </row>
    <row r="1306" spans="1:15" ht="13.5" customHeight="1" x14ac:dyDescent="0.25">
      <c r="A1306" s="1"/>
      <c r="B1306" s="22">
        <v>1294</v>
      </c>
      <c r="C1306" s="22">
        <v>2023</v>
      </c>
      <c r="D1306" s="22">
        <v>21</v>
      </c>
      <c r="E1306" s="22" t="s">
        <v>5057</v>
      </c>
      <c r="F1306" s="22" t="s">
        <v>5058</v>
      </c>
      <c r="G1306" s="22" t="s">
        <v>5059</v>
      </c>
      <c r="H1306" s="22" t="s">
        <v>5060</v>
      </c>
      <c r="I1306" s="22" t="s">
        <v>223</v>
      </c>
      <c r="J1306" s="23">
        <v>2000</v>
      </c>
      <c r="K1306" s="22" t="s">
        <v>63</v>
      </c>
      <c r="L1306" s="23" t="s">
        <v>30</v>
      </c>
      <c r="M1306" s="23" t="s">
        <v>30</v>
      </c>
      <c r="N1306" s="22"/>
      <c r="O1306" s="22"/>
    </row>
    <row r="1307" spans="1:15" ht="13.5" customHeight="1" x14ac:dyDescent="0.25">
      <c r="A1307" s="1"/>
      <c r="B1307" s="20">
        <v>1295</v>
      </c>
      <c r="C1307" s="20">
        <v>2023</v>
      </c>
      <c r="D1307" s="20">
        <v>10851</v>
      </c>
      <c r="E1307" s="20" t="s">
        <v>5061</v>
      </c>
      <c r="F1307" s="20" t="s">
        <v>5062</v>
      </c>
      <c r="G1307" s="20" t="s">
        <v>5063</v>
      </c>
      <c r="H1307" s="20" t="s">
        <v>5064</v>
      </c>
      <c r="I1307" s="20" t="s">
        <v>23</v>
      </c>
      <c r="J1307" s="21">
        <v>2000</v>
      </c>
      <c r="K1307" s="20" t="s">
        <v>114</v>
      </c>
      <c r="L1307" s="21" t="s">
        <v>30</v>
      </c>
      <c r="M1307" s="21" t="s">
        <v>30</v>
      </c>
      <c r="N1307" s="20"/>
      <c r="O1307" s="20"/>
    </row>
    <row r="1308" spans="1:15" ht="13.5" customHeight="1" x14ac:dyDescent="0.25">
      <c r="A1308" s="1"/>
      <c r="B1308" s="22">
        <v>1296</v>
      </c>
      <c r="C1308" s="22">
        <v>2023</v>
      </c>
      <c r="D1308" s="22">
        <v>10958</v>
      </c>
      <c r="E1308" s="22" t="s">
        <v>5065</v>
      </c>
      <c r="F1308" s="22" t="s">
        <v>5066</v>
      </c>
      <c r="G1308" s="22" t="s">
        <v>5067</v>
      </c>
      <c r="H1308" s="22" t="s">
        <v>5068</v>
      </c>
      <c r="I1308" s="22" t="s">
        <v>23</v>
      </c>
      <c r="J1308" s="23">
        <v>2000</v>
      </c>
      <c r="K1308" s="22" t="s">
        <v>44</v>
      </c>
      <c r="L1308" s="23" t="s">
        <v>30</v>
      </c>
      <c r="M1308" s="23" t="s">
        <v>30</v>
      </c>
      <c r="N1308" s="22"/>
      <c r="O1308" s="22"/>
    </row>
    <row r="1309" spans="1:15" ht="13.5" customHeight="1" x14ac:dyDescent="0.25">
      <c r="A1309" s="1"/>
      <c r="B1309" s="20">
        <v>1297</v>
      </c>
      <c r="C1309" s="20">
        <v>2023</v>
      </c>
      <c r="D1309" s="20">
        <v>10857</v>
      </c>
      <c r="E1309" s="20" t="s">
        <v>5069</v>
      </c>
      <c r="F1309" s="20" t="s">
        <v>5070</v>
      </c>
      <c r="G1309" s="20" t="s">
        <v>5071</v>
      </c>
      <c r="H1309" s="20" t="s">
        <v>5072</v>
      </c>
      <c r="I1309" s="20" t="s">
        <v>23</v>
      </c>
      <c r="J1309" s="21">
        <v>2000</v>
      </c>
      <c r="K1309" s="20" t="s">
        <v>73</v>
      </c>
      <c r="L1309" s="21" t="s">
        <v>30</v>
      </c>
      <c r="M1309" s="21" t="s">
        <v>30</v>
      </c>
      <c r="N1309" s="20"/>
      <c r="O1309" s="20"/>
    </row>
    <row r="1310" spans="1:15" ht="13.5" customHeight="1" x14ac:dyDescent="0.25">
      <c r="A1310" s="1"/>
      <c r="B1310" s="22">
        <v>1298</v>
      </c>
      <c r="C1310" s="22">
        <v>2023</v>
      </c>
      <c r="D1310" s="22">
        <v>12663</v>
      </c>
      <c r="E1310" s="22" t="s">
        <v>5073</v>
      </c>
      <c r="F1310" s="22" t="s">
        <v>5074</v>
      </c>
      <c r="G1310" s="22" t="s">
        <v>5075</v>
      </c>
      <c r="H1310" s="22" t="s">
        <v>5076</v>
      </c>
      <c r="I1310" s="22" t="s">
        <v>23</v>
      </c>
      <c r="J1310" s="23">
        <v>2009</v>
      </c>
      <c r="K1310" s="22" t="s">
        <v>39</v>
      </c>
      <c r="L1310" s="23" t="s">
        <v>30</v>
      </c>
      <c r="M1310" s="23"/>
      <c r="N1310" s="22" t="s">
        <v>431</v>
      </c>
      <c r="O1310" s="22"/>
    </row>
    <row r="1311" spans="1:15" ht="13.5" customHeight="1" x14ac:dyDescent="0.25">
      <c r="A1311" s="1"/>
      <c r="B1311" s="20">
        <v>1299</v>
      </c>
      <c r="C1311" s="20">
        <v>2023</v>
      </c>
      <c r="D1311" s="20">
        <v>12206</v>
      </c>
      <c r="E1311" s="20" t="s">
        <v>5077</v>
      </c>
      <c r="F1311" s="20" t="s">
        <v>5078</v>
      </c>
      <c r="G1311" s="20" t="s">
        <v>5079</v>
      </c>
      <c r="H1311" s="20" t="s">
        <v>5080</v>
      </c>
      <c r="I1311" s="20" t="s">
        <v>4202</v>
      </c>
      <c r="J1311" s="21">
        <v>2000</v>
      </c>
      <c r="K1311" s="20" t="s">
        <v>67</v>
      </c>
      <c r="L1311" s="21" t="s">
        <v>30</v>
      </c>
      <c r="M1311" s="21" t="s">
        <v>30</v>
      </c>
      <c r="N1311" s="20" t="s">
        <v>35</v>
      </c>
      <c r="O1311" s="20"/>
    </row>
    <row r="1312" spans="1:15" ht="13.5" customHeight="1" x14ac:dyDescent="0.25">
      <c r="A1312" s="1"/>
      <c r="B1312" s="22">
        <v>1300</v>
      </c>
      <c r="C1312" s="22">
        <v>2023</v>
      </c>
      <c r="D1312" s="22">
        <v>40846</v>
      </c>
      <c r="E1312" s="22" t="s">
        <v>5081</v>
      </c>
      <c r="F1312" s="22" t="s">
        <v>5082</v>
      </c>
      <c r="G1312" s="22" t="s">
        <v>5083</v>
      </c>
      <c r="H1312" s="22" t="s">
        <v>5084</v>
      </c>
      <c r="I1312" s="22" t="s">
        <v>23</v>
      </c>
      <c r="J1312" s="23">
        <v>2015</v>
      </c>
      <c r="K1312" s="22" t="s">
        <v>34</v>
      </c>
      <c r="L1312" s="23" t="s">
        <v>30</v>
      </c>
      <c r="M1312" s="23"/>
      <c r="N1312" s="22" t="s">
        <v>68</v>
      </c>
      <c r="O1312" s="22"/>
    </row>
    <row r="1313" spans="1:15" ht="13.5" customHeight="1" x14ac:dyDescent="0.25">
      <c r="A1313" s="1"/>
      <c r="B1313" s="20">
        <v>1301</v>
      </c>
      <c r="C1313" s="20">
        <v>2023</v>
      </c>
      <c r="D1313" s="20">
        <v>10912</v>
      </c>
      <c r="E1313" s="20" t="s">
        <v>5085</v>
      </c>
      <c r="F1313" s="20" t="s">
        <v>5086</v>
      </c>
      <c r="G1313" s="20" t="s">
        <v>5087</v>
      </c>
      <c r="H1313" s="20" t="s">
        <v>5088</v>
      </c>
      <c r="I1313" s="20" t="s">
        <v>23</v>
      </c>
      <c r="J1313" s="21">
        <v>2000</v>
      </c>
      <c r="K1313" s="20" t="s">
        <v>664</v>
      </c>
      <c r="L1313" s="21" t="s">
        <v>30</v>
      </c>
      <c r="M1313" s="21" t="s">
        <v>30</v>
      </c>
      <c r="N1313" s="20"/>
      <c r="O1313" s="20"/>
    </row>
    <row r="1314" spans="1:15" ht="13.5" customHeight="1" x14ac:dyDescent="0.25">
      <c r="A1314" s="1"/>
      <c r="B1314" s="22">
        <v>1302</v>
      </c>
      <c r="C1314" s="22">
        <v>2023</v>
      </c>
      <c r="D1314" s="22">
        <v>10916</v>
      </c>
      <c r="E1314" s="22" t="s">
        <v>5089</v>
      </c>
      <c r="F1314" s="22" t="s">
        <v>5090</v>
      </c>
      <c r="G1314" s="22"/>
      <c r="H1314" s="22" t="s">
        <v>5091</v>
      </c>
      <c r="I1314" s="22" t="s">
        <v>23</v>
      </c>
      <c r="J1314" s="23">
        <v>2000</v>
      </c>
      <c r="K1314" s="22" t="s">
        <v>39</v>
      </c>
      <c r="L1314" s="23"/>
      <c r="M1314" s="23" t="s">
        <v>30</v>
      </c>
      <c r="N1314" s="22"/>
      <c r="O1314" s="22"/>
    </row>
    <row r="1315" spans="1:15" ht="13.5" customHeight="1" x14ac:dyDescent="0.25">
      <c r="A1315" s="1"/>
      <c r="B1315" s="20">
        <v>1303</v>
      </c>
      <c r="C1315" s="20">
        <v>2023</v>
      </c>
      <c r="D1315" s="20">
        <v>13181</v>
      </c>
      <c r="E1315" s="20" t="s">
        <v>5092</v>
      </c>
      <c r="F1315" s="20" t="s">
        <v>5093</v>
      </c>
      <c r="G1315" s="20"/>
      <c r="H1315" s="20" t="s">
        <v>5094</v>
      </c>
      <c r="I1315" s="20" t="s">
        <v>23</v>
      </c>
      <c r="J1315" s="21">
        <v>2005</v>
      </c>
      <c r="K1315" s="20" t="s">
        <v>34</v>
      </c>
      <c r="L1315" s="21"/>
      <c r="M1315" s="21"/>
      <c r="N1315" s="20" t="s">
        <v>173</v>
      </c>
      <c r="O1315" s="20"/>
    </row>
    <row r="1316" spans="1:15" ht="13.5" customHeight="1" x14ac:dyDescent="0.25">
      <c r="A1316" s="1"/>
      <c r="B1316" s="22">
        <v>1304</v>
      </c>
      <c r="C1316" s="22">
        <v>2023</v>
      </c>
      <c r="D1316" s="22">
        <v>10396</v>
      </c>
      <c r="E1316" s="22" t="s">
        <v>5095</v>
      </c>
      <c r="F1316" s="22" t="s">
        <v>5096</v>
      </c>
      <c r="G1316" s="22" t="s">
        <v>5097</v>
      </c>
      <c r="H1316" s="22" t="s">
        <v>5098</v>
      </c>
      <c r="I1316" s="22" t="s">
        <v>23</v>
      </c>
      <c r="J1316" s="23">
        <v>2001</v>
      </c>
      <c r="K1316" s="22" t="s">
        <v>39</v>
      </c>
      <c r="L1316" s="23" t="s">
        <v>30</v>
      </c>
      <c r="M1316" s="23" t="s">
        <v>30</v>
      </c>
      <c r="N1316" s="22"/>
      <c r="O1316" s="22"/>
    </row>
    <row r="1317" spans="1:15" ht="13.5" customHeight="1" x14ac:dyDescent="0.25">
      <c r="A1317" s="1"/>
      <c r="B1317" s="20">
        <v>1305</v>
      </c>
      <c r="C1317" s="20">
        <v>2023</v>
      </c>
      <c r="D1317" s="20">
        <v>41965</v>
      </c>
      <c r="E1317" s="20" t="s">
        <v>5099</v>
      </c>
      <c r="F1317" s="20" t="s">
        <v>5100</v>
      </c>
      <c r="G1317" s="20" t="s">
        <v>5101</v>
      </c>
      <c r="H1317" s="20" t="s">
        <v>5102</v>
      </c>
      <c r="I1317" s="20" t="s">
        <v>23</v>
      </c>
      <c r="J1317" s="21">
        <v>2019</v>
      </c>
      <c r="K1317" s="20" t="s">
        <v>114</v>
      </c>
      <c r="L1317" s="21" t="s">
        <v>30</v>
      </c>
      <c r="M1317" s="21"/>
      <c r="N1317" s="20" t="s">
        <v>218</v>
      </c>
      <c r="O1317" s="20"/>
    </row>
    <row r="1318" spans="1:15" ht="13.5" customHeight="1" x14ac:dyDescent="0.25">
      <c r="A1318" s="1"/>
      <c r="B1318" s="22">
        <v>1306</v>
      </c>
      <c r="C1318" s="22">
        <v>2023</v>
      </c>
      <c r="D1318" s="22">
        <v>13351</v>
      </c>
      <c r="E1318" s="22" t="s">
        <v>5103</v>
      </c>
      <c r="F1318" s="22" t="s">
        <v>5104</v>
      </c>
      <c r="G1318" s="22" t="s">
        <v>5105</v>
      </c>
      <c r="H1318" s="22" t="s">
        <v>5106</v>
      </c>
      <c r="I1318" s="22" t="s">
        <v>5107</v>
      </c>
      <c r="J1318" s="23">
        <v>2011</v>
      </c>
      <c r="K1318" s="22" t="s">
        <v>95</v>
      </c>
      <c r="L1318" s="23" t="s">
        <v>30</v>
      </c>
      <c r="M1318" s="23"/>
      <c r="N1318" s="22" t="s">
        <v>275</v>
      </c>
      <c r="O1318" s="22"/>
    </row>
    <row r="1319" spans="1:15" ht="13.5" customHeight="1" x14ac:dyDescent="0.25">
      <c r="A1319" s="1"/>
      <c r="B1319" s="20">
        <v>1307</v>
      </c>
      <c r="C1319" s="20">
        <v>2023</v>
      </c>
      <c r="D1319" s="20">
        <v>12213</v>
      </c>
      <c r="E1319" s="20" t="s">
        <v>5108</v>
      </c>
      <c r="F1319" s="20" t="s">
        <v>5109</v>
      </c>
      <c r="G1319" s="20"/>
      <c r="H1319" s="20" t="s">
        <v>5110</v>
      </c>
      <c r="I1319" s="20" t="s">
        <v>23</v>
      </c>
      <c r="J1319" s="21">
        <v>2008</v>
      </c>
      <c r="K1319" s="20" t="s">
        <v>67</v>
      </c>
      <c r="L1319" s="21"/>
      <c r="M1319" s="21" t="s">
        <v>30</v>
      </c>
      <c r="N1319" s="20" t="s">
        <v>35</v>
      </c>
      <c r="O1319" s="20"/>
    </row>
    <row r="1320" spans="1:15" ht="13.5" customHeight="1" x14ac:dyDescent="0.25">
      <c r="A1320" s="1"/>
      <c r="B1320" s="22">
        <v>1308</v>
      </c>
      <c r="C1320" s="22">
        <v>2023</v>
      </c>
      <c r="D1320" s="22">
        <v>12275</v>
      </c>
      <c r="E1320" s="22" t="s">
        <v>5111</v>
      </c>
      <c r="F1320" s="22" t="s">
        <v>5112</v>
      </c>
      <c r="G1320" s="22"/>
      <c r="H1320" s="22" t="s">
        <v>5113</v>
      </c>
      <c r="I1320" s="22" t="s">
        <v>5114</v>
      </c>
      <c r="J1320" s="23">
        <v>2008</v>
      </c>
      <c r="K1320" s="22" t="s">
        <v>34</v>
      </c>
      <c r="L1320" s="23"/>
      <c r="M1320" s="23" t="s">
        <v>30</v>
      </c>
      <c r="N1320" s="22" t="s">
        <v>35</v>
      </c>
      <c r="O1320" s="22"/>
    </row>
    <row r="1321" spans="1:15" ht="13.5" customHeight="1" x14ac:dyDescent="0.25">
      <c r="A1321" s="1"/>
      <c r="B1321" s="20">
        <v>1309</v>
      </c>
      <c r="C1321" s="20">
        <v>2023</v>
      </c>
      <c r="D1321" s="20">
        <v>10913</v>
      </c>
      <c r="E1321" s="20" t="s">
        <v>5115</v>
      </c>
      <c r="F1321" s="20" t="s">
        <v>5116</v>
      </c>
      <c r="G1321" s="20" t="s">
        <v>5117</v>
      </c>
      <c r="H1321" s="20" t="s">
        <v>5118</v>
      </c>
      <c r="I1321" s="20" t="s">
        <v>62</v>
      </c>
      <c r="J1321" s="21">
        <v>2000</v>
      </c>
      <c r="K1321" s="20" t="s">
        <v>95</v>
      </c>
      <c r="L1321" s="21" t="s">
        <v>30</v>
      </c>
      <c r="M1321" s="21" t="s">
        <v>30</v>
      </c>
      <c r="N1321" s="20"/>
      <c r="O1321" s="20"/>
    </row>
    <row r="1322" spans="1:15" ht="13.5" customHeight="1" x14ac:dyDescent="0.25">
      <c r="A1322" s="1"/>
      <c r="B1322" s="22">
        <v>1310</v>
      </c>
      <c r="C1322" s="22">
        <v>2023</v>
      </c>
      <c r="D1322" s="22">
        <v>239</v>
      </c>
      <c r="E1322" s="22" t="s">
        <v>5119</v>
      </c>
      <c r="F1322" s="22" t="s">
        <v>5120</v>
      </c>
      <c r="G1322" s="22" t="s">
        <v>5121</v>
      </c>
      <c r="H1322" s="22" t="s">
        <v>5122</v>
      </c>
      <c r="I1322" s="22" t="s">
        <v>23</v>
      </c>
      <c r="J1322" s="23">
        <v>2000</v>
      </c>
      <c r="K1322" s="22" t="s">
        <v>34</v>
      </c>
      <c r="L1322" s="23" t="s">
        <v>30</v>
      </c>
      <c r="M1322" s="23" t="s">
        <v>30</v>
      </c>
      <c r="N1322" s="22"/>
      <c r="O1322" s="22"/>
    </row>
    <row r="1323" spans="1:15" ht="13.5" customHeight="1" x14ac:dyDescent="0.25">
      <c r="A1323" s="1"/>
      <c r="B1323" s="20">
        <v>1311</v>
      </c>
      <c r="C1323" s="20">
        <v>2023</v>
      </c>
      <c r="D1323" s="20">
        <v>10735</v>
      </c>
      <c r="E1323" s="20" t="s">
        <v>5123</v>
      </c>
      <c r="F1323" s="20" t="s">
        <v>5124</v>
      </c>
      <c r="G1323" s="20" t="s">
        <v>5125</v>
      </c>
      <c r="H1323" s="20" t="s">
        <v>5126</v>
      </c>
      <c r="I1323" s="20" t="s">
        <v>23</v>
      </c>
      <c r="J1323" s="21">
        <v>2000</v>
      </c>
      <c r="K1323" s="20" t="s">
        <v>34</v>
      </c>
      <c r="L1323" s="21" t="s">
        <v>30</v>
      </c>
      <c r="M1323" s="21" t="s">
        <v>30</v>
      </c>
      <c r="N1323" s="20"/>
      <c r="O1323" s="20"/>
    </row>
    <row r="1324" spans="1:15" ht="13.5" customHeight="1" x14ac:dyDescent="0.25">
      <c r="A1324" s="1"/>
      <c r="B1324" s="22">
        <v>1312</v>
      </c>
      <c r="C1324" s="22">
        <v>2023</v>
      </c>
      <c r="D1324" s="22">
        <v>109</v>
      </c>
      <c r="E1324" s="22" t="s">
        <v>5127</v>
      </c>
      <c r="F1324" s="22" t="s">
        <v>5128</v>
      </c>
      <c r="G1324" s="22" t="s">
        <v>5129</v>
      </c>
      <c r="H1324" s="22" t="s">
        <v>5130</v>
      </c>
      <c r="I1324" s="22" t="s">
        <v>23</v>
      </c>
      <c r="J1324" s="23">
        <v>2000</v>
      </c>
      <c r="K1324" s="22" t="s">
        <v>34</v>
      </c>
      <c r="L1324" s="23" t="s">
        <v>30</v>
      </c>
      <c r="M1324" s="23" t="s">
        <v>30</v>
      </c>
      <c r="N1324" s="22"/>
      <c r="O1324" s="22"/>
    </row>
    <row r="1325" spans="1:15" ht="13.5" customHeight="1" x14ac:dyDescent="0.25">
      <c r="A1325" s="1"/>
      <c r="B1325" s="20">
        <v>1313</v>
      </c>
      <c r="C1325" s="20">
        <v>2023</v>
      </c>
      <c r="D1325" s="20">
        <v>894</v>
      </c>
      <c r="E1325" s="20" t="s">
        <v>5131</v>
      </c>
      <c r="F1325" s="20" t="s">
        <v>5132</v>
      </c>
      <c r="G1325" s="20" t="s">
        <v>5133</v>
      </c>
      <c r="H1325" s="20" t="s">
        <v>5134</v>
      </c>
      <c r="I1325" s="20" t="s">
        <v>23</v>
      </c>
      <c r="J1325" s="21">
        <v>2000</v>
      </c>
      <c r="K1325" s="20" t="s">
        <v>24</v>
      </c>
      <c r="L1325" s="21" t="s">
        <v>30</v>
      </c>
      <c r="M1325" s="21" t="s">
        <v>30</v>
      </c>
      <c r="N1325" s="20"/>
      <c r="O1325" s="20"/>
    </row>
    <row r="1326" spans="1:15" ht="13.5" customHeight="1" x14ac:dyDescent="0.25">
      <c r="A1326" s="1"/>
      <c r="B1326" s="22">
        <v>1314</v>
      </c>
      <c r="C1326" s="22">
        <v>2023</v>
      </c>
      <c r="D1326" s="22">
        <v>12031</v>
      </c>
      <c r="E1326" s="22" t="s">
        <v>5135</v>
      </c>
      <c r="F1326" s="22" t="s">
        <v>5136</v>
      </c>
      <c r="G1326" s="22" t="s">
        <v>5137</v>
      </c>
      <c r="H1326" s="22" t="s">
        <v>5138</v>
      </c>
      <c r="I1326" s="22" t="s">
        <v>23</v>
      </c>
      <c r="J1326" s="23">
        <v>2000</v>
      </c>
      <c r="K1326" s="22" t="s">
        <v>34</v>
      </c>
      <c r="L1326" s="23" t="s">
        <v>30</v>
      </c>
      <c r="M1326" s="23" t="s">
        <v>30</v>
      </c>
      <c r="N1326" s="22" t="s">
        <v>74</v>
      </c>
      <c r="O1326" s="22"/>
    </row>
    <row r="1327" spans="1:15" ht="13.5" customHeight="1" x14ac:dyDescent="0.25">
      <c r="A1327" s="1"/>
      <c r="B1327" s="20">
        <v>1315</v>
      </c>
      <c r="C1327" s="20">
        <v>2023</v>
      </c>
      <c r="D1327" s="20">
        <v>11629</v>
      </c>
      <c r="E1327" s="20" t="s">
        <v>5139</v>
      </c>
      <c r="F1327" s="20" t="s">
        <v>5140</v>
      </c>
      <c r="G1327" s="20" t="s">
        <v>5141</v>
      </c>
      <c r="H1327" s="20" t="s">
        <v>5142</v>
      </c>
      <c r="I1327" s="20" t="s">
        <v>94</v>
      </c>
      <c r="J1327" s="21">
        <v>2004</v>
      </c>
      <c r="K1327" s="20" t="s">
        <v>95</v>
      </c>
      <c r="L1327" s="21" t="s">
        <v>30</v>
      </c>
      <c r="M1327" s="21" t="s">
        <v>30</v>
      </c>
      <c r="N1327" s="20" t="s">
        <v>74</v>
      </c>
      <c r="O1327" s="20"/>
    </row>
    <row r="1328" spans="1:15" ht="13.5" customHeight="1" x14ac:dyDescent="0.25">
      <c r="A1328" s="1"/>
      <c r="B1328" s="22">
        <v>1316</v>
      </c>
      <c r="C1328" s="22">
        <v>2023</v>
      </c>
      <c r="D1328" s="22">
        <v>10974</v>
      </c>
      <c r="E1328" s="22" t="s">
        <v>5143</v>
      </c>
      <c r="F1328" s="22" t="s">
        <v>5144</v>
      </c>
      <c r="G1328" s="22" t="s">
        <v>5145</v>
      </c>
      <c r="H1328" s="22" t="s">
        <v>5146</v>
      </c>
      <c r="I1328" s="22" t="s">
        <v>23</v>
      </c>
      <c r="J1328" s="23">
        <v>2000</v>
      </c>
      <c r="K1328" s="22" t="s">
        <v>34</v>
      </c>
      <c r="L1328" s="23" t="s">
        <v>30</v>
      </c>
      <c r="M1328" s="23" t="s">
        <v>30</v>
      </c>
      <c r="N1328" s="22"/>
      <c r="O1328" s="22"/>
    </row>
    <row r="1329" spans="1:15" ht="13.5" customHeight="1" x14ac:dyDescent="0.25">
      <c r="A1329" s="1"/>
      <c r="B1329" s="20">
        <v>1317</v>
      </c>
      <c r="C1329" s="20">
        <v>2023</v>
      </c>
      <c r="D1329" s="20">
        <v>11051</v>
      </c>
      <c r="E1329" s="20" t="s">
        <v>5147</v>
      </c>
      <c r="F1329" s="20" t="s">
        <v>5148</v>
      </c>
      <c r="G1329" s="20" t="s">
        <v>5149</v>
      </c>
      <c r="H1329" s="20" t="s">
        <v>5150</v>
      </c>
      <c r="I1329" s="20" t="s">
        <v>23</v>
      </c>
      <c r="J1329" s="21">
        <v>2000</v>
      </c>
      <c r="K1329" s="20" t="s">
        <v>24</v>
      </c>
      <c r="L1329" s="21" t="s">
        <v>30</v>
      </c>
      <c r="M1329" s="21" t="s">
        <v>30</v>
      </c>
      <c r="N1329" s="20"/>
      <c r="O1329" s="20"/>
    </row>
    <row r="1330" spans="1:15" ht="13.5" customHeight="1" x14ac:dyDescent="0.25">
      <c r="A1330" s="1"/>
      <c r="B1330" s="22">
        <v>1318</v>
      </c>
      <c r="C1330" s="22">
        <v>2023</v>
      </c>
      <c r="D1330" s="22">
        <v>40097</v>
      </c>
      <c r="E1330" s="22" t="s">
        <v>5151</v>
      </c>
      <c r="F1330" s="22" t="s">
        <v>5152</v>
      </c>
      <c r="G1330" s="22"/>
      <c r="H1330" s="22" t="s">
        <v>5153</v>
      </c>
      <c r="I1330" s="22" t="s">
        <v>23</v>
      </c>
      <c r="J1330" s="23">
        <v>2012</v>
      </c>
      <c r="K1330" s="22" t="s">
        <v>24</v>
      </c>
      <c r="L1330" s="23"/>
      <c r="M1330" s="23"/>
      <c r="N1330" s="22"/>
      <c r="O1330" s="22"/>
    </row>
    <row r="1331" spans="1:15" ht="13.5" customHeight="1" x14ac:dyDescent="0.25">
      <c r="A1331" s="1"/>
      <c r="B1331" s="20">
        <v>1319</v>
      </c>
      <c r="C1331" s="20">
        <v>2023</v>
      </c>
      <c r="D1331" s="20">
        <v>11418</v>
      </c>
      <c r="E1331" s="20" t="s">
        <v>5154</v>
      </c>
      <c r="F1331" s="20" t="s">
        <v>5155</v>
      </c>
      <c r="G1331" s="20" t="s">
        <v>5156</v>
      </c>
      <c r="H1331" s="20" t="s">
        <v>5157</v>
      </c>
      <c r="I1331" s="20" t="s">
        <v>23</v>
      </c>
      <c r="J1331" s="21">
        <v>2006</v>
      </c>
      <c r="K1331" s="20" t="s">
        <v>34</v>
      </c>
      <c r="L1331" s="21" t="s">
        <v>30</v>
      </c>
      <c r="M1331" s="21" t="s">
        <v>30</v>
      </c>
      <c r="N1331" s="20"/>
      <c r="O1331" s="20"/>
    </row>
    <row r="1332" spans="1:15" ht="13.5" customHeight="1" x14ac:dyDescent="0.25">
      <c r="A1332" s="1"/>
      <c r="B1332" s="22">
        <v>1320</v>
      </c>
      <c r="C1332" s="22">
        <v>2023</v>
      </c>
      <c r="D1332" s="22">
        <v>40620</v>
      </c>
      <c r="E1332" s="22" t="s">
        <v>5158</v>
      </c>
      <c r="F1332" s="22" t="s">
        <v>5159</v>
      </c>
      <c r="G1332" s="22"/>
      <c r="H1332" s="22" t="s">
        <v>5160</v>
      </c>
      <c r="I1332" s="22" t="s">
        <v>23</v>
      </c>
      <c r="J1332" s="23">
        <v>2014</v>
      </c>
      <c r="K1332" s="22" t="s">
        <v>39</v>
      </c>
      <c r="L1332" s="23"/>
      <c r="M1332" s="23"/>
      <c r="N1332" s="22" t="s">
        <v>53</v>
      </c>
      <c r="O1332" s="22"/>
    </row>
    <row r="1333" spans="1:15" ht="13.5" customHeight="1" x14ac:dyDescent="0.25">
      <c r="A1333" s="1"/>
      <c r="B1333" s="20">
        <v>1321</v>
      </c>
      <c r="C1333" s="20">
        <v>2023</v>
      </c>
      <c r="D1333" s="20">
        <v>10922</v>
      </c>
      <c r="E1333" s="20" t="s">
        <v>5161</v>
      </c>
      <c r="F1333" s="20" t="s">
        <v>5162</v>
      </c>
      <c r="G1333" s="20" t="s">
        <v>5163</v>
      </c>
      <c r="H1333" s="20" t="s">
        <v>5164</v>
      </c>
      <c r="I1333" s="20" t="s">
        <v>23</v>
      </c>
      <c r="J1333" s="21">
        <v>2000</v>
      </c>
      <c r="K1333" s="20" t="s">
        <v>114</v>
      </c>
      <c r="L1333" s="21" t="s">
        <v>30</v>
      </c>
      <c r="M1333" s="21" t="s">
        <v>30</v>
      </c>
      <c r="N1333" s="20"/>
      <c r="O1333" s="20"/>
    </row>
    <row r="1334" spans="1:15" ht="13.5" customHeight="1" x14ac:dyDescent="0.25">
      <c r="A1334" s="1"/>
      <c r="B1334" s="22">
        <v>1322</v>
      </c>
      <c r="C1334" s="22">
        <v>2023</v>
      </c>
      <c r="D1334" s="22">
        <v>702</v>
      </c>
      <c r="E1334" s="22" t="s">
        <v>5165</v>
      </c>
      <c r="F1334" s="22" t="s">
        <v>5166</v>
      </c>
      <c r="G1334" s="22" t="s">
        <v>5167</v>
      </c>
      <c r="H1334" s="22" t="s">
        <v>5168</v>
      </c>
      <c r="I1334" s="22" t="s">
        <v>23</v>
      </c>
      <c r="J1334" s="23">
        <v>2000</v>
      </c>
      <c r="K1334" s="22" t="s">
        <v>39</v>
      </c>
      <c r="L1334" s="23" t="s">
        <v>30</v>
      </c>
      <c r="M1334" s="23" t="s">
        <v>30</v>
      </c>
      <c r="N1334" s="22"/>
      <c r="O1334" s="22"/>
    </row>
    <row r="1335" spans="1:15" ht="13.5" customHeight="1" x14ac:dyDescent="0.25">
      <c r="A1335" s="1"/>
      <c r="B1335" s="20">
        <v>1323</v>
      </c>
      <c r="C1335" s="20">
        <v>2023</v>
      </c>
      <c r="D1335" s="20">
        <v>11481</v>
      </c>
      <c r="E1335" s="20" t="s">
        <v>5169</v>
      </c>
      <c r="F1335" s="20" t="s">
        <v>5170</v>
      </c>
      <c r="G1335" s="20" t="s">
        <v>5171</v>
      </c>
      <c r="H1335" s="20" t="s">
        <v>5172</v>
      </c>
      <c r="I1335" s="20" t="s">
        <v>23</v>
      </c>
      <c r="J1335" s="21">
        <v>2006</v>
      </c>
      <c r="K1335" s="20" t="s">
        <v>34</v>
      </c>
      <c r="L1335" s="21" t="s">
        <v>30</v>
      </c>
      <c r="M1335" s="21" t="s">
        <v>30</v>
      </c>
      <c r="N1335" s="20"/>
      <c r="O1335" s="20"/>
    </row>
    <row r="1336" spans="1:15" ht="13.5" customHeight="1" x14ac:dyDescent="0.25">
      <c r="A1336" s="1"/>
      <c r="B1336" s="22">
        <v>1324</v>
      </c>
      <c r="C1336" s="22">
        <v>2023</v>
      </c>
      <c r="D1336" s="22">
        <v>415</v>
      </c>
      <c r="E1336" s="22" t="s">
        <v>5173</v>
      </c>
      <c r="F1336" s="22" t="s">
        <v>5174</v>
      </c>
      <c r="G1336" s="22" t="s">
        <v>5175</v>
      </c>
      <c r="H1336" s="22" t="s">
        <v>5176</v>
      </c>
      <c r="I1336" s="22" t="s">
        <v>23</v>
      </c>
      <c r="J1336" s="23">
        <v>2000</v>
      </c>
      <c r="K1336" s="22" t="s">
        <v>39</v>
      </c>
      <c r="L1336" s="23" t="s">
        <v>30</v>
      </c>
      <c r="M1336" s="23" t="s">
        <v>30</v>
      </c>
      <c r="N1336" s="22"/>
      <c r="O1336" s="22"/>
    </row>
    <row r="1337" spans="1:15" ht="13.5" customHeight="1" x14ac:dyDescent="0.25">
      <c r="A1337" s="1"/>
      <c r="B1337" s="20">
        <v>1325</v>
      </c>
      <c r="C1337" s="20">
        <v>2023</v>
      </c>
      <c r="D1337" s="20">
        <v>11060</v>
      </c>
      <c r="E1337" s="20" t="s">
        <v>5177</v>
      </c>
      <c r="F1337" s="20" t="s">
        <v>5178</v>
      </c>
      <c r="G1337" s="20"/>
      <c r="H1337" s="20" t="s">
        <v>5179</v>
      </c>
      <c r="I1337" s="20" t="s">
        <v>23</v>
      </c>
      <c r="J1337" s="21">
        <v>2000</v>
      </c>
      <c r="K1337" s="20" t="s">
        <v>39</v>
      </c>
      <c r="L1337" s="21"/>
      <c r="M1337" s="21" t="s">
        <v>30</v>
      </c>
      <c r="N1337" s="20"/>
      <c r="O1337" s="20"/>
    </row>
    <row r="1338" spans="1:15" ht="13.5" customHeight="1" x14ac:dyDescent="0.25">
      <c r="A1338" s="1"/>
      <c r="B1338" s="22">
        <v>1326</v>
      </c>
      <c r="C1338" s="22">
        <v>2023</v>
      </c>
      <c r="D1338" s="22">
        <v>13365</v>
      </c>
      <c r="E1338" s="22" t="s">
        <v>5180</v>
      </c>
      <c r="F1338" s="22" t="s">
        <v>5181</v>
      </c>
      <c r="G1338" s="22" t="s">
        <v>5182</v>
      </c>
      <c r="H1338" s="22" t="s">
        <v>5183</v>
      </c>
      <c r="I1338" s="22" t="s">
        <v>23</v>
      </c>
      <c r="J1338" s="23">
        <v>2001</v>
      </c>
      <c r="K1338" s="22" t="s">
        <v>34</v>
      </c>
      <c r="L1338" s="23" t="s">
        <v>30</v>
      </c>
      <c r="M1338" s="23"/>
      <c r="N1338" s="22" t="s">
        <v>275</v>
      </c>
      <c r="O1338" s="22"/>
    </row>
    <row r="1339" spans="1:15" ht="13.5" customHeight="1" x14ac:dyDescent="0.25">
      <c r="A1339" s="1"/>
      <c r="B1339" s="20">
        <v>1327</v>
      </c>
      <c r="C1339" s="20">
        <v>2023</v>
      </c>
      <c r="D1339" s="20">
        <v>10921</v>
      </c>
      <c r="E1339" s="20" t="s">
        <v>5184</v>
      </c>
      <c r="F1339" s="20" t="s">
        <v>5185</v>
      </c>
      <c r="G1339" s="20" t="s">
        <v>5186</v>
      </c>
      <c r="H1339" s="20" t="s">
        <v>5187</v>
      </c>
      <c r="I1339" s="20" t="s">
        <v>23</v>
      </c>
      <c r="J1339" s="21">
        <v>2000</v>
      </c>
      <c r="K1339" s="20" t="s">
        <v>67</v>
      </c>
      <c r="L1339" s="21" t="s">
        <v>30</v>
      </c>
      <c r="M1339" s="21" t="s">
        <v>30</v>
      </c>
      <c r="N1339" s="20"/>
      <c r="O1339" s="20"/>
    </row>
    <row r="1340" spans="1:15" ht="13.5" customHeight="1" x14ac:dyDescent="0.25">
      <c r="A1340" s="1"/>
      <c r="B1340" s="22">
        <v>1328</v>
      </c>
      <c r="C1340" s="22">
        <v>2023</v>
      </c>
      <c r="D1340" s="22">
        <v>332</v>
      </c>
      <c r="E1340" s="22" t="s">
        <v>5188</v>
      </c>
      <c r="F1340" s="22" t="s">
        <v>5189</v>
      </c>
      <c r="G1340" s="22" t="s">
        <v>5190</v>
      </c>
      <c r="H1340" s="22" t="s">
        <v>5191</v>
      </c>
      <c r="I1340" s="22" t="s">
        <v>23</v>
      </c>
      <c r="J1340" s="23">
        <v>2000</v>
      </c>
      <c r="K1340" s="22" t="s">
        <v>44</v>
      </c>
      <c r="L1340" s="23" t="s">
        <v>30</v>
      </c>
      <c r="M1340" s="23" t="s">
        <v>30</v>
      </c>
      <c r="N1340" s="22"/>
      <c r="O1340" s="22"/>
    </row>
    <row r="1341" spans="1:15" ht="13.5" customHeight="1" x14ac:dyDescent="0.25">
      <c r="A1341" s="1"/>
      <c r="B1341" s="20">
        <v>1329</v>
      </c>
      <c r="C1341" s="20">
        <v>2023</v>
      </c>
      <c r="D1341" s="20">
        <v>10919</v>
      </c>
      <c r="E1341" s="20" t="s">
        <v>5192</v>
      </c>
      <c r="F1341" s="20" t="s">
        <v>5193</v>
      </c>
      <c r="G1341" s="20" t="s">
        <v>5194</v>
      </c>
      <c r="H1341" s="20" t="s">
        <v>5195</v>
      </c>
      <c r="I1341" s="20" t="s">
        <v>23</v>
      </c>
      <c r="J1341" s="21">
        <v>2000</v>
      </c>
      <c r="K1341" s="20" t="s">
        <v>203</v>
      </c>
      <c r="L1341" s="21" t="s">
        <v>30</v>
      </c>
      <c r="M1341" s="21" t="s">
        <v>30</v>
      </c>
      <c r="N1341" s="20"/>
      <c r="O1341" s="20"/>
    </row>
    <row r="1342" spans="1:15" ht="13.5" customHeight="1" x14ac:dyDescent="0.25">
      <c r="A1342" s="1"/>
      <c r="B1342" s="22">
        <v>1330</v>
      </c>
      <c r="C1342" s="22">
        <v>2023</v>
      </c>
      <c r="D1342" s="22">
        <v>12350</v>
      </c>
      <c r="E1342" s="22" t="s">
        <v>5196</v>
      </c>
      <c r="F1342" s="22" t="s">
        <v>5197</v>
      </c>
      <c r="G1342" s="22" t="s">
        <v>5198</v>
      </c>
      <c r="H1342" s="22" t="s">
        <v>5199</v>
      </c>
      <c r="I1342" s="22" t="s">
        <v>23</v>
      </c>
      <c r="J1342" s="23">
        <v>2000</v>
      </c>
      <c r="K1342" s="22" t="s">
        <v>39</v>
      </c>
      <c r="L1342" s="23" t="s">
        <v>30</v>
      </c>
      <c r="M1342" s="23"/>
      <c r="N1342" s="22" t="s">
        <v>431</v>
      </c>
      <c r="O1342" s="22"/>
    </row>
    <row r="1343" spans="1:15" ht="13.5" customHeight="1" x14ac:dyDescent="0.25">
      <c r="A1343" s="1"/>
      <c r="B1343" s="20">
        <v>1331</v>
      </c>
      <c r="C1343" s="20">
        <v>2023</v>
      </c>
      <c r="D1343" s="20">
        <v>10926</v>
      </c>
      <c r="E1343" s="20" t="s">
        <v>5200</v>
      </c>
      <c r="F1343" s="20" t="s">
        <v>5201</v>
      </c>
      <c r="G1343" s="20" t="s">
        <v>5202</v>
      </c>
      <c r="H1343" s="20" t="s">
        <v>5203</v>
      </c>
      <c r="I1343" s="20" t="s">
        <v>23</v>
      </c>
      <c r="J1343" s="21">
        <v>2000</v>
      </c>
      <c r="K1343" s="20" t="s">
        <v>39</v>
      </c>
      <c r="L1343" s="21" t="s">
        <v>30</v>
      </c>
      <c r="M1343" s="21" t="s">
        <v>30</v>
      </c>
      <c r="N1343" s="20"/>
      <c r="O1343" s="20"/>
    </row>
    <row r="1344" spans="1:15" ht="13.5" customHeight="1" x14ac:dyDescent="0.25">
      <c r="A1344" s="1"/>
      <c r="B1344" s="22">
        <v>1332</v>
      </c>
      <c r="C1344" s="22">
        <v>2023</v>
      </c>
      <c r="D1344" s="22">
        <v>40722</v>
      </c>
      <c r="E1344" s="22" t="s">
        <v>5204</v>
      </c>
      <c r="F1344" s="22" t="s">
        <v>5205</v>
      </c>
      <c r="G1344" s="22" t="s">
        <v>5206</v>
      </c>
      <c r="H1344" s="22" t="s">
        <v>5207</v>
      </c>
      <c r="I1344" s="22" t="s">
        <v>23</v>
      </c>
      <c r="J1344" s="23">
        <v>2015</v>
      </c>
      <c r="K1344" s="22" t="s">
        <v>67</v>
      </c>
      <c r="L1344" s="23" t="s">
        <v>30</v>
      </c>
      <c r="M1344" s="23"/>
      <c r="N1344" s="22" t="s">
        <v>185</v>
      </c>
      <c r="O1344" s="22"/>
    </row>
    <row r="1345" spans="1:15" ht="13.5" customHeight="1" x14ac:dyDescent="0.25">
      <c r="A1345" s="1"/>
      <c r="B1345" s="20">
        <v>1333</v>
      </c>
      <c r="C1345" s="20">
        <v>2023</v>
      </c>
      <c r="D1345" s="20">
        <v>11802</v>
      </c>
      <c r="E1345" s="20" t="s">
        <v>5208</v>
      </c>
      <c r="F1345" s="20" t="s">
        <v>5209</v>
      </c>
      <c r="G1345" s="20" t="s">
        <v>5210</v>
      </c>
      <c r="H1345" s="20" t="s">
        <v>5211</v>
      </c>
      <c r="I1345" s="20" t="s">
        <v>94</v>
      </c>
      <c r="J1345" s="21">
        <v>2002</v>
      </c>
      <c r="K1345" s="20" t="s">
        <v>95</v>
      </c>
      <c r="L1345" s="21" t="s">
        <v>30</v>
      </c>
      <c r="M1345" s="21" t="s">
        <v>30</v>
      </c>
      <c r="N1345" s="20" t="s">
        <v>74</v>
      </c>
      <c r="O1345" s="20"/>
    </row>
    <row r="1346" spans="1:15" ht="13.5" customHeight="1" x14ac:dyDescent="0.25">
      <c r="A1346" s="1"/>
      <c r="B1346" s="22">
        <v>1334</v>
      </c>
      <c r="C1346" s="22">
        <v>2023</v>
      </c>
      <c r="D1346" s="22">
        <v>10872</v>
      </c>
      <c r="E1346" s="22" t="s">
        <v>5212</v>
      </c>
      <c r="F1346" s="22" t="s">
        <v>5213</v>
      </c>
      <c r="G1346" s="22" t="s">
        <v>5214</v>
      </c>
      <c r="H1346" s="22" t="s">
        <v>5215</v>
      </c>
      <c r="I1346" s="22" t="s">
        <v>23</v>
      </c>
      <c r="J1346" s="23">
        <v>2000</v>
      </c>
      <c r="K1346" s="22" t="s">
        <v>95</v>
      </c>
      <c r="L1346" s="23" t="s">
        <v>30</v>
      </c>
      <c r="M1346" s="23" t="s">
        <v>30</v>
      </c>
      <c r="N1346" s="22"/>
      <c r="O1346" s="22"/>
    </row>
    <row r="1347" spans="1:15" ht="13.5" customHeight="1" x14ac:dyDescent="0.25">
      <c r="A1347" s="1"/>
      <c r="B1347" s="20">
        <v>1335</v>
      </c>
      <c r="C1347" s="20">
        <v>2023</v>
      </c>
      <c r="D1347" s="20">
        <v>343</v>
      </c>
      <c r="E1347" s="20" t="s">
        <v>5216</v>
      </c>
      <c r="F1347" s="20" t="s">
        <v>5217</v>
      </c>
      <c r="G1347" s="20" t="s">
        <v>5218</v>
      </c>
      <c r="H1347" s="20" t="s">
        <v>5219</v>
      </c>
      <c r="I1347" s="20" t="s">
        <v>94</v>
      </c>
      <c r="J1347" s="21">
        <v>2000</v>
      </c>
      <c r="K1347" s="20" t="s">
        <v>95</v>
      </c>
      <c r="L1347" s="21" t="s">
        <v>30</v>
      </c>
      <c r="M1347" s="21" t="s">
        <v>30</v>
      </c>
      <c r="N1347" s="20" t="s">
        <v>74</v>
      </c>
      <c r="O1347" s="20"/>
    </row>
    <row r="1348" spans="1:15" ht="13.5" customHeight="1" x14ac:dyDescent="0.25">
      <c r="A1348" s="1"/>
      <c r="B1348" s="22">
        <v>1336</v>
      </c>
      <c r="C1348" s="22">
        <v>2023</v>
      </c>
      <c r="D1348" s="22">
        <v>12596</v>
      </c>
      <c r="E1348" s="22" t="s">
        <v>5220</v>
      </c>
      <c r="F1348" s="22" t="s">
        <v>5221</v>
      </c>
      <c r="G1348" s="22" t="s">
        <v>5222</v>
      </c>
      <c r="H1348" s="22" t="s">
        <v>5223</v>
      </c>
      <c r="I1348" s="22" t="s">
        <v>23</v>
      </c>
      <c r="J1348" s="23">
        <v>2000</v>
      </c>
      <c r="K1348" s="22" t="s">
        <v>63</v>
      </c>
      <c r="L1348" s="23" t="s">
        <v>30</v>
      </c>
      <c r="M1348" s="23"/>
      <c r="N1348" s="22" t="s">
        <v>431</v>
      </c>
      <c r="O1348" s="22"/>
    </row>
    <row r="1349" spans="1:15" ht="13.5" customHeight="1" x14ac:dyDescent="0.25">
      <c r="A1349" s="1"/>
      <c r="B1349" s="20">
        <v>1337</v>
      </c>
      <c r="C1349" s="20">
        <v>2023</v>
      </c>
      <c r="D1349" s="20">
        <v>10957</v>
      </c>
      <c r="E1349" s="20" t="s">
        <v>5224</v>
      </c>
      <c r="F1349" s="20" t="s">
        <v>5225</v>
      </c>
      <c r="G1349" s="20" t="s">
        <v>5226</v>
      </c>
      <c r="H1349" s="20" t="s">
        <v>5227</v>
      </c>
      <c r="I1349" s="20" t="s">
        <v>23</v>
      </c>
      <c r="J1349" s="21">
        <v>2000</v>
      </c>
      <c r="K1349" s="20" t="s">
        <v>44</v>
      </c>
      <c r="L1349" s="21" t="s">
        <v>30</v>
      </c>
      <c r="M1349" s="21" t="s">
        <v>30</v>
      </c>
      <c r="N1349" s="20"/>
      <c r="O1349" s="20"/>
    </row>
    <row r="1350" spans="1:15" ht="13.5" customHeight="1" x14ac:dyDescent="0.25">
      <c r="A1350" s="1"/>
      <c r="B1350" s="22">
        <v>1338</v>
      </c>
      <c r="C1350" s="22">
        <v>2023</v>
      </c>
      <c r="D1350" s="22">
        <v>41469</v>
      </c>
      <c r="E1350" s="22" t="s">
        <v>5228</v>
      </c>
      <c r="F1350" s="22" t="s">
        <v>5229</v>
      </c>
      <c r="G1350" s="22"/>
      <c r="H1350" s="22" t="s">
        <v>5230</v>
      </c>
      <c r="I1350" s="22" t="s">
        <v>23</v>
      </c>
      <c r="J1350" s="23">
        <v>2016</v>
      </c>
      <c r="K1350" s="22" t="s">
        <v>29</v>
      </c>
      <c r="L1350" s="23"/>
      <c r="M1350" s="23"/>
      <c r="N1350" s="22" t="s">
        <v>1470</v>
      </c>
      <c r="O1350" s="22"/>
    </row>
    <row r="1351" spans="1:15" ht="13.5" customHeight="1" x14ac:dyDescent="0.25">
      <c r="A1351" s="1"/>
      <c r="B1351" s="20">
        <v>1339</v>
      </c>
      <c r="C1351" s="20">
        <v>2023</v>
      </c>
      <c r="D1351" s="20">
        <v>10336</v>
      </c>
      <c r="E1351" s="20" t="s">
        <v>5231</v>
      </c>
      <c r="F1351" s="20" t="s">
        <v>5232</v>
      </c>
      <c r="G1351" s="20" t="s">
        <v>5233</v>
      </c>
      <c r="H1351" s="20" t="s">
        <v>5234</v>
      </c>
      <c r="I1351" s="20" t="s">
        <v>23</v>
      </c>
      <c r="J1351" s="21">
        <v>2000</v>
      </c>
      <c r="K1351" s="20" t="s">
        <v>34</v>
      </c>
      <c r="L1351" s="21" t="s">
        <v>30</v>
      </c>
      <c r="M1351" s="21" t="s">
        <v>30</v>
      </c>
      <c r="N1351" s="20"/>
      <c r="O1351" s="20"/>
    </row>
    <row r="1352" spans="1:15" ht="13.5" customHeight="1" x14ac:dyDescent="0.25">
      <c r="A1352" s="1"/>
      <c r="B1352" s="22">
        <v>1340</v>
      </c>
      <c r="C1352" s="22">
        <v>2023</v>
      </c>
      <c r="D1352" s="22">
        <v>56</v>
      </c>
      <c r="E1352" s="22" t="s">
        <v>5235</v>
      </c>
      <c r="F1352" s="22" t="s">
        <v>5236</v>
      </c>
      <c r="G1352" s="22" t="s">
        <v>5237</v>
      </c>
      <c r="H1352" s="22" t="s">
        <v>5238</v>
      </c>
      <c r="I1352" s="22" t="s">
        <v>357</v>
      </c>
      <c r="J1352" s="23">
        <v>2000</v>
      </c>
      <c r="K1352" s="22" t="s">
        <v>39</v>
      </c>
      <c r="L1352" s="23" t="s">
        <v>30</v>
      </c>
      <c r="M1352" s="23" t="s">
        <v>30</v>
      </c>
      <c r="N1352" s="22"/>
      <c r="O1352" s="22"/>
    </row>
    <row r="1353" spans="1:15" ht="13.5" customHeight="1" x14ac:dyDescent="0.25">
      <c r="A1353" s="1"/>
      <c r="B1353" s="20">
        <v>1341</v>
      </c>
      <c r="C1353" s="20">
        <v>2023</v>
      </c>
      <c r="D1353" s="20">
        <v>42322</v>
      </c>
      <c r="E1353" s="20" t="s">
        <v>5239</v>
      </c>
      <c r="F1353" s="20" t="s">
        <v>5240</v>
      </c>
      <c r="G1353" s="20" t="s">
        <v>5241</v>
      </c>
      <c r="H1353" s="20" t="s">
        <v>5242</v>
      </c>
      <c r="I1353" s="20" t="s">
        <v>23</v>
      </c>
      <c r="J1353" s="21">
        <v>2000</v>
      </c>
      <c r="K1353" s="20" t="s">
        <v>73</v>
      </c>
      <c r="L1353" s="21" t="s">
        <v>30</v>
      </c>
      <c r="M1353" s="21"/>
      <c r="N1353" s="20" t="s">
        <v>151</v>
      </c>
      <c r="O1353" s="20"/>
    </row>
    <row r="1354" spans="1:15" ht="13.5" customHeight="1" x14ac:dyDescent="0.25">
      <c r="A1354" s="1"/>
      <c r="B1354" s="22">
        <v>1342</v>
      </c>
      <c r="C1354" s="22">
        <v>2023</v>
      </c>
      <c r="D1354" s="22">
        <v>41783</v>
      </c>
      <c r="E1354" s="22" t="s">
        <v>5243</v>
      </c>
      <c r="F1354" s="22" t="s">
        <v>5244</v>
      </c>
      <c r="G1354" s="22" t="s">
        <v>5245</v>
      </c>
      <c r="H1354" s="22" t="s">
        <v>5246</v>
      </c>
      <c r="I1354" s="22" t="s">
        <v>23</v>
      </c>
      <c r="J1354" s="23">
        <v>2017</v>
      </c>
      <c r="K1354" s="22" t="s">
        <v>67</v>
      </c>
      <c r="L1354" s="23" t="s">
        <v>30</v>
      </c>
      <c r="M1354" s="23"/>
      <c r="N1354" s="22" t="s">
        <v>265</v>
      </c>
      <c r="O1354" s="22"/>
    </row>
    <row r="1355" spans="1:15" ht="13.5" customHeight="1" x14ac:dyDescent="0.25">
      <c r="A1355" s="1"/>
      <c r="B1355" s="20">
        <v>1343</v>
      </c>
      <c r="C1355" s="20">
        <v>2023</v>
      </c>
      <c r="D1355" s="20">
        <v>10933</v>
      </c>
      <c r="E1355" s="20" t="s">
        <v>5247</v>
      </c>
      <c r="F1355" s="20" t="s">
        <v>5248</v>
      </c>
      <c r="G1355" s="20" t="s">
        <v>5249</v>
      </c>
      <c r="H1355" s="20" t="s">
        <v>5250</v>
      </c>
      <c r="I1355" s="20" t="s">
        <v>23</v>
      </c>
      <c r="J1355" s="21">
        <v>2000</v>
      </c>
      <c r="K1355" s="20" t="s">
        <v>95</v>
      </c>
      <c r="L1355" s="21" t="s">
        <v>30</v>
      </c>
      <c r="M1355" s="21" t="s">
        <v>30</v>
      </c>
      <c r="N1355" s="20"/>
      <c r="O1355" s="20"/>
    </row>
    <row r="1356" spans="1:15" ht="13.5" customHeight="1" x14ac:dyDescent="0.25">
      <c r="A1356" s="1"/>
      <c r="B1356" s="22">
        <v>1344</v>
      </c>
      <c r="C1356" s="22">
        <v>2023</v>
      </c>
      <c r="D1356" s="22">
        <v>41982</v>
      </c>
      <c r="E1356" s="22" t="s">
        <v>5251</v>
      </c>
      <c r="F1356" s="22" t="s">
        <v>5252</v>
      </c>
      <c r="G1356" s="22"/>
      <c r="H1356" s="22" t="s">
        <v>5253</v>
      </c>
      <c r="I1356" s="22" t="s">
        <v>23</v>
      </c>
      <c r="J1356" s="23">
        <v>2018</v>
      </c>
      <c r="K1356" s="22" t="s">
        <v>184</v>
      </c>
      <c r="L1356" s="23"/>
      <c r="M1356" s="23"/>
      <c r="N1356" s="22" t="s">
        <v>213</v>
      </c>
      <c r="O1356" s="22"/>
    </row>
    <row r="1357" spans="1:15" ht="13.5" customHeight="1" x14ac:dyDescent="0.25">
      <c r="A1357" s="1"/>
      <c r="B1357" s="20">
        <v>1345</v>
      </c>
      <c r="C1357" s="20">
        <v>2023</v>
      </c>
      <c r="D1357" s="20">
        <v>12639</v>
      </c>
      <c r="E1357" s="20" t="s">
        <v>5254</v>
      </c>
      <c r="F1357" s="20" t="s">
        <v>5255</v>
      </c>
      <c r="G1357" s="20" t="s">
        <v>5256</v>
      </c>
      <c r="H1357" s="20" t="s">
        <v>5257</v>
      </c>
      <c r="I1357" s="20" t="s">
        <v>23</v>
      </c>
      <c r="J1357" s="21">
        <v>2009</v>
      </c>
      <c r="K1357" s="20" t="s">
        <v>39</v>
      </c>
      <c r="L1357" s="21" t="s">
        <v>30</v>
      </c>
      <c r="M1357" s="21"/>
      <c r="N1357" s="20" t="s">
        <v>431</v>
      </c>
      <c r="O1357" s="20"/>
    </row>
    <row r="1358" spans="1:15" ht="13.5" customHeight="1" x14ac:dyDescent="0.25">
      <c r="A1358" s="1"/>
      <c r="B1358" s="22">
        <v>1346</v>
      </c>
      <c r="C1358" s="22">
        <v>2023</v>
      </c>
      <c r="D1358" s="22">
        <v>42804</v>
      </c>
      <c r="E1358" s="22" t="s">
        <v>5258</v>
      </c>
      <c r="F1358" s="22" t="s">
        <v>5259</v>
      </c>
      <c r="G1358" s="22" t="s">
        <v>5260</v>
      </c>
      <c r="H1358" s="22" t="s">
        <v>5261</v>
      </c>
      <c r="I1358" s="22" t="s">
        <v>23</v>
      </c>
      <c r="J1358" s="23">
        <v>2019</v>
      </c>
      <c r="K1358" s="22" t="s">
        <v>39</v>
      </c>
      <c r="L1358" s="23" t="s">
        <v>30</v>
      </c>
      <c r="M1358" s="23"/>
      <c r="N1358" s="22" t="s">
        <v>218</v>
      </c>
      <c r="O1358" s="22"/>
    </row>
    <row r="1359" spans="1:15" ht="13.5" customHeight="1" x14ac:dyDescent="0.25">
      <c r="A1359" s="1"/>
      <c r="B1359" s="20">
        <v>1347</v>
      </c>
      <c r="C1359" s="20">
        <v>2023</v>
      </c>
      <c r="D1359" s="20">
        <v>40817</v>
      </c>
      <c r="E1359" s="20" t="s">
        <v>5262</v>
      </c>
      <c r="F1359" s="20" t="s">
        <v>5263</v>
      </c>
      <c r="G1359" s="20"/>
      <c r="H1359" s="20" t="s">
        <v>5264</v>
      </c>
      <c r="I1359" s="20" t="s">
        <v>23</v>
      </c>
      <c r="J1359" s="21">
        <v>2015</v>
      </c>
      <c r="K1359" s="20" t="s">
        <v>203</v>
      </c>
      <c r="L1359" s="21"/>
      <c r="M1359" s="21"/>
      <c r="N1359" s="20" t="s">
        <v>185</v>
      </c>
      <c r="O1359" s="20"/>
    </row>
    <row r="1360" spans="1:15" ht="13.5" customHeight="1" x14ac:dyDescent="0.25">
      <c r="A1360" s="1"/>
      <c r="B1360" s="22">
        <v>1348</v>
      </c>
      <c r="C1360" s="22">
        <v>2023</v>
      </c>
      <c r="D1360" s="22">
        <v>42102</v>
      </c>
      <c r="E1360" s="22" t="s">
        <v>5265</v>
      </c>
      <c r="F1360" s="22" t="s">
        <v>5266</v>
      </c>
      <c r="G1360" s="22" t="s">
        <v>5267</v>
      </c>
      <c r="H1360" s="22" t="s">
        <v>5268</v>
      </c>
      <c r="I1360" s="22" t="s">
        <v>23</v>
      </c>
      <c r="J1360" s="23">
        <v>2019</v>
      </c>
      <c r="K1360" s="22" t="s">
        <v>67</v>
      </c>
      <c r="L1360" s="23" t="s">
        <v>30</v>
      </c>
      <c r="M1360" s="23"/>
      <c r="N1360" s="22" t="s">
        <v>218</v>
      </c>
      <c r="O1360" s="22"/>
    </row>
    <row r="1361" spans="1:15" ht="13.5" customHeight="1" x14ac:dyDescent="0.25">
      <c r="A1361" s="1"/>
      <c r="B1361" s="20">
        <v>1349</v>
      </c>
      <c r="C1361" s="20">
        <v>2023</v>
      </c>
      <c r="D1361" s="20">
        <v>10340</v>
      </c>
      <c r="E1361" s="20" t="s">
        <v>5269</v>
      </c>
      <c r="F1361" s="20" t="s">
        <v>5270</v>
      </c>
      <c r="G1361" s="20" t="s">
        <v>5271</v>
      </c>
      <c r="H1361" s="20" t="s">
        <v>5272</v>
      </c>
      <c r="I1361" s="20" t="s">
        <v>23</v>
      </c>
      <c r="J1361" s="21">
        <v>2000</v>
      </c>
      <c r="K1361" s="20" t="s">
        <v>34</v>
      </c>
      <c r="L1361" s="21" t="s">
        <v>30</v>
      </c>
      <c r="M1361" s="21" t="s">
        <v>30</v>
      </c>
      <c r="N1361" s="20"/>
      <c r="O1361" s="20"/>
    </row>
    <row r="1362" spans="1:15" ht="13.5" customHeight="1" x14ac:dyDescent="0.25">
      <c r="A1362" s="1"/>
      <c r="B1362" s="22">
        <v>1350</v>
      </c>
      <c r="C1362" s="22">
        <v>2023</v>
      </c>
      <c r="D1362" s="22">
        <v>12247</v>
      </c>
      <c r="E1362" s="22" t="s">
        <v>5273</v>
      </c>
      <c r="F1362" s="22" t="s">
        <v>5274</v>
      </c>
      <c r="G1362" s="22"/>
      <c r="H1362" s="22" t="s">
        <v>5275</v>
      </c>
      <c r="I1362" s="22" t="s">
        <v>23</v>
      </c>
      <c r="J1362" s="23">
        <v>2006</v>
      </c>
      <c r="K1362" s="22" t="s">
        <v>34</v>
      </c>
      <c r="L1362" s="23"/>
      <c r="M1362" s="23" t="s">
        <v>30</v>
      </c>
      <c r="N1362" s="22" t="s">
        <v>74</v>
      </c>
      <c r="O1362" s="22"/>
    </row>
    <row r="1363" spans="1:15" ht="13.5" customHeight="1" x14ac:dyDescent="0.25">
      <c r="A1363" s="1"/>
      <c r="B1363" s="20">
        <v>1351</v>
      </c>
      <c r="C1363" s="20">
        <v>2023</v>
      </c>
      <c r="D1363" s="20">
        <v>40005</v>
      </c>
      <c r="E1363" s="20" t="s">
        <v>5276</v>
      </c>
      <c r="F1363" s="20" t="s">
        <v>5277</v>
      </c>
      <c r="G1363" s="20" t="s">
        <v>5278</v>
      </c>
      <c r="H1363" s="20" t="s">
        <v>5279</v>
      </c>
      <c r="I1363" s="20" t="s">
        <v>23</v>
      </c>
      <c r="J1363" s="21">
        <v>2012</v>
      </c>
      <c r="K1363" s="20" t="s">
        <v>34</v>
      </c>
      <c r="L1363" s="21" t="s">
        <v>30</v>
      </c>
      <c r="M1363" s="21"/>
      <c r="N1363" s="20" t="s">
        <v>163</v>
      </c>
      <c r="O1363" s="20"/>
    </row>
    <row r="1364" spans="1:15" ht="13.5" customHeight="1" x14ac:dyDescent="0.25">
      <c r="A1364" s="1"/>
      <c r="B1364" s="22">
        <v>1352</v>
      </c>
      <c r="C1364" s="22">
        <v>2023</v>
      </c>
      <c r="D1364" s="22">
        <v>10928</v>
      </c>
      <c r="E1364" s="22" t="s">
        <v>5280</v>
      </c>
      <c r="F1364" s="22" t="s">
        <v>5281</v>
      </c>
      <c r="G1364" s="22" t="s">
        <v>5282</v>
      </c>
      <c r="H1364" s="22" t="s">
        <v>5283</v>
      </c>
      <c r="I1364" s="22" t="s">
        <v>23</v>
      </c>
      <c r="J1364" s="23">
        <v>2000</v>
      </c>
      <c r="K1364" s="22" t="s">
        <v>34</v>
      </c>
      <c r="L1364" s="23" t="s">
        <v>30</v>
      </c>
      <c r="M1364" s="23" t="s">
        <v>30</v>
      </c>
      <c r="N1364" s="22"/>
      <c r="O1364" s="22"/>
    </row>
    <row r="1365" spans="1:15" ht="13.5" customHeight="1" x14ac:dyDescent="0.25">
      <c r="A1365" s="1"/>
      <c r="B1365" s="20">
        <v>1353</v>
      </c>
      <c r="C1365" s="20">
        <v>2023</v>
      </c>
      <c r="D1365" s="20">
        <v>11669</v>
      </c>
      <c r="E1365" s="20" t="s">
        <v>5284</v>
      </c>
      <c r="F1365" s="20" t="s">
        <v>5285</v>
      </c>
      <c r="G1365" s="20" t="s">
        <v>5286</v>
      </c>
      <c r="H1365" s="20" t="s">
        <v>5287</v>
      </c>
      <c r="I1365" s="20" t="s">
        <v>23</v>
      </c>
      <c r="J1365" s="21">
        <v>2000</v>
      </c>
      <c r="K1365" s="20" t="s">
        <v>63</v>
      </c>
      <c r="L1365" s="21" t="s">
        <v>30</v>
      </c>
      <c r="M1365" s="21" t="s">
        <v>30</v>
      </c>
      <c r="N1365" s="20" t="s">
        <v>74</v>
      </c>
      <c r="O1365" s="20"/>
    </row>
    <row r="1366" spans="1:15" ht="13.5" customHeight="1" x14ac:dyDescent="0.25">
      <c r="A1366" s="1"/>
      <c r="B1366" s="22">
        <v>1354</v>
      </c>
      <c r="C1366" s="22">
        <v>2023</v>
      </c>
      <c r="D1366" s="22">
        <v>10992</v>
      </c>
      <c r="E1366" s="22" t="s">
        <v>5288</v>
      </c>
      <c r="F1366" s="22" t="s">
        <v>5289</v>
      </c>
      <c r="G1366" s="22" t="s">
        <v>5290</v>
      </c>
      <c r="H1366" s="22" t="s">
        <v>5291</v>
      </c>
      <c r="I1366" s="22" t="s">
        <v>23</v>
      </c>
      <c r="J1366" s="23">
        <v>2000</v>
      </c>
      <c r="K1366" s="22" t="s">
        <v>73</v>
      </c>
      <c r="L1366" s="23" t="s">
        <v>30</v>
      </c>
      <c r="M1366" s="23" t="s">
        <v>30</v>
      </c>
      <c r="N1366" s="22"/>
      <c r="O1366" s="22"/>
    </row>
    <row r="1367" spans="1:15" ht="13.5" customHeight="1" x14ac:dyDescent="0.25">
      <c r="A1367" s="1"/>
      <c r="B1367" s="20">
        <v>1355</v>
      </c>
      <c r="C1367" s="20">
        <v>2023</v>
      </c>
      <c r="D1367" s="20">
        <v>13105</v>
      </c>
      <c r="E1367" s="20" t="s">
        <v>5292</v>
      </c>
      <c r="F1367" s="20" t="s">
        <v>5293</v>
      </c>
      <c r="G1367" s="20" t="s">
        <v>5294</v>
      </c>
      <c r="H1367" s="20" t="s">
        <v>5295</v>
      </c>
      <c r="I1367" s="20" t="s">
        <v>23</v>
      </c>
      <c r="J1367" s="21">
        <v>2000</v>
      </c>
      <c r="K1367" s="20" t="s">
        <v>34</v>
      </c>
      <c r="L1367" s="21" t="s">
        <v>30</v>
      </c>
      <c r="M1367" s="21"/>
      <c r="N1367" s="20" t="s">
        <v>173</v>
      </c>
      <c r="O1367" s="20"/>
    </row>
    <row r="1368" spans="1:15" ht="13.5" customHeight="1" x14ac:dyDescent="0.25">
      <c r="A1368" s="1"/>
      <c r="B1368" s="22">
        <v>1356</v>
      </c>
      <c r="C1368" s="22">
        <v>2023</v>
      </c>
      <c r="D1368" s="22">
        <v>13562</v>
      </c>
      <c r="E1368" s="22" t="s">
        <v>5296</v>
      </c>
      <c r="F1368" s="22" t="s">
        <v>5297</v>
      </c>
      <c r="G1368" s="22" t="s">
        <v>5298</v>
      </c>
      <c r="H1368" s="22" t="s">
        <v>5299</v>
      </c>
      <c r="I1368" s="22" t="s">
        <v>23</v>
      </c>
      <c r="J1368" s="23">
        <v>2000</v>
      </c>
      <c r="K1368" s="22" t="s">
        <v>34</v>
      </c>
      <c r="L1368" s="23" t="s">
        <v>30</v>
      </c>
      <c r="M1368" s="23"/>
      <c r="N1368" s="22" t="s">
        <v>275</v>
      </c>
      <c r="O1368" s="22"/>
    </row>
    <row r="1369" spans="1:15" ht="13.5" customHeight="1" x14ac:dyDescent="0.25">
      <c r="A1369" s="1"/>
      <c r="B1369" s="20">
        <v>1357</v>
      </c>
      <c r="C1369" s="20">
        <v>2023</v>
      </c>
      <c r="D1369" s="20">
        <v>12374</v>
      </c>
      <c r="E1369" s="20" t="s">
        <v>5300</v>
      </c>
      <c r="F1369" s="20" t="s">
        <v>5301</v>
      </c>
      <c r="G1369" s="20" t="s">
        <v>5302</v>
      </c>
      <c r="H1369" s="20" t="s">
        <v>5303</v>
      </c>
      <c r="I1369" s="20" t="s">
        <v>23</v>
      </c>
      <c r="J1369" s="21">
        <v>2000</v>
      </c>
      <c r="K1369" s="20" t="s">
        <v>34</v>
      </c>
      <c r="L1369" s="21" t="s">
        <v>30</v>
      </c>
      <c r="M1369" s="21"/>
      <c r="N1369" s="20" t="s">
        <v>431</v>
      </c>
      <c r="O1369" s="20"/>
    </row>
    <row r="1370" spans="1:15" ht="13.5" customHeight="1" x14ac:dyDescent="0.25">
      <c r="A1370" s="1"/>
      <c r="B1370" s="22">
        <v>1358</v>
      </c>
      <c r="C1370" s="22">
        <v>2023</v>
      </c>
      <c r="D1370" s="22">
        <v>41348</v>
      </c>
      <c r="E1370" s="22" t="s">
        <v>5304</v>
      </c>
      <c r="F1370" s="22" t="s">
        <v>5305</v>
      </c>
      <c r="G1370" s="22" t="s">
        <v>5306</v>
      </c>
      <c r="H1370" s="22" t="s">
        <v>5307</v>
      </c>
      <c r="I1370" s="22" t="s">
        <v>23</v>
      </c>
      <c r="J1370" s="23">
        <v>2003</v>
      </c>
      <c r="K1370" s="22" t="s">
        <v>34</v>
      </c>
      <c r="L1370" s="23" t="s">
        <v>30</v>
      </c>
      <c r="M1370" s="23"/>
      <c r="N1370" s="22" t="s">
        <v>1470</v>
      </c>
      <c r="O1370" s="22"/>
    </row>
    <row r="1371" spans="1:15" ht="13.5" customHeight="1" x14ac:dyDescent="0.25">
      <c r="A1371" s="1"/>
      <c r="B1371" s="20">
        <v>1359</v>
      </c>
      <c r="C1371" s="20">
        <v>2023</v>
      </c>
      <c r="D1371" s="20">
        <v>344</v>
      </c>
      <c r="E1371" s="20" t="s">
        <v>5308</v>
      </c>
      <c r="F1371" s="20" t="s">
        <v>5309</v>
      </c>
      <c r="G1371" s="20" t="s">
        <v>5310</v>
      </c>
      <c r="H1371" s="20" t="s">
        <v>5311</v>
      </c>
      <c r="I1371" s="20" t="s">
        <v>23</v>
      </c>
      <c r="J1371" s="21">
        <v>2000</v>
      </c>
      <c r="K1371" s="20" t="s">
        <v>34</v>
      </c>
      <c r="L1371" s="21" t="s">
        <v>30</v>
      </c>
      <c r="M1371" s="21" t="s">
        <v>30</v>
      </c>
      <c r="N1371" s="20"/>
      <c r="O1371" s="20"/>
    </row>
    <row r="1372" spans="1:15" ht="13.5" customHeight="1" x14ac:dyDescent="0.25">
      <c r="A1372" s="1"/>
      <c r="B1372" s="22">
        <v>1360</v>
      </c>
      <c r="C1372" s="22">
        <v>2023</v>
      </c>
      <c r="D1372" s="22">
        <v>42161</v>
      </c>
      <c r="E1372" s="22" t="s">
        <v>5312</v>
      </c>
      <c r="F1372" s="22" t="s">
        <v>5313</v>
      </c>
      <c r="G1372" s="22"/>
      <c r="H1372" s="22" t="s">
        <v>5314</v>
      </c>
      <c r="I1372" s="22" t="s">
        <v>23</v>
      </c>
      <c r="J1372" s="23">
        <v>2018</v>
      </c>
      <c r="K1372" s="22" t="s">
        <v>34</v>
      </c>
      <c r="L1372" s="23"/>
      <c r="M1372" s="23"/>
      <c r="N1372" s="22" t="s">
        <v>151</v>
      </c>
      <c r="O1372" s="22"/>
    </row>
    <row r="1373" spans="1:15" ht="13.5" customHeight="1" x14ac:dyDescent="0.25">
      <c r="A1373" s="1"/>
      <c r="B1373" s="20">
        <v>1361</v>
      </c>
      <c r="C1373" s="20">
        <v>2023</v>
      </c>
      <c r="D1373" s="20">
        <v>10265</v>
      </c>
      <c r="E1373" s="20" t="s">
        <v>5315</v>
      </c>
      <c r="F1373" s="20" t="s">
        <v>5316</v>
      </c>
      <c r="G1373" s="20" t="s">
        <v>5317</v>
      </c>
      <c r="H1373" s="20" t="s">
        <v>5318</v>
      </c>
      <c r="I1373" s="20" t="s">
        <v>23</v>
      </c>
      <c r="J1373" s="21">
        <v>2000</v>
      </c>
      <c r="K1373" s="20" t="s">
        <v>34</v>
      </c>
      <c r="L1373" s="21" t="s">
        <v>30</v>
      </c>
      <c r="M1373" s="21" t="s">
        <v>30</v>
      </c>
      <c r="N1373" s="20"/>
      <c r="O1373" s="20"/>
    </row>
    <row r="1374" spans="1:15" ht="13.5" customHeight="1" x14ac:dyDescent="0.25">
      <c r="A1374" s="1"/>
      <c r="B1374" s="22">
        <v>1362</v>
      </c>
      <c r="C1374" s="22">
        <v>2023</v>
      </c>
      <c r="D1374" s="22">
        <v>11896</v>
      </c>
      <c r="E1374" s="22" t="s">
        <v>5319</v>
      </c>
      <c r="F1374" s="22" t="s">
        <v>5320</v>
      </c>
      <c r="G1374" s="22" t="s">
        <v>5321</v>
      </c>
      <c r="H1374" s="22" t="s">
        <v>5322</v>
      </c>
      <c r="I1374" s="22" t="s">
        <v>23</v>
      </c>
      <c r="J1374" s="23">
        <v>2000</v>
      </c>
      <c r="K1374" s="22" t="s">
        <v>203</v>
      </c>
      <c r="L1374" s="23" t="s">
        <v>30</v>
      </c>
      <c r="M1374" s="23" t="s">
        <v>30</v>
      </c>
      <c r="N1374" s="22" t="s">
        <v>74</v>
      </c>
      <c r="O1374" s="22"/>
    </row>
    <row r="1375" spans="1:15" ht="13.5" customHeight="1" x14ac:dyDescent="0.25">
      <c r="A1375" s="1"/>
      <c r="B1375" s="20">
        <v>1363</v>
      </c>
      <c r="C1375" s="20">
        <v>2023</v>
      </c>
      <c r="D1375" s="20">
        <v>42972</v>
      </c>
      <c r="E1375" s="20" t="s">
        <v>5323</v>
      </c>
      <c r="F1375" s="20" t="s">
        <v>5324</v>
      </c>
      <c r="G1375" s="20"/>
      <c r="H1375" s="20" t="s">
        <v>5325</v>
      </c>
      <c r="I1375" s="20" t="s">
        <v>23</v>
      </c>
      <c r="J1375" s="21">
        <v>2020</v>
      </c>
      <c r="K1375" s="20" t="s">
        <v>184</v>
      </c>
      <c r="L1375" s="21"/>
      <c r="M1375" s="21"/>
      <c r="N1375" s="20" t="s">
        <v>48</v>
      </c>
      <c r="O1375" s="20"/>
    </row>
    <row r="1376" spans="1:15" ht="13.5" customHeight="1" x14ac:dyDescent="0.25">
      <c r="A1376" s="1"/>
      <c r="B1376" s="22">
        <v>1364</v>
      </c>
      <c r="C1376" s="22">
        <v>2023</v>
      </c>
      <c r="D1376" s="22">
        <v>10965</v>
      </c>
      <c r="E1376" s="22" t="s">
        <v>5326</v>
      </c>
      <c r="F1376" s="22" t="s">
        <v>5327</v>
      </c>
      <c r="G1376" s="22" t="s">
        <v>5328</v>
      </c>
      <c r="H1376" s="22" t="s">
        <v>5329</v>
      </c>
      <c r="I1376" s="22" t="s">
        <v>23</v>
      </c>
      <c r="J1376" s="23">
        <v>2000</v>
      </c>
      <c r="K1376" s="22" t="s">
        <v>24</v>
      </c>
      <c r="L1376" s="23" t="s">
        <v>30</v>
      </c>
      <c r="M1376" s="23" t="s">
        <v>30</v>
      </c>
      <c r="N1376" s="22"/>
      <c r="O1376" s="22"/>
    </row>
    <row r="1377" spans="1:15" ht="13.5" customHeight="1" x14ac:dyDescent="0.25">
      <c r="A1377" s="1"/>
      <c r="B1377" s="20">
        <v>1365</v>
      </c>
      <c r="C1377" s="20">
        <v>2023</v>
      </c>
      <c r="D1377" s="20">
        <v>10924</v>
      </c>
      <c r="E1377" s="20" t="s">
        <v>5330</v>
      </c>
      <c r="F1377" s="20" t="s">
        <v>5331</v>
      </c>
      <c r="G1377" s="20" t="s">
        <v>5332</v>
      </c>
      <c r="H1377" s="20" t="s">
        <v>5333</v>
      </c>
      <c r="I1377" s="20" t="s">
        <v>23</v>
      </c>
      <c r="J1377" s="21">
        <v>2000</v>
      </c>
      <c r="K1377" s="20" t="s">
        <v>24</v>
      </c>
      <c r="L1377" s="21" t="s">
        <v>30</v>
      </c>
      <c r="M1377" s="21" t="s">
        <v>30</v>
      </c>
      <c r="N1377" s="20"/>
      <c r="O1377" s="20"/>
    </row>
    <row r="1378" spans="1:15" ht="13.5" customHeight="1" x14ac:dyDescent="0.25">
      <c r="A1378" s="1"/>
      <c r="B1378" s="22">
        <v>1366</v>
      </c>
      <c r="C1378" s="22">
        <v>2023</v>
      </c>
      <c r="D1378" s="22">
        <v>12062</v>
      </c>
      <c r="E1378" s="22" t="s">
        <v>5334</v>
      </c>
      <c r="F1378" s="22" t="s">
        <v>5335</v>
      </c>
      <c r="G1378" s="22" t="s">
        <v>5336</v>
      </c>
      <c r="H1378" s="22" t="s">
        <v>5337</v>
      </c>
      <c r="I1378" s="22" t="s">
        <v>23</v>
      </c>
      <c r="J1378" s="23">
        <v>2008</v>
      </c>
      <c r="K1378" s="22" t="s">
        <v>184</v>
      </c>
      <c r="L1378" s="23" t="s">
        <v>30</v>
      </c>
      <c r="M1378" s="23" t="s">
        <v>30</v>
      </c>
      <c r="N1378" s="22" t="s">
        <v>352</v>
      </c>
      <c r="O1378" s="22"/>
    </row>
    <row r="1379" spans="1:15" ht="13.5" customHeight="1" x14ac:dyDescent="0.25">
      <c r="A1379" s="1"/>
      <c r="B1379" s="20">
        <v>1367</v>
      </c>
      <c r="C1379" s="20">
        <v>2023</v>
      </c>
      <c r="D1379" s="20">
        <v>148</v>
      </c>
      <c r="E1379" s="20" t="s">
        <v>5338</v>
      </c>
      <c r="F1379" s="20" t="s">
        <v>5339</v>
      </c>
      <c r="G1379" s="20" t="s">
        <v>5340</v>
      </c>
      <c r="H1379" s="20" t="s">
        <v>5341</v>
      </c>
      <c r="I1379" s="20" t="s">
        <v>23</v>
      </c>
      <c r="J1379" s="21">
        <v>2000</v>
      </c>
      <c r="K1379" s="20" t="s">
        <v>475</v>
      </c>
      <c r="L1379" s="21" t="s">
        <v>30</v>
      </c>
      <c r="M1379" s="21" t="s">
        <v>30</v>
      </c>
      <c r="N1379" s="20"/>
      <c r="O1379" s="20"/>
    </row>
    <row r="1380" spans="1:15" ht="13.5" customHeight="1" x14ac:dyDescent="0.25">
      <c r="A1380" s="1"/>
      <c r="B1380" s="22">
        <v>1368</v>
      </c>
      <c r="C1380" s="22">
        <v>2023</v>
      </c>
      <c r="D1380" s="22">
        <v>12546</v>
      </c>
      <c r="E1380" s="22" t="s">
        <v>5342</v>
      </c>
      <c r="F1380" s="22" t="s">
        <v>5343</v>
      </c>
      <c r="G1380" s="22" t="s">
        <v>5344</v>
      </c>
      <c r="H1380" s="22" t="s">
        <v>5345</v>
      </c>
      <c r="I1380" s="22" t="s">
        <v>23</v>
      </c>
      <c r="J1380" s="23">
        <v>2000</v>
      </c>
      <c r="K1380" s="22" t="s">
        <v>184</v>
      </c>
      <c r="L1380" s="23" t="s">
        <v>30</v>
      </c>
      <c r="M1380" s="23"/>
      <c r="N1380" s="22" t="s">
        <v>431</v>
      </c>
      <c r="O1380" s="22"/>
    </row>
    <row r="1381" spans="1:15" ht="13.5" customHeight="1" x14ac:dyDescent="0.25">
      <c r="A1381" s="1"/>
      <c r="B1381" s="20">
        <v>1369</v>
      </c>
      <c r="C1381" s="20">
        <v>2023</v>
      </c>
      <c r="D1381" s="20">
        <v>10934</v>
      </c>
      <c r="E1381" s="20" t="s">
        <v>5346</v>
      </c>
      <c r="F1381" s="20" t="s">
        <v>5347</v>
      </c>
      <c r="G1381" s="20" t="s">
        <v>5348</v>
      </c>
      <c r="H1381" s="20" t="s">
        <v>5349</v>
      </c>
      <c r="I1381" s="20" t="s">
        <v>23</v>
      </c>
      <c r="J1381" s="21">
        <v>2000</v>
      </c>
      <c r="K1381" s="20" t="s">
        <v>24</v>
      </c>
      <c r="L1381" s="21" t="s">
        <v>30</v>
      </c>
      <c r="M1381" s="21" t="s">
        <v>30</v>
      </c>
      <c r="N1381" s="20"/>
      <c r="O1381" s="20"/>
    </row>
    <row r="1382" spans="1:15" ht="13.5" customHeight="1" x14ac:dyDescent="0.25">
      <c r="A1382" s="1"/>
      <c r="B1382" s="22">
        <v>1370</v>
      </c>
      <c r="C1382" s="22">
        <v>2023</v>
      </c>
      <c r="D1382" s="22">
        <v>43236</v>
      </c>
      <c r="E1382" s="22" t="s">
        <v>5350</v>
      </c>
      <c r="F1382" s="22" t="s">
        <v>5351</v>
      </c>
      <c r="G1382" s="22" t="s">
        <v>5352</v>
      </c>
      <c r="H1382" s="22" t="s">
        <v>5353</v>
      </c>
      <c r="I1382" s="22" t="s">
        <v>23</v>
      </c>
      <c r="J1382" s="23">
        <v>2020</v>
      </c>
      <c r="K1382" s="22" t="s">
        <v>67</v>
      </c>
      <c r="L1382" s="23" t="s">
        <v>30</v>
      </c>
      <c r="M1382" s="23"/>
      <c r="N1382" s="22" t="s">
        <v>270</v>
      </c>
      <c r="O1382" s="22"/>
    </row>
    <row r="1383" spans="1:15" ht="13.5" customHeight="1" x14ac:dyDescent="0.25">
      <c r="A1383" s="1"/>
      <c r="B1383" s="20">
        <v>1371</v>
      </c>
      <c r="C1383" s="20">
        <v>2023</v>
      </c>
      <c r="D1383" s="20">
        <v>10935</v>
      </c>
      <c r="E1383" s="20" t="s">
        <v>5354</v>
      </c>
      <c r="F1383" s="20" t="s">
        <v>5355</v>
      </c>
      <c r="G1383" s="20" t="s">
        <v>5356</v>
      </c>
      <c r="H1383" s="20" t="s">
        <v>5357</v>
      </c>
      <c r="I1383" s="20" t="s">
        <v>23</v>
      </c>
      <c r="J1383" s="21">
        <v>2000</v>
      </c>
      <c r="K1383" s="20" t="s">
        <v>39</v>
      </c>
      <c r="L1383" s="21" t="s">
        <v>30</v>
      </c>
      <c r="M1383" s="21" t="s">
        <v>30</v>
      </c>
      <c r="N1383" s="20"/>
      <c r="O1383" s="20"/>
    </row>
    <row r="1384" spans="1:15" ht="13.5" customHeight="1" x14ac:dyDescent="0.25">
      <c r="A1384" s="1"/>
      <c r="B1384" s="22">
        <v>1372</v>
      </c>
      <c r="C1384" s="22">
        <v>2023</v>
      </c>
      <c r="D1384" s="22">
        <v>11123</v>
      </c>
      <c r="E1384" s="22" t="s">
        <v>5358</v>
      </c>
      <c r="F1384" s="22" t="s">
        <v>5359</v>
      </c>
      <c r="G1384" s="22" t="s">
        <v>5360</v>
      </c>
      <c r="H1384" s="22" t="s">
        <v>5361</v>
      </c>
      <c r="I1384" s="22" t="s">
        <v>23</v>
      </c>
      <c r="J1384" s="23">
        <v>2000</v>
      </c>
      <c r="K1384" s="22" t="s">
        <v>475</v>
      </c>
      <c r="L1384" s="23" t="s">
        <v>30</v>
      </c>
      <c r="M1384" s="23" t="s">
        <v>30</v>
      </c>
      <c r="N1384" s="22"/>
      <c r="O1384" s="22"/>
    </row>
    <row r="1385" spans="1:15" ht="13.5" customHeight="1" x14ac:dyDescent="0.25">
      <c r="A1385" s="1"/>
      <c r="B1385" s="20">
        <v>1373</v>
      </c>
      <c r="C1385" s="20">
        <v>2023</v>
      </c>
      <c r="D1385" s="20">
        <v>42485</v>
      </c>
      <c r="E1385" s="20" t="s">
        <v>5362</v>
      </c>
      <c r="F1385" s="20" t="s">
        <v>5363</v>
      </c>
      <c r="G1385" s="20"/>
      <c r="H1385" s="20" t="s">
        <v>5364</v>
      </c>
      <c r="I1385" s="20" t="s">
        <v>23</v>
      </c>
      <c r="J1385" s="21">
        <v>2019</v>
      </c>
      <c r="K1385" s="20" t="s">
        <v>34</v>
      </c>
      <c r="L1385" s="21"/>
      <c r="M1385" s="21"/>
      <c r="N1385" s="20" t="s">
        <v>123</v>
      </c>
      <c r="O1385" s="20"/>
    </row>
    <row r="1386" spans="1:15" ht="13.5" customHeight="1" x14ac:dyDescent="0.25">
      <c r="A1386" s="1"/>
      <c r="B1386" s="22">
        <v>1374</v>
      </c>
      <c r="C1386" s="22">
        <v>2023</v>
      </c>
      <c r="D1386" s="22">
        <v>11868</v>
      </c>
      <c r="E1386" s="22" t="s">
        <v>5365</v>
      </c>
      <c r="F1386" s="22" t="s">
        <v>5366</v>
      </c>
      <c r="G1386" s="22" t="s">
        <v>5367</v>
      </c>
      <c r="H1386" s="22" t="s">
        <v>5368</v>
      </c>
      <c r="I1386" s="22" t="s">
        <v>223</v>
      </c>
      <c r="J1386" s="23">
        <v>2010</v>
      </c>
      <c r="K1386" s="22" t="s">
        <v>44</v>
      </c>
      <c r="L1386" s="23" t="s">
        <v>30</v>
      </c>
      <c r="M1386" s="23" t="s">
        <v>30</v>
      </c>
      <c r="N1386" s="22" t="s">
        <v>1310</v>
      </c>
      <c r="O1386" s="22"/>
    </row>
    <row r="1387" spans="1:15" ht="13.5" customHeight="1" x14ac:dyDescent="0.25">
      <c r="A1387" s="1"/>
      <c r="B1387" s="20">
        <v>1375</v>
      </c>
      <c r="C1387" s="20">
        <v>2023</v>
      </c>
      <c r="D1387" s="20">
        <v>10936</v>
      </c>
      <c r="E1387" s="20" t="s">
        <v>5369</v>
      </c>
      <c r="F1387" s="20" t="s">
        <v>5370</v>
      </c>
      <c r="G1387" s="20" t="s">
        <v>5371</v>
      </c>
      <c r="H1387" s="20" t="s">
        <v>5372</v>
      </c>
      <c r="I1387" s="20" t="s">
        <v>23</v>
      </c>
      <c r="J1387" s="21">
        <v>2000</v>
      </c>
      <c r="K1387" s="20" t="s">
        <v>203</v>
      </c>
      <c r="L1387" s="21" t="s">
        <v>30</v>
      </c>
      <c r="M1387" s="21" t="s">
        <v>30</v>
      </c>
      <c r="N1387" s="20"/>
      <c r="O1387" s="20"/>
    </row>
    <row r="1388" spans="1:15" ht="13.5" customHeight="1" x14ac:dyDescent="0.25">
      <c r="A1388" s="1"/>
      <c r="B1388" s="22">
        <v>1376</v>
      </c>
      <c r="C1388" s="22">
        <v>2023</v>
      </c>
      <c r="D1388" s="22">
        <v>10862</v>
      </c>
      <c r="E1388" s="22" t="s">
        <v>5373</v>
      </c>
      <c r="F1388" s="22" t="s">
        <v>5374</v>
      </c>
      <c r="G1388" s="22" t="s">
        <v>5375</v>
      </c>
      <c r="H1388" s="22" t="s">
        <v>5376</v>
      </c>
      <c r="I1388" s="22" t="s">
        <v>23</v>
      </c>
      <c r="J1388" s="23">
        <v>2000</v>
      </c>
      <c r="K1388" s="22" t="s">
        <v>203</v>
      </c>
      <c r="L1388" s="23" t="s">
        <v>30</v>
      </c>
      <c r="M1388" s="23" t="s">
        <v>30</v>
      </c>
      <c r="N1388" s="22"/>
      <c r="O1388" s="22"/>
    </row>
    <row r="1389" spans="1:15" ht="13.5" customHeight="1" x14ac:dyDescent="0.25">
      <c r="A1389" s="1"/>
      <c r="B1389" s="20">
        <v>1377</v>
      </c>
      <c r="C1389" s="20">
        <v>2023</v>
      </c>
      <c r="D1389" s="20">
        <v>40737</v>
      </c>
      <c r="E1389" s="20" t="s">
        <v>5377</v>
      </c>
      <c r="F1389" s="20" t="s">
        <v>5378</v>
      </c>
      <c r="G1389" s="20"/>
      <c r="H1389" s="20" t="s">
        <v>5379</v>
      </c>
      <c r="I1389" s="20" t="s">
        <v>23</v>
      </c>
      <c r="J1389" s="21">
        <v>2014</v>
      </c>
      <c r="K1389" s="20" t="s">
        <v>203</v>
      </c>
      <c r="L1389" s="21"/>
      <c r="M1389" s="21"/>
      <c r="N1389" s="20"/>
      <c r="O1389" s="20"/>
    </row>
    <row r="1390" spans="1:15" ht="13.5" customHeight="1" x14ac:dyDescent="0.25">
      <c r="A1390" s="1"/>
      <c r="B1390" s="22">
        <v>1378</v>
      </c>
      <c r="C1390" s="22">
        <v>2023</v>
      </c>
      <c r="D1390" s="22">
        <v>10389</v>
      </c>
      <c r="E1390" s="22" t="s">
        <v>5380</v>
      </c>
      <c r="F1390" s="22" t="s">
        <v>5381</v>
      </c>
      <c r="G1390" s="22" t="s">
        <v>5382</v>
      </c>
      <c r="H1390" s="22" t="s">
        <v>5383</v>
      </c>
      <c r="I1390" s="22" t="s">
        <v>23</v>
      </c>
      <c r="J1390" s="23">
        <v>2000</v>
      </c>
      <c r="K1390" s="22" t="s">
        <v>39</v>
      </c>
      <c r="L1390" s="23" t="s">
        <v>30</v>
      </c>
      <c r="M1390" s="23" t="s">
        <v>30</v>
      </c>
      <c r="N1390" s="22"/>
      <c r="O1390" s="22"/>
    </row>
    <row r="1391" spans="1:15" ht="13.5" customHeight="1" x14ac:dyDescent="0.25">
      <c r="A1391" s="1"/>
      <c r="B1391" s="20">
        <v>1379</v>
      </c>
      <c r="C1391" s="20">
        <v>2023</v>
      </c>
      <c r="D1391" s="20">
        <v>10940</v>
      </c>
      <c r="E1391" s="20" t="s">
        <v>5384</v>
      </c>
      <c r="F1391" s="20" t="s">
        <v>5385</v>
      </c>
      <c r="G1391" s="20" t="s">
        <v>5386</v>
      </c>
      <c r="H1391" s="20" t="s">
        <v>5387</v>
      </c>
      <c r="I1391" s="20" t="s">
        <v>23</v>
      </c>
      <c r="J1391" s="21">
        <v>2000</v>
      </c>
      <c r="K1391" s="20" t="s">
        <v>394</v>
      </c>
      <c r="L1391" s="21" t="s">
        <v>30</v>
      </c>
      <c r="M1391" s="21" t="s">
        <v>30</v>
      </c>
      <c r="N1391" s="20"/>
      <c r="O1391" s="20"/>
    </row>
    <row r="1392" spans="1:15" ht="13.5" customHeight="1" x14ac:dyDescent="0.25">
      <c r="A1392" s="1"/>
      <c r="B1392" s="22">
        <v>1380</v>
      </c>
      <c r="C1392" s="22">
        <v>2023</v>
      </c>
      <c r="D1392" s="22">
        <v>40953</v>
      </c>
      <c r="E1392" s="22" t="s">
        <v>5388</v>
      </c>
      <c r="F1392" s="22" t="s">
        <v>5389</v>
      </c>
      <c r="G1392" s="22" t="s">
        <v>5390</v>
      </c>
      <c r="H1392" s="22" t="s">
        <v>5391</v>
      </c>
      <c r="I1392" s="22" t="s">
        <v>23</v>
      </c>
      <c r="J1392" s="23">
        <v>2003</v>
      </c>
      <c r="K1392" s="22" t="s">
        <v>475</v>
      </c>
      <c r="L1392" s="23" t="s">
        <v>30</v>
      </c>
      <c r="M1392" s="23"/>
      <c r="N1392" s="22" t="s">
        <v>68</v>
      </c>
      <c r="O1392" s="22"/>
    </row>
    <row r="1393" spans="1:15" ht="13.5" customHeight="1" x14ac:dyDescent="0.25">
      <c r="A1393" s="1"/>
      <c r="B1393" s="20">
        <v>1381</v>
      </c>
      <c r="C1393" s="20">
        <v>2023</v>
      </c>
      <c r="D1393" s="20">
        <v>40615</v>
      </c>
      <c r="E1393" s="20" t="s">
        <v>5392</v>
      </c>
      <c r="F1393" s="20" t="s">
        <v>5393</v>
      </c>
      <c r="G1393" s="20"/>
      <c r="H1393" s="20" t="s">
        <v>5394</v>
      </c>
      <c r="I1393" s="20" t="s">
        <v>23</v>
      </c>
      <c r="J1393" s="21">
        <v>2014</v>
      </c>
      <c r="K1393" s="20" t="s">
        <v>39</v>
      </c>
      <c r="L1393" s="21"/>
      <c r="M1393" s="21"/>
      <c r="N1393" s="20" t="s">
        <v>381</v>
      </c>
      <c r="O1393" s="20"/>
    </row>
    <row r="1394" spans="1:15" ht="13.5" customHeight="1" x14ac:dyDescent="0.25">
      <c r="A1394" s="1"/>
      <c r="B1394" s="22">
        <v>1382</v>
      </c>
      <c r="C1394" s="22">
        <v>2023</v>
      </c>
      <c r="D1394" s="22">
        <v>10967</v>
      </c>
      <c r="E1394" s="22" t="s">
        <v>5395</v>
      </c>
      <c r="F1394" s="22" t="s">
        <v>5396</v>
      </c>
      <c r="G1394" s="22" t="s">
        <v>5397</v>
      </c>
      <c r="H1394" s="22" t="s">
        <v>5398</v>
      </c>
      <c r="I1394" s="22" t="s">
        <v>100</v>
      </c>
      <c r="J1394" s="23">
        <v>2000</v>
      </c>
      <c r="K1394" s="22" t="s">
        <v>24</v>
      </c>
      <c r="L1394" s="23" t="s">
        <v>30</v>
      </c>
      <c r="M1394" s="23" t="s">
        <v>30</v>
      </c>
      <c r="N1394" s="22"/>
      <c r="O1394" s="22"/>
    </row>
    <row r="1395" spans="1:15" ht="13.5" customHeight="1" x14ac:dyDescent="0.25">
      <c r="A1395" s="1"/>
      <c r="B1395" s="20">
        <v>1383</v>
      </c>
      <c r="C1395" s="20">
        <v>2023</v>
      </c>
      <c r="D1395" s="20">
        <v>10942</v>
      </c>
      <c r="E1395" s="20" t="s">
        <v>5399</v>
      </c>
      <c r="F1395" s="20" t="s">
        <v>5400</v>
      </c>
      <c r="G1395" s="20" t="s">
        <v>5401</v>
      </c>
      <c r="H1395" s="20" t="s">
        <v>5402</v>
      </c>
      <c r="I1395" s="20" t="s">
        <v>23</v>
      </c>
      <c r="J1395" s="21">
        <v>2000</v>
      </c>
      <c r="K1395" s="20" t="s">
        <v>203</v>
      </c>
      <c r="L1395" s="21" t="s">
        <v>30</v>
      </c>
      <c r="M1395" s="21" t="s">
        <v>30</v>
      </c>
      <c r="N1395" s="20"/>
      <c r="O1395" s="20"/>
    </row>
    <row r="1396" spans="1:15" ht="13.5" customHeight="1" x14ac:dyDescent="0.25">
      <c r="A1396" s="1"/>
      <c r="B1396" s="22">
        <v>1384</v>
      </c>
      <c r="C1396" s="22">
        <v>2023</v>
      </c>
      <c r="D1396" s="22">
        <v>11554</v>
      </c>
      <c r="E1396" s="22" t="s">
        <v>5403</v>
      </c>
      <c r="F1396" s="22" t="s">
        <v>5404</v>
      </c>
      <c r="G1396" s="22" t="s">
        <v>5405</v>
      </c>
      <c r="H1396" s="22" t="s">
        <v>5406</v>
      </c>
      <c r="I1396" s="22" t="s">
        <v>23</v>
      </c>
      <c r="J1396" s="23">
        <v>2006</v>
      </c>
      <c r="K1396" s="22" t="s">
        <v>114</v>
      </c>
      <c r="L1396" s="23" t="s">
        <v>30</v>
      </c>
      <c r="M1396" s="23" t="s">
        <v>30</v>
      </c>
      <c r="N1396" s="22"/>
      <c r="O1396" s="22"/>
    </row>
    <row r="1397" spans="1:15" ht="13.5" customHeight="1" x14ac:dyDescent="0.25">
      <c r="A1397" s="1"/>
      <c r="B1397" s="20">
        <v>1385</v>
      </c>
      <c r="C1397" s="20">
        <v>2023</v>
      </c>
      <c r="D1397" s="20">
        <v>11149</v>
      </c>
      <c r="E1397" s="20" t="s">
        <v>5407</v>
      </c>
      <c r="F1397" s="20" t="s">
        <v>5408</v>
      </c>
      <c r="G1397" s="20" t="s">
        <v>5409</v>
      </c>
      <c r="H1397" s="20" t="s">
        <v>5410</v>
      </c>
      <c r="I1397" s="20" t="s">
        <v>23</v>
      </c>
      <c r="J1397" s="21">
        <v>2000</v>
      </c>
      <c r="K1397" s="20" t="s">
        <v>475</v>
      </c>
      <c r="L1397" s="21" t="s">
        <v>30</v>
      </c>
      <c r="M1397" s="21" t="s">
        <v>30</v>
      </c>
      <c r="N1397" s="20"/>
      <c r="O1397" s="20"/>
    </row>
    <row r="1398" spans="1:15" ht="13.5" customHeight="1" x14ac:dyDescent="0.25">
      <c r="A1398" s="1"/>
      <c r="B1398" s="22">
        <v>1386</v>
      </c>
      <c r="C1398" s="22">
        <v>2023</v>
      </c>
      <c r="D1398" s="22">
        <v>40860</v>
      </c>
      <c r="E1398" s="22" t="s">
        <v>5411</v>
      </c>
      <c r="F1398" s="22" t="s">
        <v>5412</v>
      </c>
      <c r="G1398" s="22" t="s">
        <v>5413</v>
      </c>
      <c r="H1398" s="22" t="s">
        <v>5414</v>
      </c>
      <c r="I1398" s="22" t="s">
        <v>23</v>
      </c>
      <c r="J1398" s="23">
        <v>2015</v>
      </c>
      <c r="K1398" s="22" t="s">
        <v>114</v>
      </c>
      <c r="L1398" s="23" t="s">
        <v>30</v>
      </c>
      <c r="M1398" s="23"/>
      <c r="N1398" s="22" t="s">
        <v>185</v>
      </c>
      <c r="O1398" s="22"/>
    </row>
    <row r="1399" spans="1:15" ht="13.5" customHeight="1" x14ac:dyDescent="0.25">
      <c r="A1399" s="1"/>
      <c r="B1399" s="20">
        <v>1387</v>
      </c>
      <c r="C1399" s="20">
        <v>2023</v>
      </c>
      <c r="D1399" s="20">
        <v>10943</v>
      </c>
      <c r="E1399" s="20" t="s">
        <v>5415</v>
      </c>
      <c r="F1399" s="20" t="s">
        <v>5416</v>
      </c>
      <c r="G1399" s="20" t="s">
        <v>5417</v>
      </c>
      <c r="H1399" s="20" t="s">
        <v>5418</v>
      </c>
      <c r="I1399" s="20" t="s">
        <v>23</v>
      </c>
      <c r="J1399" s="21">
        <v>2000</v>
      </c>
      <c r="K1399" s="20" t="s">
        <v>39</v>
      </c>
      <c r="L1399" s="21" t="s">
        <v>30</v>
      </c>
      <c r="M1399" s="21" t="s">
        <v>30</v>
      </c>
      <c r="N1399" s="20"/>
      <c r="O1399" s="20"/>
    </row>
    <row r="1400" spans="1:15" ht="13.5" customHeight="1" x14ac:dyDescent="0.25">
      <c r="A1400" s="1"/>
      <c r="B1400" s="22">
        <v>1388</v>
      </c>
      <c r="C1400" s="22">
        <v>2023</v>
      </c>
      <c r="D1400" s="22">
        <v>40839</v>
      </c>
      <c r="E1400" s="22" t="s">
        <v>5419</v>
      </c>
      <c r="F1400" s="22" t="s">
        <v>5420</v>
      </c>
      <c r="G1400" s="22" t="s">
        <v>5421</v>
      </c>
      <c r="H1400" s="22" t="s">
        <v>5422</v>
      </c>
      <c r="I1400" s="22" t="s">
        <v>23</v>
      </c>
      <c r="J1400" s="23">
        <v>2014</v>
      </c>
      <c r="K1400" s="22" t="s">
        <v>73</v>
      </c>
      <c r="L1400" s="23" t="s">
        <v>30</v>
      </c>
      <c r="M1400" s="23"/>
      <c r="N1400" s="22" t="s">
        <v>53</v>
      </c>
      <c r="O1400" s="22"/>
    </row>
    <row r="1401" spans="1:15" ht="13.5" customHeight="1" x14ac:dyDescent="0.25">
      <c r="A1401" s="1"/>
      <c r="B1401" s="20">
        <v>1389</v>
      </c>
      <c r="C1401" s="20">
        <v>2023</v>
      </c>
      <c r="D1401" s="20">
        <v>13243</v>
      </c>
      <c r="E1401" s="20" t="s">
        <v>5423</v>
      </c>
      <c r="F1401" s="20" t="s">
        <v>5424</v>
      </c>
      <c r="G1401" s="20" t="s">
        <v>5425</v>
      </c>
      <c r="H1401" s="20" t="s">
        <v>5426</v>
      </c>
      <c r="I1401" s="20" t="s">
        <v>23</v>
      </c>
      <c r="J1401" s="21">
        <v>2011</v>
      </c>
      <c r="K1401" s="20" t="s">
        <v>67</v>
      </c>
      <c r="L1401" s="21" t="s">
        <v>30</v>
      </c>
      <c r="M1401" s="21"/>
      <c r="N1401" s="20"/>
      <c r="O1401" s="20"/>
    </row>
    <row r="1402" spans="1:15" ht="13.5" customHeight="1" x14ac:dyDescent="0.25">
      <c r="A1402" s="1"/>
      <c r="B1402" s="22">
        <v>1390</v>
      </c>
      <c r="C1402" s="22">
        <v>2023</v>
      </c>
      <c r="D1402" s="22">
        <v>11166</v>
      </c>
      <c r="E1402" s="22" t="s">
        <v>5427</v>
      </c>
      <c r="F1402" s="22" t="s">
        <v>5428</v>
      </c>
      <c r="G1402" s="22" t="s">
        <v>5429</v>
      </c>
      <c r="H1402" s="22" t="s">
        <v>5430</v>
      </c>
      <c r="I1402" s="22" t="s">
        <v>23</v>
      </c>
      <c r="J1402" s="23">
        <v>2000</v>
      </c>
      <c r="K1402" s="22" t="s">
        <v>475</v>
      </c>
      <c r="L1402" s="23" t="s">
        <v>30</v>
      </c>
      <c r="M1402" s="23" t="s">
        <v>30</v>
      </c>
      <c r="N1402" s="22"/>
      <c r="O1402" s="22"/>
    </row>
    <row r="1403" spans="1:15" ht="13.5" customHeight="1" x14ac:dyDescent="0.25">
      <c r="A1403" s="1"/>
      <c r="B1403" s="20">
        <v>1391</v>
      </c>
      <c r="C1403" s="20">
        <v>2023</v>
      </c>
      <c r="D1403" s="20">
        <v>11701</v>
      </c>
      <c r="E1403" s="20" t="s">
        <v>5431</v>
      </c>
      <c r="F1403" s="20" t="s">
        <v>5432</v>
      </c>
      <c r="G1403" s="20"/>
      <c r="H1403" s="20" t="s">
        <v>5433</v>
      </c>
      <c r="I1403" s="20" t="s">
        <v>23</v>
      </c>
      <c r="J1403" s="21">
        <v>2007</v>
      </c>
      <c r="K1403" s="20" t="s">
        <v>39</v>
      </c>
      <c r="L1403" s="21"/>
      <c r="M1403" s="21" t="s">
        <v>30</v>
      </c>
      <c r="N1403" s="20" t="s">
        <v>245</v>
      </c>
      <c r="O1403" s="20"/>
    </row>
    <row r="1404" spans="1:15" ht="13.5" customHeight="1" x14ac:dyDescent="0.25">
      <c r="A1404" s="1"/>
      <c r="B1404" s="22">
        <v>1392</v>
      </c>
      <c r="C1404" s="22">
        <v>2023</v>
      </c>
      <c r="D1404" s="22">
        <v>42464</v>
      </c>
      <c r="E1404" s="22" t="s">
        <v>5434</v>
      </c>
      <c r="F1404" s="22" t="s">
        <v>5435</v>
      </c>
      <c r="G1404" s="22" t="s">
        <v>5436</v>
      </c>
      <c r="H1404" s="22" t="s">
        <v>5437</v>
      </c>
      <c r="I1404" s="22" t="s">
        <v>23</v>
      </c>
      <c r="J1404" s="23">
        <v>2017</v>
      </c>
      <c r="K1404" s="22" t="s">
        <v>24</v>
      </c>
      <c r="L1404" s="23" t="s">
        <v>30</v>
      </c>
      <c r="M1404" s="23"/>
      <c r="N1404" s="22" t="s">
        <v>123</v>
      </c>
      <c r="O1404" s="22"/>
    </row>
    <row r="1405" spans="1:15" ht="13.5" customHeight="1" x14ac:dyDescent="0.25">
      <c r="A1405" s="1"/>
      <c r="B1405" s="20">
        <v>1393</v>
      </c>
      <c r="C1405" s="20">
        <v>2023</v>
      </c>
      <c r="D1405" s="20">
        <v>10946</v>
      </c>
      <c r="E1405" s="20" t="s">
        <v>5438</v>
      </c>
      <c r="F1405" s="20" t="s">
        <v>5439</v>
      </c>
      <c r="G1405" s="20" t="s">
        <v>5440</v>
      </c>
      <c r="H1405" s="20" t="s">
        <v>5441</v>
      </c>
      <c r="I1405" s="20" t="s">
        <v>23</v>
      </c>
      <c r="J1405" s="21">
        <v>2000</v>
      </c>
      <c r="K1405" s="20" t="s">
        <v>63</v>
      </c>
      <c r="L1405" s="21" t="s">
        <v>30</v>
      </c>
      <c r="M1405" s="21" t="s">
        <v>30</v>
      </c>
      <c r="N1405" s="20"/>
      <c r="O1405" s="20"/>
    </row>
    <row r="1406" spans="1:15" ht="13.5" customHeight="1" x14ac:dyDescent="0.25">
      <c r="A1406" s="1"/>
      <c r="B1406" s="22">
        <v>1394</v>
      </c>
      <c r="C1406" s="22">
        <v>2023</v>
      </c>
      <c r="D1406" s="22">
        <v>10951</v>
      </c>
      <c r="E1406" s="22" t="s">
        <v>5442</v>
      </c>
      <c r="F1406" s="22" t="s">
        <v>5443</v>
      </c>
      <c r="G1406" s="22" t="s">
        <v>5444</v>
      </c>
      <c r="H1406" s="22" t="s">
        <v>5445</v>
      </c>
      <c r="I1406" s="22" t="s">
        <v>23</v>
      </c>
      <c r="J1406" s="23">
        <v>2003</v>
      </c>
      <c r="K1406" s="22" t="s">
        <v>29</v>
      </c>
      <c r="L1406" s="23" t="s">
        <v>30</v>
      </c>
      <c r="M1406" s="23" t="s">
        <v>30</v>
      </c>
      <c r="N1406" s="22"/>
      <c r="O1406" s="22"/>
    </row>
    <row r="1407" spans="1:15" ht="13.5" customHeight="1" x14ac:dyDescent="0.25">
      <c r="A1407" s="1"/>
      <c r="B1407" s="20">
        <v>1395</v>
      </c>
      <c r="C1407" s="20">
        <v>2023</v>
      </c>
      <c r="D1407" s="20">
        <v>10956</v>
      </c>
      <c r="E1407" s="20" t="s">
        <v>5446</v>
      </c>
      <c r="F1407" s="20" t="s">
        <v>5447</v>
      </c>
      <c r="G1407" s="20" t="s">
        <v>5448</v>
      </c>
      <c r="H1407" s="20" t="s">
        <v>5449</v>
      </c>
      <c r="I1407" s="20" t="s">
        <v>23</v>
      </c>
      <c r="J1407" s="21">
        <v>2000</v>
      </c>
      <c r="K1407" s="20" t="s">
        <v>73</v>
      </c>
      <c r="L1407" s="21" t="s">
        <v>30</v>
      </c>
      <c r="M1407" s="21" t="s">
        <v>30</v>
      </c>
      <c r="N1407" s="20"/>
      <c r="O1407" s="20"/>
    </row>
    <row r="1408" spans="1:15" ht="13.5" customHeight="1" x14ac:dyDescent="0.25">
      <c r="A1408" s="1"/>
      <c r="B1408" s="22">
        <v>1396</v>
      </c>
      <c r="C1408" s="22">
        <v>2023</v>
      </c>
      <c r="D1408" s="22">
        <v>42978</v>
      </c>
      <c r="E1408" s="22" t="s">
        <v>5450</v>
      </c>
      <c r="F1408" s="22" t="s">
        <v>5451</v>
      </c>
      <c r="G1408" s="22" t="s">
        <v>5452</v>
      </c>
      <c r="H1408" s="22" t="s">
        <v>5453</v>
      </c>
      <c r="I1408" s="22" t="s">
        <v>23</v>
      </c>
      <c r="J1408" s="23">
        <v>2019</v>
      </c>
      <c r="K1408" s="22" t="s">
        <v>34</v>
      </c>
      <c r="L1408" s="23" t="s">
        <v>30</v>
      </c>
      <c r="M1408" s="23"/>
      <c r="N1408" s="22" t="s">
        <v>218</v>
      </c>
      <c r="O1408" s="22"/>
    </row>
    <row r="1409" spans="1:15" ht="13.5" customHeight="1" x14ac:dyDescent="0.25">
      <c r="A1409" s="1"/>
      <c r="B1409" s="20">
        <v>1397</v>
      </c>
      <c r="C1409" s="20">
        <v>2023</v>
      </c>
      <c r="D1409" s="20">
        <v>10915</v>
      </c>
      <c r="E1409" s="20" t="s">
        <v>5454</v>
      </c>
      <c r="F1409" s="20" t="s">
        <v>5455</v>
      </c>
      <c r="G1409" s="20" t="s">
        <v>5456</v>
      </c>
      <c r="H1409" s="20" t="s">
        <v>5457</v>
      </c>
      <c r="I1409" s="20" t="s">
        <v>23</v>
      </c>
      <c r="J1409" s="21">
        <v>2000</v>
      </c>
      <c r="K1409" s="20" t="s">
        <v>44</v>
      </c>
      <c r="L1409" s="21" t="s">
        <v>30</v>
      </c>
      <c r="M1409" s="21" t="s">
        <v>30</v>
      </c>
      <c r="N1409" s="20"/>
      <c r="O1409" s="20"/>
    </row>
    <row r="1410" spans="1:15" ht="13.5" customHeight="1" x14ac:dyDescent="0.25">
      <c r="A1410" s="1"/>
      <c r="B1410" s="22">
        <v>1398</v>
      </c>
      <c r="C1410" s="22">
        <v>2023</v>
      </c>
      <c r="D1410" s="22">
        <v>43217</v>
      </c>
      <c r="E1410" s="22" t="s">
        <v>5458</v>
      </c>
      <c r="F1410" s="22" t="s">
        <v>5459</v>
      </c>
      <c r="G1410" s="22" t="s">
        <v>5460</v>
      </c>
      <c r="H1410" s="22" t="s">
        <v>5461</v>
      </c>
      <c r="I1410" s="22" t="s">
        <v>23</v>
      </c>
      <c r="J1410" s="23">
        <v>2020</v>
      </c>
      <c r="K1410" s="22" t="s">
        <v>95</v>
      </c>
      <c r="L1410" s="23" t="s">
        <v>30</v>
      </c>
      <c r="M1410" s="23"/>
      <c r="N1410" s="22" t="s">
        <v>270</v>
      </c>
      <c r="O1410" s="22"/>
    </row>
    <row r="1411" spans="1:15" ht="13.5" customHeight="1" x14ac:dyDescent="0.25">
      <c r="A1411" s="1"/>
      <c r="B1411" s="20">
        <v>1399</v>
      </c>
      <c r="C1411" s="20">
        <v>2023</v>
      </c>
      <c r="D1411" s="20">
        <v>10950</v>
      </c>
      <c r="E1411" s="20" t="s">
        <v>5462</v>
      </c>
      <c r="F1411" s="20" t="s">
        <v>5463</v>
      </c>
      <c r="G1411" s="20" t="s">
        <v>5464</v>
      </c>
      <c r="H1411" s="20" t="s">
        <v>5465</v>
      </c>
      <c r="I1411" s="20" t="s">
        <v>23</v>
      </c>
      <c r="J1411" s="21">
        <v>2000</v>
      </c>
      <c r="K1411" s="20" t="s">
        <v>95</v>
      </c>
      <c r="L1411" s="21" t="s">
        <v>30</v>
      </c>
      <c r="M1411" s="21" t="s">
        <v>30</v>
      </c>
      <c r="N1411" s="20"/>
      <c r="O1411" s="20"/>
    </row>
    <row r="1412" spans="1:15" ht="13.5" customHeight="1" x14ac:dyDescent="0.25">
      <c r="A1412" s="1"/>
      <c r="B1412" s="22">
        <v>1400</v>
      </c>
      <c r="C1412" s="22">
        <v>2023</v>
      </c>
      <c r="D1412" s="22">
        <v>12204</v>
      </c>
      <c r="E1412" s="22" t="s">
        <v>5466</v>
      </c>
      <c r="F1412" s="22" t="s">
        <v>5467</v>
      </c>
      <c r="G1412" s="22" t="s">
        <v>5468</v>
      </c>
      <c r="H1412" s="22" t="s">
        <v>5469</v>
      </c>
      <c r="I1412" s="22" t="s">
        <v>5470</v>
      </c>
      <c r="J1412" s="23">
        <v>2008</v>
      </c>
      <c r="K1412" s="22" t="s">
        <v>67</v>
      </c>
      <c r="L1412" s="23" t="s">
        <v>30</v>
      </c>
      <c r="M1412" s="23" t="s">
        <v>30</v>
      </c>
      <c r="N1412" s="22" t="s">
        <v>35</v>
      </c>
      <c r="O1412" s="22"/>
    </row>
    <row r="1413" spans="1:15" ht="13.5" customHeight="1" x14ac:dyDescent="0.25">
      <c r="A1413" s="1"/>
      <c r="B1413" s="20">
        <v>1401</v>
      </c>
      <c r="C1413" s="20">
        <v>2023</v>
      </c>
      <c r="D1413" s="20">
        <v>11265</v>
      </c>
      <c r="E1413" s="20" t="s">
        <v>5471</v>
      </c>
      <c r="F1413" s="20" t="s">
        <v>5472</v>
      </c>
      <c r="G1413" s="20" t="s">
        <v>5473</v>
      </c>
      <c r="H1413" s="20" t="s">
        <v>5474</v>
      </c>
      <c r="I1413" s="20" t="s">
        <v>23</v>
      </c>
      <c r="J1413" s="21">
        <v>2000</v>
      </c>
      <c r="K1413" s="20" t="s">
        <v>67</v>
      </c>
      <c r="L1413" s="21" t="s">
        <v>30</v>
      </c>
      <c r="M1413" s="21" t="s">
        <v>30</v>
      </c>
      <c r="N1413" s="20"/>
      <c r="O1413" s="20"/>
    </row>
    <row r="1414" spans="1:15" ht="13.5" customHeight="1" x14ac:dyDescent="0.25">
      <c r="A1414" s="1"/>
      <c r="B1414" s="22">
        <v>1402</v>
      </c>
      <c r="C1414" s="22">
        <v>2023</v>
      </c>
      <c r="D1414" s="22">
        <v>40847</v>
      </c>
      <c r="E1414" s="22" t="s">
        <v>5475</v>
      </c>
      <c r="F1414" s="22" t="s">
        <v>5476</v>
      </c>
      <c r="G1414" s="22" t="s">
        <v>5477</v>
      </c>
      <c r="H1414" s="22" t="s">
        <v>5478</v>
      </c>
      <c r="I1414" s="22" t="s">
        <v>23</v>
      </c>
      <c r="J1414" s="23">
        <v>2015</v>
      </c>
      <c r="K1414" s="22" t="s">
        <v>475</v>
      </c>
      <c r="L1414" s="23" t="s">
        <v>30</v>
      </c>
      <c r="M1414" s="23"/>
      <c r="N1414" s="22" t="s">
        <v>68</v>
      </c>
      <c r="O1414" s="22"/>
    </row>
    <row r="1415" spans="1:15" ht="13.5" customHeight="1" x14ac:dyDescent="0.25">
      <c r="A1415" s="1"/>
      <c r="B1415" s="20">
        <v>1403</v>
      </c>
      <c r="C1415" s="20">
        <v>2023</v>
      </c>
      <c r="D1415" s="20">
        <v>42729</v>
      </c>
      <c r="E1415" s="20" t="s">
        <v>5479</v>
      </c>
      <c r="F1415" s="20" t="s">
        <v>5480</v>
      </c>
      <c r="G1415" s="20" t="s">
        <v>5481</v>
      </c>
      <c r="H1415" s="20" t="s">
        <v>5482</v>
      </c>
      <c r="I1415" s="20" t="s">
        <v>23</v>
      </c>
      <c r="J1415" s="21">
        <v>2019</v>
      </c>
      <c r="K1415" s="20" t="s">
        <v>34</v>
      </c>
      <c r="L1415" s="21" t="s">
        <v>30</v>
      </c>
      <c r="M1415" s="21"/>
      <c r="N1415" s="20" t="s">
        <v>123</v>
      </c>
      <c r="O1415" s="20"/>
    </row>
    <row r="1416" spans="1:15" ht="13.5" customHeight="1" x14ac:dyDescent="0.25">
      <c r="A1416" s="1"/>
      <c r="B1416" s="22">
        <v>1404</v>
      </c>
      <c r="C1416" s="22">
        <v>2023</v>
      </c>
      <c r="D1416" s="22">
        <v>11368</v>
      </c>
      <c r="E1416" s="22" t="s">
        <v>5483</v>
      </c>
      <c r="F1416" s="22" t="s">
        <v>5484</v>
      </c>
      <c r="G1416" s="22" t="s">
        <v>5485</v>
      </c>
      <c r="H1416" s="22" t="s">
        <v>5486</v>
      </c>
      <c r="I1416" s="22" t="s">
        <v>23</v>
      </c>
      <c r="J1416" s="23">
        <v>2001</v>
      </c>
      <c r="K1416" s="22" t="s">
        <v>95</v>
      </c>
      <c r="L1416" s="23" t="s">
        <v>30</v>
      </c>
      <c r="M1416" s="23" t="s">
        <v>30</v>
      </c>
      <c r="N1416" s="22"/>
      <c r="O1416" s="22"/>
    </row>
    <row r="1417" spans="1:15" ht="13.5" customHeight="1" x14ac:dyDescent="0.25">
      <c r="A1417" s="1"/>
      <c r="B1417" s="20">
        <v>1405</v>
      </c>
      <c r="C1417" s="20">
        <v>2023</v>
      </c>
      <c r="D1417" s="20">
        <v>10971</v>
      </c>
      <c r="E1417" s="20" t="s">
        <v>5487</v>
      </c>
      <c r="F1417" s="20" t="s">
        <v>5488</v>
      </c>
      <c r="G1417" s="20" t="s">
        <v>5489</v>
      </c>
      <c r="H1417" s="20" t="s">
        <v>5490</v>
      </c>
      <c r="I1417" s="20" t="s">
        <v>23</v>
      </c>
      <c r="J1417" s="21">
        <v>2000</v>
      </c>
      <c r="K1417" s="20" t="s">
        <v>24</v>
      </c>
      <c r="L1417" s="21" t="s">
        <v>30</v>
      </c>
      <c r="M1417" s="21" t="s">
        <v>30</v>
      </c>
      <c r="N1417" s="20"/>
      <c r="O1417" s="20"/>
    </row>
    <row r="1418" spans="1:15" ht="13.5" customHeight="1" x14ac:dyDescent="0.25">
      <c r="A1418" s="1"/>
      <c r="B1418" s="22">
        <v>1406</v>
      </c>
      <c r="C1418" s="22">
        <v>2023</v>
      </c>
      <c r="D1418" s="22">
        <v>10008</v>
      </c>
      <c r="E1418" s="22" t="s">
        <v>5491</v>
      </c>
      <c r="F1418" s="22" t="s">
        <v>5492</v>
      </c>
      <c r="G1418" s="22" t="s">
        <v>5493</v>
      </c>
      <c r="H1418" s="22" t="s">
        <v>5494</v>
      </c>
      <c r="I1418" s="22" t="s">
        <v>23</v>
      </c>
      <c r="J1418" s="23">
        <v>2000</v>
      </c>
      <c r="K1418" s="22" t="s">
        <v>24</v>
      </c>
      <c r="L1418" s="23" t="s">
        <v>30</v>
      </c>
      <c r="M1418" s="23" t="s">
        <v>30</v>
      </c>
      <c r="N1418" s="22"/>
      <c r="O1418" s="22"/>
    </row>
    <row r="1419" spans="1:15" ht="13.5" customHeight="1" x14ac:dyDescent="0.25">
      <c r="A1419" s="1"/>
      <c r="B1419" s="20">
        <v>1407</v>
      </c>
      <c r="C1419" s="20">
        <v>2023</v>
      </c>
      <c r="D1419" s="20">
        <v>10953</v>
      </c>
      <c r="E1419" s="20" t="s">
        <v>5495</v>
      </c>
      <c r="F1419" s="20" t="s">
        <v>5496</v>
      </c>
      <c r="G1419" s="20" t="s">
        <v>5497</v>
      </c>
      <c r="H1419" s="20" t="s">
        <v>5498</v>
      </c>
      <c r="I1419" s="20" t="s">
        <v>23</v>
      </c>
      <c r="J1419" s="21">
        <v>2000</v>
      </c>
      <c r="K1419" s="20" t="s">
        <v>24</v>
      </c>
      <c r="L1419" s="21" t="s">
        <v>30</v>
      </c>
      <c r="M1419" s="21" t="s">
        <v>30</v>
      </c>
      <c r="N1419" s="20"/>
      <c r="O1419" s="20"/>
    </row>
    <row r="1420" spans="1:15" ht="13.5" customHeight="1" x14ac:dyDescent="0.25">
      <c r="A1420" s="1"/>
      <c r="B1420" s="22">
        <v>1408</v>
      </c>
      <c r="C1420" s="22">
        <v>2023</v>
      </c>
      <c r="D1420" s="22">
        <v>43071</v>
      </c>
      <c r="E1420" s="22" t="s">
        <v>5499</v>
      </c>
      <c r="F1420" s="22" t="s">
        <v>5500</v>
      </c>
      <c r="G1420" s="22"/>
      <c r="H1420" s="22" t="s">
        <v>5501</v>
      </c>
      <c r="I1420" s="22" t="s">
        <v>23</v>
      </c>
      <c r="J1420" s="23">
        <v>2020</v>
      </c>
      <c r="K1420" s="22" t="s">
        <v>475</v>
      </c>
      <c r="L1420" s="23"/>
      <c r="M1420" s="23"/>
      <c r="N1420" s="22" t="s">
        <v>48</v>
      </c>
      <c r="O1420" s="22"/>
    </row>
    <row r="1421" spans="1:15" ht="13.5" customHeight="1" x14ac:dyDescent="0.25">
      <c r="A1421" s="1"/>
      <c r="B1421" s="20">
        <v>1409</v>
      </c>
      <c r="C1421" s="20">
        <v>2023</v>
      </c>
      <c r="D1421" s="20">
        <v>10955</v>
      </c>
      <c r="E1421" s="20" t="s">
        <v>5502</v>
      </c>
      <c r="F1421" s="20" t="s">
        <v>5503</v>
      </c>
      <c r="G1421" s="20"/>
      <c r="H1421" s="20" t="s">
        <v>5504</v>
      </c>
      <c r="I1421" s="20" t="s">
        <v>23</v>
      </c>
      <c r="J1421" s="21">
        <v>2000</v>
      </c>
      <c r="K1421" s="20" t="s">
        <v>63</v>
      </c>
      <c r="L1421" s="21"/>
      <c r="M1421" s="21" t="s">
        <v>30</v>
      </c>
      <c r="N1421" s="20"/>
      <c r="O1421" s="20"/>
    </row>
    <row r="1422" spans="1:15" ht="13.5" customHeight="1" x14ac:dyDescent="0.25">
      <c r="A1422" s="1"/>
      <c r="B1422" s="22">
        <v>1410</v>
      </c>
      <c r="C1422" s="22">
        <v>2023</v>
      </c>
      <c r="D1422" s="22">
        <v>42519</v>
      </c>
      <c r="E1422" s="22" t="s">
        <v>5505</v>
      </c>
      <c r="F1422" s="22" t="s">
        <v>5506</v>
      </c>
      <c r="G1422" s="22" t="s">
        <v>5507</v>
      </c>
      <c r="H1422" s="22" t="s">
        <v>5508</v>
      </c>
      <c r="I1422" s="22" t="s">
        <v>23</v>
      </c>
      <c r="J1422" s="23">
        <v>2007</v>
      </c>
      <c r="K1422" s="22" t="s">
        <v>44</v>
      </c>
      <c r="L1422" s="23" t="s">
        <v>30</v>
      </c>
      <c r="M1422" s="23"/>
      <c r="N1422" s="22" t="s">
        <v>123</v>
      </c>
      <c r="O1422" s="22"/>
    </row>
    <row r="1423" spans="1:15" ht="13.5" customHeight="1" x14ac:dyDescent="0.25">
      <c r="A1423" s="1"/>
      <c r="B1423" s="20">
        <v>1411</v>
      </c>
      <c r="C1423" s="20">
        <v>2023</v>
      </c>
      <c r="D1423" s="20">
        <v>10947</v>
      </c>
      <c r="E1423" s="20" t="s">
        <v>5509</v>
      </c>
      <c r="F1423" s="20" t="s">
        <v>5510</v>
      </c>
      <c r="G1423" s="20" t="s">
        <v>5511</v>
      </c>
      <c r="H1423" s="20" t="s">
        <v>5512</v>
      </c>
      <c r="I1423" s="20" t="s">
        <v>62</v>
      </c>
      <c r="J1423" s="21">
        <v>2000</v>
      </c>
      <c r="K1423" s="20" t="s">
        <v>24</v>
      </c>
      <c r="L1423" s="21" t="s">
        <v>30</v>
      </c>
      <c r="M1423" s="21" t="s">
        <v>30</v>
      </c>
      <c r="N1423" s="20"/>
      <c r="O1423" s="20"/>
    </row>
    <row r="1424" spans="1:15" ht="13.5" customHeight="1" x14ac:dyDescent="0.25">
      <c r="A1424" s="1"/>
      <c r="B1424" s="22">
        <v>1412</v>
      </c>
      <c r="C1424" s="22">
        <v>2023</v>
      </c>
      <c r="D1424" s="22">
        <v>10948</v>
      </c>
      <c r="E1424" s="22" t="s">
        <v>5513</v>
      </c>
      <c r="F1424" s="22" t="s">
        <v>5514</v>
      </c>
      <c r="G1424" s="22" t="s">
        <v>5515</v>
      </c>
      <c r="H1424" s="22" t="s">
        <v>5516</v>
      </c>
      <c r="I1424" s="22" t="s">
        <v>23</v>
      </c>
      <c r="J1424" s="23">
        <v>2000</v>
      </c>
      <c r="K1424" s="22" t="s">
        <v>63</v>
      </c>
      <c r="L1424" s="23" t="s">
        <v>30</v>
      </c>
      <c r="M1424" s="23" t="s">
        <v>30</v>
      </c>
      <c r="N1424" s="22"/>
      <c r="O1424" s="22"/>
    </row>
    <row r="1425" spans="1:15" ht="13.5" customHeight="1" x14ac:dyDescent="0.25">
      <c r="A1425" s="1"/>
      <c r="B1425" s="20">
        <v>1413</v>
      </c>
      <c r="C1425" s="20">
        <v>2023</v>
      </c>
      <c r="D1425" s="20">
        <v>11961</v>
      </c>
      <c r="E1425" s="20" t="s">
        <v>5517</v>
      </c>
      <c r="F1425" s="20" t="s">
        <v>5518</v>
      </c>
      <c r="G1425" s="20" t="s">
        <v>5519</v>
      </c>
      <c r="H1425" s="20" t="s">
        <v>5520</v>
      </c>
      <c r="I1425" s="20" t="s">
        <v>62</v>
      </c>
      <c r="J1425" s="21">
        <v>2007</v>
      </c>
      <c r="K1425" s="20" t="s">
        <v>24</v>
      </c>
      <c r="L1425" s="21" t="s">
        <v>30</v>
      </c>
      <c r="M1425" s="21" t="s">
        <v>30</v>
      </c>
      <c r="N1425" s="20" t="s">
        <v>74</v>
      </c>
      <c r="O1425" s="20"/>
    </row>
    <row r="1426" spans="1:15" ht="13.5" customHeight="1" x14ac:dyDescent="0.25">
      <c r="A1426" s="1"/>
      <c r="B1426" s="22">
        <v>1414</v>
      </c>
      <c r="C1426" s="22">
        <v>2023</v>
      </c>
      <c r="D1426" s="22">
        <v>11700</v>
      </c>
      <c r="E1426" s="22" t="s">
        <v>5521</v>
      </c>
      <c r="F1426" s="22" t="s">
        <v>5522</v>
      </c>
      <c r="G1426" s="22" t="s">
        <v>5523</v>
      </c>
      <c r="H1426" s="22" t="s">
        <v>5524</v>
      </c>
      <c r="I1426" s="22" t="s">
        <v>62</v>
      </c>
      <c r="J1426" s="23">
        <v>2007</v>
      </c>
      <c r="K1426" s="22" t="s">
        <v>24</v>
      </c>
      <c r="L1426" s="23" t="s">
        <v>30</v>
      </c>
      <c r="M1426" s="23" t="s">
        <v>30</v>
      </c>
      <c r="N1426" s="22" t="s">
        <v>245</v>
      </c>
      <c r="O1426" s="22"/>
    </row>
    <row r="1427" spans="1:15" ht="13.5" customHeight="1" x14ac:dyDescent="0.25">
      <c r="A1427" s="1"/>
      <c r="B1427" s="20">
        <v>1415</v>
      </c>
      <c r="C1427" s="20">
        <v>2023</v>
      </c>
      <c r="D1427" s="20">
        <v>40831</v>
      </c>
      <c r="E1427" s="20" t="s">
        <v>5525</v>
      </c>
      <c r="F1427" s="20" t="s">
        <v>5526</v>
      </c>
      <c r="G1427" s="20" t="s">
        <v>5527</v>
      </c>
      <c r="H1427" s="20" t="s">
        <v>5528</v>
      </c>
      <c r="I1427" s="20" t="s">
        <v>23</v>
      </c>
      <c r="J1427" s="21">
        <v>2015</v>
      </c>
      <c r="K1427" s="20" t="s">
        <v>95</v>
      </c>
      <c r="L1427" s="21" t="s">
        <v>30</v>
      </c>
      <c r="M1427" s="21"/>
      <c r="N1427" s="20" t="s">
        <v>185</v>
      </c>
      <c r="O1427" s="20"/>
    </row>
    <row r="1428" spans="1:15" ht="13.5" customHeight="1" x14ac:dyDescent="0.25">
      <c r="A1428" s="1"/>
      <c r="B1428" s="22">
        <v>1416</v>
      </c>
      <c r="C1428" s="22">
        <v>2023</v>
      </c>
      <c r="D1428" s="22">
        <v>11424</v>
      </c>
      <c r="E1428" s="22" t="s">
        <v>5529</v>
      </c>
      <c r="F1428" s="22" t="s">
        <v>5530</v>
      </c>
      <c r="G1428" s="22" t="s">
        <v>5531</v>
      </c>
      <c r="H1428" s="22" t="s">
        <v>5532</v>
      </c>
      <c r="I1428" s="22" t="s">
        <v>5533</v>
      </c>
      <c r="J1428" s="23">
        <v>2006</v>
      </c>
      <c r="K1428" s="22" t="s">
        <v>44</v>
      </c>
      <c r="L1428" s="23" t="s">
        <v>30</v>
      </c>
      <c r="M1428" s="23" t="s">
        <v>30</v>
      </c>
      <c r="N1428" s="22"/>
      <c r="O1428" s="22"/>
    </row>
    <row r="1429" spans="1:15" ht="13.5" customHeight="1" x14ac:dyDescent="0.25">
      <c r="A1429" s="1"/>
      <c r="B1429" s="20">
        <v>1417</v>
      </c>
      <c r="C1429" s="20">
        <v>2023</v>
      </c>
      <c r="D1429" s="20">
        <v>11518</v>
      </c>
      <c r="E1429" s="20" t="s">
        <v>5534</v>
      </c>
      <c r="F1429" s="20" t="s">
        <v>5535</v>
      </c>
      <c r="G1429" s="20" t="s">
        <v>5536</v>
      </c>
      <c r="H1429" s="20" t="s">
        <v>5537</v>
      </c>
      <c r="I1429" s="20" t="s">
        <v>23</v>
      </c>
      <c r="J1429" s="21">
        <v>2003</v>
      </c>
      <c r="K1429" s="20" t="s">
        <v>67</v>
      </c>
      <c r="L1429" s="21" t="s">
        <v>30</v>
      </c>
      <c r="M1429" s="21" t="s">
        <v>30</v>
      </c>
      <c r="N1429" s="20"/>
      <c r="O1429" s="20"/>
    </row>
    <row r="1430" spans="1:15" ht="13.5" customHeight="1" x14ac:dyDescent="0.25">
      <c r="A1430" s="1"/>
      <c r="B1430" s="22">
        <v>1418</v>
      </c>
      <c r="C1430" s="22">
        <v>2023</v>
      </c>
      <c r="D1430" s="22">
        <v>41347</v>
      </c>
      <c r="E1430" s="22" t="s">
        <v>5538</v>
      </c>
      <c r="F1430" s="22" t="s">
        <v>5539</v>
      </c>
      <c r="G1430" s="22"/>
      <c r="H1430" s="22" t="s">
        <v>5540</v>
      </c>
      <c r="I1430" s="22" t="s">
        <v>23</v>
      </c>
      <c r="J1430" s="23">
        <v>2016</v>
      </c>
      <c r="K1430" s="22" t="s">
        <v>203</v>
      </c>
      <c r="L1430" s="23"/>
      <c r="M1430" s="23"/>
      <c r="N1430" s="22" t="s">
        <v>204</v>
      </c>
      <c r="O1430" s="22"/>
    </row>
    <row r="1431" spans="1:15" ht="13.5" customHeight="1" x14ac:dyDescent="0.25">
      <c r="A1431" s="1"/>
      <c r="B1431" s="20">
        <v>1419</v>
      </c>
      <c r="C1431" s="20">
        <v>2023</v>
      </c>
      <c r="D1431" s="20">
        <v>11747</v>
      </c>
      <c r="E1431" s="20" t="s">
        <v>5541</v>
      </c>
      <c r="F1431" s="20" t="s">
        <v>5542</v>
      </c>
      <c r="G1431" s="20" t="s">
        <v>5543</v>
      </c>
      <c r="H1431" s="20" t="s">
        <v>5544</v>
      </c>
      <c r="I1431" s="20" t="s">
        <v>23</v>
      </c>
      <c r="J1431" s="21">
        <v>2000</v>
      </c>
      <c r="K1431" s="20" t="s">
        <v>29</v>
      </c>
      <c r="L1431" s="21" t="s">
        <v>30</v>
      </c>
      <c r="M1431" s="21" t="s">
        <v>30</v>
      </c>
      <c r="N1431" s="20" t="s">
        <v>74</v>
      </c>
      <c r="O1431" s="20"/>
    </row>
    <row r="1432" spans="1:15" ht="13.5" customHeight="1" x14ac:dyDescent="0.25">
      <c r="A1432" s="1"/>
      <c r="B1432" s="22">
        <v>1420</v>
      </c>
      <c r="C1432" s="22">
        <v>2023</v>
      </c>
      <c r="D1432" s="22">
        <v>10162</v>
      </c>
      <c r="E1432" s="22" t="s">
        <v>5545</v>
      </c>
      <c r="F1432" s="22" t="s">
        <v>5546</v>
      </c>
      <c r="G1432" s="22"/>
      <c r="H1432" s="22" t="s">
        <v>5547</v>
      </c>
      <c r="I1432" s="22" t="s">
        <v>23</v>
      </c>
      <c r="J1432" s="23">
        <v>2000</v>
      </c>
      <c r="K1432" s="22" t="s">
        <v>39</v>
      </c>
      <c r="L1432" s="23"/>
      <c r="M1432" s="23" t="s">
        <v>30</v>
      </c>
      <c r="N1432" s="22"/>
      <c r="O1432" s="22"/>
    </row>
    <row r="1433" spans="1:15" ht="13.5" customHeight="1" x14ac:dyDescent="0.25">
      <c r="A1433" s="1"/>
      <c r="B1433" s="20">
        <v>1421</v>
      </c>
      <c r="C1433" s="20">
        <v>2023</v>
      </c>
      <c r="D1433" s="20">
        <v>41779</v>
      </c>
      <c r="E1433" s="20" t="s">
        <v>5548</v>
      </c>
      <c r="F1433" s="20" t="s">
        <v>5549</v>
      </c>
      <c r="G1433" s="20" t="s">
        <v>5550</v>
      </c>
      <c r="H1433" s="20" t="s">
        <v>5551</v>
      </c>
      <c r="I1433" s="20" t="s">
        <v>23</v>
      </c>
      <c r="J1433" s="21">
        <v>2017</v>
      </c>
      <c r="K1433" s="20" t="s">
        <v>24</v>
      </c>
      <c r="L1433" s="21" t="s">
        <v>30</v>
      </c>
      <c r="M1433" s="21"/>
      <c r="N1433" s="20" t="s">
        <v>105</v>
      </c>
      <c r="O1433" s="20"/>
    </row>
    <row r="1434" spans="1:15" ht="13.5" customHeight="1" x14ac:dyDescent="0.25">
      <c r="A1434" s="1"/>
      <c r="B1434" s="22">
        <v>1422</v>
      </c>
      <c r="C1434" s="22">
        <v>2023</v>
      </c>
      <c r="D1434" s="22">
        <v>40430</v>
      </c>
      <c r="E1434" s="22" t="s">
        <v>5552</v>
      </c>
      <c r="F1434" s="22" t="s">
        <v>5553</v>
      </c>
      <c r="G1434" s="22" t="s">
        <v>5554</v>
      </c>
      <c r="H1434" s="22" t="s">
        <v>5555</v>
      </c>
      <c r="I1434" s="22" t="s">
        <v>23</v>
      </c>
      <c r="J1434" s="23">
        <v>2013</v>
      </c>
      <c r="K1434" s="22" t="s">
        <v>67</v>
      </c>
      <c r="L1434" s="23" t="s">
        <v>30</v>
      </c>
      <c r="M1434" s="23"/>
      <c r="N1434" s="22" t="s">
        <v>101</v>
      </c>
      <c r="O1434" s="22"/>
    </row>
    <row r="1435" spans="1:15" ht="13.5" customHeight="1" x14ac:dyDescent="0.25">
      <c r="A1435" s="1"/>
      <c r="B1435" s="20">
        <v>1423</v>
      </c>
      <c r="C1435" s="20">
        <v>2023</v>
      </c>
      <c r="D1435" s="20">
        <v>40881</v>
      </c>
      <c r="E1435" s="20" t="s">
        <v>5556</v>
      </c>
      <c r="F1435" s="20" t="s">
        <v>5557</v>
      </c>
      <c r="G1435" s="20"/>
      <c r="H1435" s="20" t="s">
        <v>5558</v>
      </c>
      <c r="I1435" s="20" t="s">
        <v>23</v>
      </c>
      <c r="J1435" s="21">
        <v>2015</v>
      </c>
      <c r="K1435" s="20" t="s">
        <v>475</v>
      </c>
      <c r="L1435" s="21"/>
      <c r="M1435" s="21"/>
      <c r="N1435" s="20" t="s">
        <v>185</v>
      </c>
      <c r="O1435" s="20"/>
    </row>
    <row r="1436" spans="1:15" ht="13.5" customHeight="1" x14ac:dyDescent="0.25">
      <c r="A1436" s="1"/>
      <c r="B1436" s="22">
        <v>1424</v>
      </c>
      <c r="C1436" s="22">
        <v>2023</v>
      </c>
      <c r="D1436" s="22">
        <v>12594</v>
      </c>
      <c r="E1436" s="22" t="s">
        <v>5559</v>
      </c>
      <c r="F1436" s="22" t="s">
        <v>5560</v>
      </c>
      <c r="G1436" s="22"/>
      <c r="H1436" s="22" t="s">
        <v>5561</v>
      </c>
      <c r="I1436" s="22" t="s">
        <v>23</v>
      </c>
      <c r="J1436" s="23">
        <v>2009</v>
      </c>
      <c r="K1436" s="22" t="s">
        <v>95</v>
      </c>
      <c r="L1436" s="23"/>
      <c r="M1436" s="23"/>
      <c r="N1436" s="22" t="s">
        <v>431</v>
      </c>
      <c r="O1436" s="22"/>
    </row>
    <row r="1437" spans="1:15" ht="13.5" customHeight="1" x14ac:dyDescent="0.25">
      <c r="A1437" s="1"/>
      <c r="B1437" s="20">
        <v>1425</v>
      </c>
      <c r="C1437" s="20">
        <v>2023</v>
      </c>
      <c r="D1437" s="20">
        <v>10739</v>
      </c>
      <c r="E1437" s="20" t="s">
        <v>5562</v>
      </c>
      <c r="F1437" s="20" t="s">
        <v>5563</v>
      </c>
      <c r="G1437" s="20" t="s">
        <v>5564</v>
      </c>
      <c r="H1437" s="20" t="s">
        <v>5565</v>
      </c>
      <c r="I1437" s="20" t="s">
        <v>23</v>
      </c>
      <c r="J1437" s="21">
        <v>2000</v>
      </c>
      <c r="K1437" s="20" t="s">
        <v>4193</v>
      </c>
      <c r="L1437" s="21" t="s">
        <v>30</v>
      </c>
      <c r="M1437" s="21" t="s">
        <v>30</v>
      </c>
      <c r="N1437" s="20"/>
      <c r="O1437" s="20"/>
    </row>
    <row r="1438" spans="1:15" ht="13.5" customHeight="1" x14ac:dyDescent="0.25">
      <c r="A1438" s="1"/>
      <c r="B1438" s="22">
        <v>1426</v>
      </c>
      <c r="C1438" s="22">
        <v>2023</v>
      </c>
      <c r="D1438" s="22">
        <v>13196</v>
      </c>
      <c r="E1438" s="22" t="s">
        <v>5566</v>
      </c>
      <c r="F1438" s="22" t="s">
        <v>5567</v>
      </c>
      <c r="G1438" s="22" t="s">
        <v>5568</v>
      </c>
      <c r="H1438" s="22" t="s">
        <v>5569</v>
      </c>
      <c r="I1438" s="22" t="s">
        <v>23</v>
      </c>
      <c r="J1438" s="23">
        <v>2010</v>
      </c>
      <c r="K1438" s="22" t="s">
        <v>34</v>
      </c>
      <c r="L1438" s="23" t="s">
        <v>30</v>
      </c>
      <c r="M1438" s="23"/>
      <c r="N1438" s="22" t="s">
        <v>173</v>
      </c>
      <c r="O1438" s="22"/>
    </row>
    <row r="1439" spans="1:15" ht="13.5" customHeight="1" x14ac:dyDescent="0.25">
      <c r="A1439" s="1"/>
      <c r="B1439" s="20">
        <v>1427</v>
      </c>
      <c r="C1439" s="20">
        <v>2023</v>
      </c>
      <c r="D1439" s="20">
        <v>41745</v>
      </c>
      <c r="E1439" s="20" t="s">
        <v>5570</v>
      </c>
      <c r="F1439" s="20" t="s">
        <v>5571</v>
      </c>
      <c r="G1439" s="20" t="s">
        <v>5572</v>
      </c>
      <c r="H1439" s="20" t="s">
        <v>5573</v>
      </c>
      <c r="I1439" s="20" t="s">
        <v>23</v>
      </c>
      <c r="J1439" s="21">
        <v>2017</v>
      </c>
      <c r="K1439" s="20" t="s">
        <v>24</v>
      </c>
      <c r="L1439" s="21" t="s">
        <v>30</v>
      </c>
      <c r="M1439" s="21"/>
      <c r="N1439" s="20" t="s">
        <v>105</v>
      </c>
      <c r="O1439" s="20"/>
    </row>
    <row r="1440" spans="1:15" ht="13.5" customHeight="1" x14ac:dyDescent="0.25">
      <c r="A1440" s="1"/>
      <c r="B1440" s="22">
        <v>1428</v>
      </c>
      <c r="C1440" s="22">
        <v>2023</v>
      </c>
      <c r="D1440" s="22">
        <v>41096</v>
      </c>
      <c r="E1440" s="22" t="s">
        <v>5574</v>
      </c>
      <c r="F1440" s="22" t="s">
        <v>5575</v>
      </c>
      <c r="G1440" s="22"/>
      <c r="H1440" s="22" t="s">
        <v>5576</v>
      </c>
      <c r="I1440" s="22" t="s">
        <v>23</v>
      </c>
      <c r="J1440" s="23">
        <v>2016</v>
      </c>
      <c r="K1440" s="22" t="s">
        <v>44</v>
      </c>
      <c r="L1440" s="23"/>
      <c r="M1440" s="23"/>
      <c r="N1440" s="22" t="s">
        <v>1470</v>
      </c>
      <c r="O1440" s="22"/>
    </row>
    <row r="1441" spans="1:15" ht="13.5" customHeight="1" x14ac:dyDescent="0.25">
      <c r="A1441" s="1"/>
      <c r="B1441" s="20">
        <v>1429</v>
      </c>
      <c r="C1441" s="20">
        <v>2023</v>
      </c>
      <c r="D1441" s="20">
        <v>12524</v>
      </c>
      <c r="E1441" s="20" t="s">
        <v>5577</v>
      </c>
      <c r="F1441" s="20" t="s">
        <v>5578</v>
      </c>
      <c r="G1441" s="20" t="s">
        <v>5579</v>
      </c>
      <c r="H1441" s="20" t="s">
        <v>5580</v>
      </c>
      <c r="I1441" s="20" t="s">
        <v>23</v>
      </c>
      <c r="J1441" s="21">
        <v>2000</v>
      </c>
      <c r="K1441" s="20" t="s">
        <v>95</v>
      </c>
      <c r="L1441" s="21" t="s">
        <v>30</v>
      </c>
      <c r="M1441" s="21" t="s">
        <v>30</v>
      </c>
      <c r="N1441" s="20" t="s">
        <v>35</v>
      </c>
      <c r="O1441" s="20"/>
    </row>
    <row r="1442" spans="1:15" ht="13.5" customHeight="1" x14ac:dyDescent="0.25">
      <c r="A1442" s="1"/>
      <c r="B1442" s="22">
        <v>1430</v>
      </c>
      <c r="C1442" s="22">
        <v>2023</v>
      </c>
      <c r="D1442" s="22">
        <v>40030</v>
      </c>
      <c r="E1442" s="22" t="s">
        <v>5581</v>
      </c>
      <c r="F1442" s="22" t="s">
        <v>5582</v>
      </c>
      <c r="G1442" s="22" t="s">
        <v>5583</v>
      </c>
      <c r="H1442" s="22" t="s">
        <v>5584</v>
      </c>
      <c r="I1442" s="22" t="s">
        <v>23</v>
      </c>
      <c r="J1442" s="23">
        <v>2012</v>
      </c>
      <c r="K1442" s="22" t="s">
        <v>67</v>
      </c>
      <c r="L1442" s="23" t="s">
        <v>30</v>
      </c>
      <c r="M1442" s="23"/>
      <c r="N1442" s="22" t="s">
        <v>163</v>
      </c>
      <c r="O1442" s="22"/>
    </row>
    <row r="1443" spans="1:15" ht="13.5" customHeight="1" x14ac:dyDescent="0.25">
      <c r="A1443" s="1"/>
      <c r="B1443" s="20">
        <v>1431</v>
      </c>
      <c r="C1443" s="20">
        <v>2023</v>
      </c>
      <c r="D1443" s="20">
        <v>40031</v>
      </c>
      <c r="E1443" s="20" t="s">
        <v>5585</v>
      </c>
      <c r="F1443" s="20" t="s">
        <v>5586</v>
      </c>
      <c r="G1443" s="20" t="s">
        <v>5587</v>
      </c>
      <c r="H1443" s="20" t="s">
        <v>5588</v>
      </c>
      <c r="I1443" s="20" t="s">
        <v>23</v>
      </c>
      <c r="J1443" s="21">
        <v>2012</v>
      </c>
      <c r="K1443" s="20" t="s">
        <v>67</v>
      </c>
      <c r="L1443" s="21" t="s">
        <v>30</v>
      </c>
      <c r="M1443" s="21"/>
      <c r="N1443" s="20" t="s">
        <v>163</v>
      </c>
      <c r="O1443" s="20"/>
    </row>
    <row r="1444" spans="1:15" ht="13.5" customHeight="1" x14ac:dyDescent="0.25">
      <c r="A1444" s="1"/>
      <c r="B1444" s="22">
        <v>1432</v>
      </c>
      <c r="C1444" s="22">
        <v>2023</v>
      </c>
      <c r="D1444" s="22">
        <v>40032</v>
      </c>
      <c r="E1444" s="22" t="s">
        <v>5589</v>
      </c>
      <c r="F1444" s="22" t="s">
        <v>5590</v>
      </c>
      <c r="G1444" s="22" t="s">
        <v>5591</v>
      </c>
      <c r="H1444" s="22" t="s">
        <v>5592</v>
      </c>
      <c r="I1444" s="22" t="s">
        <v>23</v>
      </c>
      <c r="J1444" s="23">
        <v>2012</v>
      </c>
      <c r="K1444" s="22" t="s">
        <v>67</v>
      </c>
      <c r="L1444" s="23" t="s">
        <v>30</v>
      </c>
      <c r="M1444" s="23"/>
      <c r="N1444" s="22" t="s">
        <v>163</v>
      </c>
      <c r="O1444" s="22"/>
    </row>
    <row r="1445" spans="1:15" ht="13.5" customHeight="1" x14ac:dyDescent="0.25">
      <c r="A1445" s="1"/>
      <c r="B1445" s="20">
        <v>1433</v>
      </c>
      <c r="C1445" s="20">
        <v>2023</v>
      </c>
      <c r="D1445" s="20">
        <v>40033</v>
      </c>
      <c r="E1445" s="20" t="s">
        <v>5593</v>
      </c>
      <c r="F1445" s="20" t="s">
        <v>5594</v>
      </c>
      <c r="G1445" s="20" t="s">
        <v>5595</v>
      </c>
      <c r="H1445" s="20" t="s">
        <v>5596</v>
      </c>
      <c r="I1445" s="20" t="s">
        <v>23</v>
      </c>
      <c r="J1445" s="21">
        <v>2012</v>
      </c>
      <c r="K1445" s="20" t="s">
        <v>67</v>
      </c>
      <c r="L1445" s="21" t="s">
        <v>30</v>
      </c>
      <c r="M1445" s="21"/>
      <c r="N1445" s="20" t="s">
        <v>163</v>
      </c>
      <c r="O1445" s="20"/>
    </row>
    <row r="1446" spans="1:15" ht="13.5" customHeight="1" x14ac:dyDescent="0.25">
      <c r="A1446" s="1"/>
      <c r="B1446" s="22">
        <v>1434</v>
      </c>
      <c r="C1446" s="22">
        <v>2023</v>
      </c>
      <c r="D1446" s="22">
        <v>40034</v>
      </c>
      <c r="E1446" s="22" t="s">
        <v>5597</v>
      </c>
      <c r="F1446" s="22" t="s">
        <v>5598</v>
      </c>
      <c r="G1446" s="22" t="s">
        <v>5599</v>
      </c>
      <c r="H1446" s="22" t="s">
        <v>5600</v>
      </c>
      <c r="I1446" s="22" t="s">
        <v>23</v>
      </c>
      <c r="J1446" s="23">
        <v>2012</v>
      </c>
      <c r="K1446" s="22" t="s">
        <v>67</v>
      </c>
      <c r="L1446" s="23" t="s">
        <v>30</v>
      </c>
      <c r="M1446" s="23"/>
      <c r="N1446" s="22" t="s">
        <v>163</v>
      </c>
      <c r="O1446" s="22"/>
    </row>
    <row r="1447" spans="1:15" ht="13.5" customHeight="1" x14ac:dyDescent="0.25">
      <c r="A1447" s="1"/>
      <c r="B1447" s="20">
        <v>1435</v>
      </c>
      <c r="C1447" s="20">
        <v>2023</v>
      </c>
      <c r="D1447" s="20">
        <v>13738</v>
      </c>
      <c r="E1447" s="20" t="s">
        <v>5601</v>
      </c>
      <c r="F1447" s="20" t="s">
        <v>5602</v>
      </c>
      <c r="G1447" s="20" t="s">
        <v>5603</v>
      </c>
      <c r="H1447" s="20" t="s">
        <v>5604</v>
      </c>
      <c r="I1447" s="20" t="s">
        <v>23</v>
      </c>
      <c r="J1447" s="21">
        <v>2004</v>
      </c>
      <c r="K1447" s="20" t="s">
        <v>24</v>
      </c>
      <c r="L1447" s="21" t="s">
        <v>30</v>
      </c>
      <c r="M1447" s="21"/>
      <c r="N1447" s="20" t="s">
        <v>163</v>
      </c>
      <c r="O1447" s="20"/>
    </row>
    <row r="1448" spans="1:15" ht="13.5" customHeight="1" x14ac:dyDescent="0.25">
      <c r="A1448" s="1"/>
      <c r="B1448" s="22">
        <v>1436</v>
      </c>
      <c r="C1448" s="22">
        <v>2023</v>
      </c>
      <c r="D1448" s="22">
        <v>13132</v>
      </c>
      <c r="E1448" s="22" t="s">
        <v>5605</v>
      </c>
      <c r="F1448" s="22" t="s">
        <v>5606</v>
      </c>
      <c r="G1448" s="22"/>
      <c r="H1448" s="22" t="s">
        <v>5607</v>
      </c>
      <c r="I1448" s="22" t="s">
        <v>23</v>
      </c>
      <c r="J1448" s="23">
        <v>2010</v>
      </c>
      <c r="K1448" s="22" t="s">
        <v>475</v>
      </c>
      <c r="L1448" s="23"/>
      <c r="M1448" s="23" t="s">
        <v>30</v>
      </c>
      <c r="N1448" s="22" t="s">
        <v>1310</v>
      </c>
      <c r="O1448" s="22"/>
    </row>
    <row r="1449" spans="1:15" ht="13.5" customHeight="1" x14ac:dyDescent="0.25">
      <c r="A1449" s="1"/>
      <c r="B1449" s="20">
        <v>1437</v>
      </c>
      <c r="C1449" s="20">
        <v>2023</v>
      </c>
      <c r="D1449" s="20">
        <v>43207</v>
      </c>
      <c r="E1449" s="20" t="s">
        <v>5608</v>
      </c>
      <c r="F1449" s="20" t="s">
        <v>5609</v>
      </c>
      <c r="G1449" s="20" t="s">
        <v>5610</v>
      </c>
      <c r="H1449" s="20" t="s">
        <v>5611</v>
      </c>
      <c r="I1449" s="20" t="s">
        <v>23</v>
      </c>
      <c r="J1449" s="21">
        <v>2020</v>
      </c>
      <c r="K1449" s="20" t="s">
        <v>24</v>
      </c>
      <c r="L1449" s="21" t="s">
        <v>30</v>
      </c>
      <c r="M1449" s="21"/>
      <c r="N1449" s="20" t="s">
        <v>270</v>
      </c>
      <c r="O1449" s="20"/>
    </row>
    <row r="1450" spans="1:15" ht="13.5" customHeight="1" x14ac:dyDescent="0.25">
      <c r="A1450" s="1"/>
      <c r="B1450" s="22">
        <v>1438</v>
      </c>
      <c r="C1450" s="22">
        <v>2023</v>
      </c>
      <c r="D1450" s="22">
        <v>40042</v>
      </c>
      <c r="E1450" s="22" t="s">
        <v>5612</v>
      </c>
      <c r="F1450" s="22" t="s">
        <v>5613</v>
      </c>
      <c r="G1450" s="22" t="s">
        <v>5614</v>
      </c>
      <c r="H1450" s="22" t="s">
        <v>5615</v>
      </c>
      <c r="I1450" s="22" t="s">
        <v>5616</v>
      </c>
      <c r="J1450" s="23">
        <v>2012</v>
      </c>
      <c r="K1450" s="22" t="s">
        <v>63</v>
      </c>
      <c r="L1450" s="23" t="s">
        <v>30</v>
      </c>
      <c r="M1450" s="23"/>
      <c r="N1450" s="22" t="s">
        <v>163</v>
      </c>
      <c r="O1450" s="22"/>
    </row>
    <row r="1451" spans="1:15" ht="13.5" customHeight="1" x14ac:dyDescent="0.25">
      <c r="A1451" s="1"/>
      <c r="B1451" s="20">
        <v>1439</v>
      </c>
      <c r="C1451" s="20">
        <v>2023</v>
      </c>
      <c r="D1451" s="20">
        <v>42952</v>
      </c>
      <c r="E1451" s="20" t="s">
        <v>5617</v>
      </c>
      <c r="F1451" s="20" t="s">
        <v>5618</v>
      </c>
      <c r="G1451" s="20" t="s">
        <v>5619</v>
      </c>
      <c r="H1451" s="20" t="s">
        <v>5620</v>
      </c>
      <c r="I1451" s="20" t="s">
        <v>23</v>
      </c>
      <c r="J1451" s="21">
        <v>2008</v>
      </c>
      <c r="K1451" s="20" t="s">
        <v>44</v>
      </c>
      <c r="L1451" s="21" t="s">
        <v>30</v>
      </c>
      <c r="M1451" s="21"/>
      <c r="N1451" s="20" t="s">
        <v>270</v>
      </c>
      <c r="O1451" s="20"/>
    </row>
    <row r="1452" spans="1:15" ht="13.5" customHeight="1" x14ac:dyDescent="0.25">
      <c r="A1452" s="1"/>
      <c r="B1452" s="22">
        <v>1440</v>
      </c>
      <c r="C1452" s="22">
        <v>2023</v>
      </c>
      <c r="D1452" s="22">
        <v>40305</v>
      </c>
      <c r="E1452" s="22" t="s">
        <v>5621</v>
      </c>
      <c r="F1452" s="22" t="s">
        <v>5622</v>
      </c>
      <c r="G1452" s="22" t="s">
        <v>5623</v>
      </c>
      <c r="H1452" s="22" t="s">
        <v>5624</v>
      </c>
      <c r="I1452" s="22" t="s">
        <v>5625</v>
      </c>
      <c r="J1452" s="23">
        <v>2013</v>
      </c>
      <c r="K1452" s="22" t="s">
        <v>44</v>
      </c>
      <c r="L1452" s="23" t="s">
        <v>30</v>
      </c>
      <c r="M1452" s="23"/>
      <c r="N1452" s="22" t="s">
        <v>260</v>
      </c>
      <c r="O1452" s="22"/>
    </row>
    <row r="1453" spans="1:15" ht="13.5" customHeight="1" x14ac:dyDescent="0.25">
      <c r="A1453" s="1"/>
      <c r="B1453" s="20">
        <v>1441</v>
      </c>
      <c r="C1453" s="20">
        <v>2023</v>
      </c>
      <c r="D1453" s="20">
        <v>10959</v>
      </c>
      <c r="E1453" s="20" t="s">
        <v>5626</v>
      </c>
      <c r="F1453" s="20" t="s">
        <v>5627</v>
      </c>
      <c r="G1453" s="20" t="s">
        <v>5628</v>
      </c>
      <c r="H1453" s="20" t="s">
        <v>5629</v>
      </c>
      <c r="I1453" s="20" t="s">
        <v>23</v>
      </c>
      <c r="J1453" s="21">
        <v>2000</v>
      </c>
      <c r="K1453" s="20" t="s">
        <v>44</v>
      </c>
      <c r="L1453" s="21" t="s">
        <v>30</v>
      </c>
      <c r="M1453" s="21" t="s">
        <v>30</v>
      </c>
      <c r="N1453" s="20"/>
      <c r="O1453" s="20"/>
    </row>
    <row r="1454" spans="1:15" ht="13.5" customHeight="1" x14ac:dyDescent="0.25">
      <c r="A1454" s="1"/>
      <c r="B1454" s="22">
        <v>1442</v>
      </c>
      <c r="C1454" s="22">
        <v>2023</v>
      </c>
      <c r="D1454" s="22">
        <v>10973</v>
      </c>
      <c r="E1454" s="22" t="s">
        <v>5630</v>
      </c>
      <c r="F1454" s="22" t="s">
        <v>5631</v>
      </c>
      <c r="G1454" s="22" t="s">
        <v>5632</v>
      </c>
      <c r="H1454" s="22" t="s">
        <v>5633</v>
      </c>
      <c r="I1454" s="22" t="s">
        <v>100</v>
      </c>
      <c r="J1454" s="23">
        <v>2000</v>
      </c>
      <c r="K1454" s="22" t="s">
        <v>24</v>
      </c>
      <c r="L1454" s="23" t="s">
        <v>30</v>
      </c>
      <c r="M1454" s="23" t="s">
        <v>30</v>
      </c>
      <c r="N1454" s="22"/>
      <c r="O1454" s="22"/>
    </row>
    <row r="1455" spans="1:15" ht="13.5" customHeight="1" x14ac:dyDescent="0.25">
      <c r="A1455" s="1"/>
      <c r="B1455" s="20">
        <v>1443</v>
      </c>
      <c r="C1455" s="20">
        <v>2023</v>
      </c>
      <c r="D1455" s="20">
        <v>11630</v>
      </c>
      <c r="E1455" s="20" t="s">
        <v>5634</v>
      </c>
      <c r="F1455" s="20" t="s">
        <v>5635</v>
      </c>
      <c r="G1455" s="20" t="s">
        <v>5636</v>
      </c>
      <c r="H1455" s="20" t="s">
        <v>5637</v>
      </c>
      <c r="I1455" s="20" t="s">
        <v>94</v>
      </c>
      <c r="J1455" s="21">
        <v>2000</v>
      </c>
      <c r="K1455" s="20" t="s">
        <v>63</v>
      </c>
      <c r="L1455" s="21" t="s">
        <v>30</v>
      </c>
      <c r="M1455" s="21" t="s">
        <v>30</v>
      </c>
      <c r="N1455" s="20" t="s">
        <v>74</v>
      </c>
      <c r="O1455" s="20"/>
    </row>
    <row r="1456" spans="1:15" ht="13.5" customHeight="1" x14ac:dyDescent="0.25">
      <c r="A1456" s="1"/>
      <c r="B1456" s="22">
        <v>1444</v>
      </c>
      <c r="C1456" s="22">
        <v>2023</v>
      </c>
      <c r="D1456" s="22">
        <v>11666</v>
      </c>
      <c r="E1456" s="22" t="s">
        <v>5638</v>
      </c>
      <c r="F1456" s="22" t="s">
        <v>5639</v>
      </c>
      <c r="G1456" s="22" t="s">
        <v>5640</v>
      </c>
      <c r="H1456" s="22" t="s">
        <v>5641</v>
      </c>
      <c r="I1456" s="22" t="s">
        <v>23</v>
      </c>
      <c r="J1456" s="23">
        <v>2000</v>
      </c>
      <c r="K1456" s="22" t="s">
        <v>24</v>
      </c>
      <c r="L1456" s="23" t="s">
        <v>30</v>
      </c>
      <c r="M1456" s="23" t="s">
        <v>30</v>
      </c>
      <c r="N1456" s="22" t="s">
        <v>74</v>
      </c>
      <c r="O1456" s="22"/>
    </row>
    <row r="1457" spans="1:15" ht="13.5" customHeight="1" x14ac:dyDescent="0.25">
      <c r="A1457" s="1"/>
      <c r="B1457" s="20">
        <v>1445</v>
      </c>
      <c r="C1457" s="20">
        <v>2023</v>
      </c>
      <c r="D1457" s="20">
        <v>11239</v>
      </c>
      <c r="E1457" s="20" t="s">
        <v>5642</v>
      </c>
      <c r="F1457" s="20" t="s">
        <v>5643</v>
      </c>
      <c r="G1457" s="20"/>
      <c r="H1457" s="20" t="s">
        <v>5644</v>
      </c>
      <c r="I1457" s="20" t="s">
        <v>23</v>
      </c>
      <c r="J1457" s="21">
        <v>2000</v>
      </c>
      <c r="K1457" s="20" t="s">
        <v>39</v>
      </c>
      <c r="L1457" s="21"/>
      <c r="M1457" s="21" t="s">
        <v>30</v>
      </c>
      <c r="N1457" s="20"/>
      <c r="O1457" s="20"/>
    </row>
    <row r="1458" spans="1:15" ht="13.5" customHeight="1" x14ac:dyDescent="0.25">
      <c r="A1458" s="1"/>
      <c r="B1458" s="22">
        <v>1446</v>
      </c>
      <c r="C1458" s="22">
        <v>2023</v>
      </c>
      <c r="D1458" s="22">
        <v>12198</v>
      </c>
      <c r="E1458" s="22" t="s">
        <v>5645</v>
      </c>
      <c r="F1458" s="22" t="s">
        <v>5646</v>
      </c>
      <c r="G1458" s="22"/>
      <c r="H1458" s="22" t="s">
        <v>5647</v>
      </c>
      <c r="I1458" s="22" t="s">
        <v>23</v>
      </c>
      <c r="J1458" s="23">
        <v>2008</v>
      </c>
      <c r="K1458" s="22" t="s">
        <v>29</v>
      </c>
      <c r="L1458" s="23"/>
      <c r="M1458" s="23" t="s">
        <v>30</v>
      </c>
      <c r="N1458" s="22" t="s">
        <v>352</v>
      </c>
      <c r="O1458" s="22"/>
    </row>
    <row r="1459" spans="1:15" ht="13.5" customHeight="1" x14ac:dyDescent="0.25">
      <c r="A1459" s="1"/>
      <c r="B1459" s="20">
        <v>1447</v>
      </c>
      <c r="C1459" s="20">
        <v>2023</v>
      </c>
      <c r="D1459" s="20">
        <v>40477</v>
      </c>
      <c r="E1459" s="20" t="s">
        <v>5648</v>
      </c>
      <c r="F1459" s="20" t="s">
        <v>5649</v>
      </c>
      <c r="G1459" s="20"/>
      <c r="H1459" s="20" t="s">
        <v>5650</v>
      </c>
      <c r="I1459" s="20" t="s">
        <v>23</v>
      </c>
      <c r="J1459" s="21">
        <v>2013</v>
      </c>
      <c r="K1459" s="20" t="s">
        <v>39</v>
      </c>
      <c r="L1459" s="21"/>
      <c r="M1459" s="21"/>
      <c r="N1459" s="20" t="s">
        <v>101</v>
      </c>
      <c r="O1459" s="20"/>
    </row>
    <row r="1460" spans="1:15" ht="13.5" customHeight="1" x14ac:dyDescent="0.25">
      <c r="A1460" s="1"/>
      <c r="B1460" s="22">
        <v>1448</v>
      </c>
      <c r="C1460" s="22">
        <v>2023</v>
      </c>
      <c r="D1460" s="22">
        <v>11524</v>
      </c>
      <c r="E1460" s="22" t="s">
        <v>5651</v>
      </c>
      <c r="F1460" s="22" t="s">
        <v>5652</v>
      </c>
      <c r="G1460" s="22" t="s">
        <v>5653</v>
      </c>
      <c r="H1460" s="22" t="s">
        <v>5654</v>
      </c>
      <c r="I1460" s="22" t="s">
        <v>23</v>
      </c>
      <c r="J1460" s="23">
        <v>2000</v>
      </c>
      <c r="K1460" s="22" t="s">
        <v>39</v>
      </c>
      <c r="L1460" s="23" t="s">
        <v>30</v>
      </c>
      <c r="M1460" s="23" t="s">
        <v>30</v>
      </c>
      <c r="N1460" s="22"/>
      <c r="O1460" s="22"/>
    </row>
    <row r="1461" spans="1:15" ht="13.5" customHeight="1" x14ac:dyDescent="0.25">
      <c r="A1461" s="1"/>
      <c r="B1461" s="20">
        <v>1449</v>
      </c>
      <c r="C1461" s="20">
        <v>2023</v>
      </c>
      <c r="D1461" s="20">
        <v>42417</v>
      </c>
      <c r="E1461" s="20" t="s">
        <v>5655</v>
      </c>
      <c r="F1461" s="20" t="s">
        <v>5656</v>
      </c>
      <c r="G1461" s="20" t="s">
        <v>5657</v>
      </c>
      <c r="H1461" s="20" t="s">
        <v>5658</v>
      </c>
      <c r="I1461" s="20" t="s">
        <v>23</v>
      </c>
      <c r="J1461" s="21">
        <v>2018</v>
      </c>
      <c r="K1461" s="20" t="s">
        <v>67</v>
      </c>
      <c r="L1461" s="21" t="s">
        <v>30</v>
      </c>
      <c r="M1461" s="21"/>
      <c r="N1461" s="20" t="s">
        <v>151</v>
      </c>
      <c r="O1461" s="20"/>
    </row>
    <row r="1462" spans="1:15" ht="13.5" customHeight="1" x14ac:dyDescent="0.25">
      <c r="A1462" s="1"/>
      <c r="B1462" s="22">
        <v>1450</v>
      </c>
      <c r="C1462" s="22">
        <v>2023</v>
      </c>
      <c r="D1462" s="22">
        <v>12650</v>
      </c>
      <c r="E1462" s="22" t="s">
        <v>5659</v>
      </c>
      <c r="F1462" s="22" t="s">
        <v>5660</v>
      </c>
      <c r="G1462" s="22" t="s">
        <v>5661</v>
      </c>
      <c r="H1462" s="22" t="s">
        <v>5662</v>
      </c>
      <c r="I1462" s="22" t="s">
        <v>23</v>
      </c>
      <c r="J1462" s="23">
        <v>2000</v>
      </c>
      <c r="K1462" s="22" t="s">
        <v>67</v>
      </c>
      <c r="L1462" s="23" t="s">
        <v>30</v>
      </c>
      <c r="M1462" s="23"/>
      <c r="N1462" s="22" t="s">
        <v>173</v>
      </c>
      <c r="O1462" s="22"/>
    </row>
    <row r="1463" spans="1:15" ht="13.5" customHeight="1" x14ac:dyDescent="0.25">
      <c r="A1463" s="1"/>
      <c r="B1463" s="20">
        <v>1451</v>
      </c>
      <c r="C1463" s="20">
        <v>2023</v>
      </c>
      <c r="D1463" s="20">
        <v>11711</v>
      </c>
      <c r="E1463" s="20" t="s">
        <v>5663</v>
      </c>
      <c r="F1463" s="20" t="s">
        <v>5664</v>
      </c>
      <c r="G1463" s="20" t="s">
        <v>5665</v>
      </c>
      <c r="H1463" s="20" t="s">
        <v>5666</v>
      </c>
      <c r="I1463" s="20" t="s">
        <v>62</v>
      </c>
      <c r="J1463" s="21">
        <v>2007</v>
      </c>
      <c r="K1463" s="20" t="s">
        <v>95</v>
      </c>
      <c r="L1463" s="21" t="s">
        <v>30</v>
      </c>
      <c r="M1463" s="21" t="s">
        <v>30</v>
      </c>
      <c r="N1463" s="20" t="s">
        <v>245</v>
      </c>
      <c r="O1463" s="20"/>
    </row>
    <row r="1464" spans="1:15" ht="13.5" customHeight="1" x14ac:dyDescent="0.25">
      <c r="A1464" s="1"/>
      <c r="B1464" s="22">
        <v>1452</v>
      </c>
      <c r="C1464" s="22">
        <v>2023</v>
      </c>
      <c r="D1464" s="22">
        <v>11962</v>
      </c>
      <c r="E1464" s="22" t="s">
        <v>5667</v>
      </c>
      <c r="F1464" s="22" t="s">
        <v>5668</v>
      </c>
      <c r="G1464" s="22" t="s">
        <v>5669</v>
      </c>
      <c r="H1464" s="22" t="s">
        <v>5670</v>
      </c>
      <c r="I1464" s="22" t="s">
        <v>62</v>
      </c>
      <c r="J1464" s="23">
        <v>2007</v>
      </c>
      <c r="K1464" s="22" t="s">
        <v>95</v>
      </c>
      <c r="L1464" s="23" t="s">
        <v>30</v>
      </c>
      <c r="M1464" s="23" t="s">
        <v>30</v>
      </c>
      <c r="N1464" s="22" t="s">
        <v>74</v>
      </c>
      <c r="O1464" s="22"/>
    </row>
    <row r="1465" spans="1:15" ht="13.5" customHeight="1" x14ac:dyDescent="0.25">
      <c r="A1465" s="1"/>
      <c r="B1465" s="20">
        <v>1453</v>
      </c>
      <c r="C1465" s="20">
        <v>2023</v>
      </c>
      <c r="D1465" s="20">
        <v>10963</v>
      </c>
      <c r="E1465" s="20" t="s">
        <v>5671</v>
      </c>
      <c r="F1465" s="20" t="s">
        <v>5672</v>
      </c>
      <c r="G1465" s="20" t="s">
        <v>5673</v>
      </c>
      <c r="H1465" s="20" t="s">
        <v>5674</v>
      </c>
      <c r="I1465" s="20" t="s">
        <v>23</v>
      </c>
      <c r="J1465" s="21">
        <v>2000</v>
      </c>
      <c r="K1465" s="20" t="s">
        <v>184</v>
      </c>
      <c r="L1465" s="21" t="s">
        <v>30</v>
      </c>
      <c r="M1465" s="21" t="s">
        <v>30</v>
      </c>
      <c r="N1465" s="20"/>
      <c r="O1465" s="20"/>
    </row>
    <row r="1466" spans="1:15" ht="13.5" customHeight="1" x14ac:dyDescent="0.25">
      <c r="A1466" s="1"/>
      <c r="B1466" s="22">
        <v>1454</v>
      </c>
      <c r="C1466" s="22">
        <v>2023</v>
      </c>
      <c r="D1466" s="22">
        <v>11595</v>
      </c>
      <c r="E1466" s="22" t="s">
        <v>5675</v>
      </c>
      <c r="F1466" s="22" t="s">
        <v>5676</v>
      </c>
      <c r="G1466" s="22" t="s">
        <v>5677</v>
      </c>
      <c r="H1466" s="22" t="s">
        <v>5678</v>
      </c>
      <c r="I1466" s="22" t="s">
        <v>5679</v>
      </c>
      <c r="J1466" s="23">
        <v>2002</v>
      </c>
      <c r="K1466" s="22" t="s">
        <v>24</v>
      </c>
      <c r="L1466" s="23" t="s">
        <v>30</v>
      </c>
      <c r="M1466" s="23" t="s">
        <v>30</v>
      </c>
      <c r="N1466" s="22" t="s">
        <v>74</v>
      </c>
      <c r="O1466" s="22"/>
    </row>
    <row r="1467" spans="1:15" ht="13.5" customHeight="1" x14ac:dyDescent="0.25">
      <c r="A1467" s="1"/>
      <c r="B1467" s="20">
        <v>1455</v>
      </c>
      <c r="C1467" s="20">
        <v>2023</v>
      </c>
      <c r="D1467" s="20">
        <v>10964</v>
      </c>
      <c r="E1467" s="20" t="s">
        <v>5680</v>
      </c>
      <c r="F1467" s="20" t="s">
        <v>5681</v>
      </c>
      <c r="G1467" s="20" t="s">
        <v>5682</v>
      </c>
      <c r="H1467" s="20" t="s">
        <v>5683</v>
      </c>
      <c r="I1467" s="20" t="s">
        <v>23</v>
      </c>
      <c r="J1467" s="21">
        <v>2000</v>
      </c>
      <c r="K1467" s="20" t="s">
        <v>203</v>
      </c>
      <c r="L1467" s="21" t="s">
        <v>30</v>
      </c>
      <c r="M1467" s="21" t="s">
        <v>30</v>
      </c>
      <c r="N1467" s="20"/>
      <c r="O1467" s="20"/>
    </row>
    <row r="1468" spans="1:15" ht="13.5" customHeight="1" x14ac:dyDescent="0.25">
      <c r="A1468" s="1"/>
      <c r="B1468" s="22">
        <v>1456</v>
      </c>
      <c r="C1468" s="22">
        <v>2023</v>
      </c>
      <c r="D1468" s="22">
        <v>11582</v>
      </c>
      <c r="E1468" s="22" t="s">
        <v>5684</v>
      </c>
      <c r="F1468" s="22" t="s">
        <v>5685</v>
      </c>
      <c r="G1468" s="22" t="s">
        <v>5686</v>
      </c>
      <c r="H1468" s="22" t="s">
        <v>5687</v>
      </c>
      <c r="I1468" s="22" t="s">
        <v>1002</v>
      </c>
      <c r="J1468" s="23">
        <v>2000</v>
      </c>
      <c r="K1468" s="22" t="s">
        <v>67</v>
      </c>
      <c r="L1468" s="23" t="s">
        <v>30</v>
      </c>
      <c r="M1468" s="23" t="s">
        <v>30</v>
      </c>
      <c r="N1468" s="22"/>
      <c r="O1468" s="22"/>
    </row>
    <row r="1469" spans="1:15" ht="13.5" customHeight="1" x14ac:dyDescent="0.25">
      <c r="A1469" s="1"/>
      <c r="B1469" s="20">
        <v>1457</v>
      </c>
      <c r="C1469" s="20">
        <v>2023</v>
      </c>
      <c r="D1469" s="20">
        <v>11585</v>
      </c>
      <c r="E1469" s="20" t="s">
        <v>5688</v>
      </c>
      <c r="F1469" s="20" t="s">
        <v>5689</v>
      </c>
      <c r="G1469" s="20" t="s">
        <v>5690</v>
      </c>
      <c r="H1469" s="20" t="s">
        <v>5691</v>
      </c>
      <c r="I1469" s="20" t="s">
        <v>1002</v>
      </c>
      <c r="J1469" s="21">
        <v>2005</v>
      </c>
      <c r="K1469" s="20" t="s">
        <v>34</v>
      </c>
      <c r="L1469" s="21" t="s">
        <v>30</v>
      </c>
      <c r="M1469" s="21" t="s">
        <v>30</v>
      </c>
      <c r="N1469" s="20"/>
      <c r="O1469" s="20"/>
    </row>
    <row r="1470" spans="1:15" ht="13.5" customHeight="1" x14ac:dyDescent="0.25">
      <c r="A1470" s="1"/>
      <c r="B1470" s="22">
        <v>1458</v>
      </c>
      <c r="C1470" s="22">
        <v>2023</v>
      </c>
      <c r="D1470" s="22">
        <v>12193</v>
      </c>
      <c r="E1470" s="22" t="s">
        <v>5692</v>
      </c>
      <c r="F1470" s="22" t="s">
        <v>5693</v>
      </c>
      <c r="G1470" s="22" t="s">
        <v>5694</v>
      </c>
      <c r="H1470" s="22" t="s">
        <v>5695</v>
      </c>
      <c r="I1470" s="22" t="s">
        <v>23</v>
      </c>
      <c r="J1470" s="23">
        <v>2007</v>
      </c>
      <c r="K1470" s="22" t="s">
        <v>114</v>
      </c>
      <c r="L1470" s="23" t="s">
        <v>30</v>
      </c>
      <c r="M1470" s="23" t="s">
        <v>30</v>
      </c>
      <c r="N1470" s="22" t="s">
        <v>35</v>
      </c>
      <c r="O1470" s="22"/>
    </row>
    <row r="1471" spans="1:15" ht="13.5" customHeight="1" x14ac:dyDescent="0.25">
      <c r="A1471" s="1"/>
      <c r="B1471" s="20">
        <v>1459</v>
      </c>
      <c r="C1471" s="20">
        <v>2023</v>
      </c>
      <c r="D1471" s="20">
        <v>764</v>
      </c>
      <c r="E1471" s="20" t="s">
        <v>5696</v>
      </c>
      <c r="F1471" s="20" t="s">
        <v>5697</v>
      </c>
      <c r="G1471" s="20" t="s">
        <v>5698</v>
      </c>
      <c r="H1471" s="20" t="s">
        <v>5699</v>
      </c>
      <c r="I1471" s="20" t="s">
        <v>100</v>
      </c>
      <c r="J1471" s="21">
        <v>2001</v>
      </c>
      <c r="K1471" s="20" t="s">
        <v>24</v>
      </c>
      <c r="L1471" s="21" t="s">
        <v>30</v>
      </c>
      <c r="M1471" s="21"/>
      <c r="N1471" s="20" t="s">
        <v>270</v>
      </c>
      <c r="O1471" s="20"/>
    </row>
    <row r="1472" spans="1:15" ht="13.5" customHeight="1" x14ac:dyDescent="0.25">
      <c r="A1472" s="1"/>
      <c r="B1472" s="22">
        <v>1460</v>
      </c>
      <c r="C1472" s="22">
        <v>2023</v>
      </c>
      <c r="D1472" s="22">
        <v>42439</v>
      </c>
      <c r="E1472" s="22" t="s">
        <v>5700</v>
      </c>
      <c r="F1472" s="22" t="s">
        <v>5701</v>
      </c>
      <c r="G1472" s="22" t="s">
        <v>5702</v>
      </c>
      <c r="H1472" s="22" t="s">
        <v>5703</v>
      </c>
      <c r="I1472" s="22" t="s">
        <v>23</v>
      </c>
      <c r="J1472" s="23">
        <v>2019</v>
      </c>
      <c r="K1472" s="22" t="s">
        <v>394</v>
      </c>
      <c r="L1472" s="23" t="s">
        <v>30</v>
      </c>
      <c r="M1472" s="23"/>
      <c r="N1472" s="22" t="s">
        <v>218</v>
      </c>
      <c r="O1472" s="22"/>
    </row>
    <row r="1473" spans="1:15" ht="13.5" customHeight="1" x14ac:dyDescent="0.25">
      <c r="A1473" s="1"/>
      <c r="B1473" s="20">
        <v>1461</v>
      </c>
      <c r="C1473" s="20">
        <v>2023</v>
      </c>
      <c r="D1473" s="20">
        <v>42410</v>
      </c>
      <c r="E1473" s="20" t="s">
        <v>5704</v>
      </c>
      <c r="F1473" s="20" t="s">
        <v>5705</v>
      </c>
      <c r="G1473" s="20" t="s">
        <v>5706</v>
      </c>
      <c r="H1473" s="20" t="s">
        <v>5707</v>
      </c>
      <c r="I1473" s="20" t="s">
        <v>190</v>
      </c>
      <c r="J1473" s="21">
        <v>2014</v>
      </c>
      <c r="K1473" s="20" t="s">
        <v>24</v>
      </c>
      <c r="L1473" s="21" t="s">
        <v>30</v>
      </c>
      <c r="M1473" s="21"/>
      <c r="N1473" s="20" t="s">
        <v>151</v>
      </c>
      <c r="O1473" s="20"/>
    </row>
    <row r="1474" spans="1:15" ht="13.5" customHeight="1" x14ac:dyDescent="0.25">
      <c r="A1474" s="1"/>
      <c r="B1474" s="22">
        <v>1462</v>
      </c>
      <c r="C1474" s="22">
        <v>2023</v>
      </c>
      <c r="D1474" s="22">
        <v>12225</v>
      </c>
      <c r="E1474" s="22" t="s">
        <v>5708</v>
      </c>
      <c r="F1474" s="22" t="s">
        <v>5709</v>
      </c>
      <c r="G1474" s="22" t="s">
        <v>5710</v>
      </c>
      <c r="H1474" s="22" t="s">
        <v>5711</v>
      </c>
      <c r="I1474" s="22" t="s">
        <v>23</v>
      </c>
      <c r="J1474" s="23">
        <v>2008</v>
      </c>
      <c r="K1474" s="22" t="s">
        <v>34</v>
      </c>
      <c r="L1474" s="23" t="s">
        <v>30</v>
      </c>
      <c r="M1474" s="23" t="s">
        <v>30</v>
      </c>
      <c r="N1474" s="22" t="s">
        <v>35</v>
      </c>
      <c r="O1474" s="22"/>
    </row>
    <row r="1475" spans="1:15" ht="13.5" customHeight="1" x14ac:dyDescent="0.25">
      <c r="A1475" s="1"/>
      <c r="B1475" s="20">
        <v>1463</v>
      </c>
      <c r="C1475" s="20">
        <v>2023</v>
      </c>
      <c r="D1475" s="20">
        <v>13218</v>
      </c>
      <c r="E1475" s="20" t="s">
        <v>5712</v>
      </c>
      <c r="F1475" s="20" t="s">
        <v>5713</v>
      </c>
      <c r="G1475" s="20" t="s">
        <v>5714</v>
      </c>
      <c r="H1475" s="20" t="s">
        <v>5715</v>
      </c>
      <c r="I1475" s="20" t="s">
        <v>23</v>
      </c>
      <c r="J1475" s="21">
        <v>2010</v>
      </c>
      <c r="K1475" s="20" t="s">
        <v>114</v>
      </c>
      <c r="L1475" s="21" t="s">
        <v>30</v>
      </c>
      <c r="M1475" s="21"/>
      <c r="N1475" s="20" t="s">
        <v>173</v>
      </c>
      <c r="O1475" s="20"/>
    </row>
    <row r="1476" spans="1:15" ht="13.5" customHeight="1" x14ac:dyDescent="0.25">
      <c r="A1476" s="1"/>
      <c r="B1476" s="22">
        <v>1464</v>
      </c>
      <c r="C1476" s="22">
        <v>2023</v>
      </c>
      <c r="D1476" s="22">
        <v>11963</v>
      </c>
      <c r="E1476" s="22" t="s">
        <v>5716</v>
      </c>
      <c r="F1476" s="22" t="s">
        <v>5717</v>
      </c>
      <c r="G1476" s="22" t="s">
        <v>5718</v>
      </c>
      <c r="H1476" s="22" t="s">
        <v>5719</v>
      </c>
      <c r="I1476" s="22" t="s">
        <v>62</v>
      </c>
      <c r="J1476" s="23">
        <v>2007</v>
      </c>
      <c r="K1476" s="22" t="s">
        <v>63</v>
      </c>
      <c r="L1476" s="23" t="s">
        <v>30</v>
      </c>
      <c r="M1476" s="23" t="s">
        <v>30</v>
      </c>
      <c r="N1476" s="22" t="s">
        <v>74</v>
      </c>
      <c r="O1476" s="22"/>
    </row>
    <row r="1477" spans="1:15" ht="13.5" customHeight="1" x14ac:dyDescent="0.25">
      <c r="A1477" s="1"/>
      <c r="B1477" s="20">
        <v>1465</v>
      </c>
      <c r="C1477" s="20">
        <v>2023</v>
      </c>
      <c r="D1477" s="20">
        <v>10975</v>
      </c>
      <c r="E1477" s="20" t="s">
        <v>5720</v>
      </c>
      <c r="F1477" s="20" t="s">
        <v>5721</v>
      </c>
      <c r="G1477" s="20" t="s">
        <v>5722</v>
      </c>
      <c r="H1477" s="20" t="s">
        <v>5723</v>
      </c>
      <c r="I1477" s="20" t="s">
        <v>62</v>
      </c>
      <c r="J1477" s="21">
        <v>2000</v>
      </c>
      <c r="K1477" s="20" t="s">
        <v>24</v>
      </c>
      <c r="L1477" s="21" t="s">
        <v>30</v>
      </c>
      <c r="M1477" s="21" t="s">
        <v>30</v>
      </c>
      <c r="N1477" s="20"/>
      <c r="O1477" s="20"/>
    </row>
    <row r="1478" spans="1:15" ht="13.5" customHeight="1" x14ac:dyDescent="0.25">
      <c r="A1478" s="1"/>
      <c r="B1478" s="22">
        <v>1466</v>
      </c>
      <c r="C1478" s="22">
        <v>2023</v>
      </c>
      <c r="D1478" s="22">
        <v>42489</v>
      </c>
      <c r="E1478" s="22" t="s">
        <v>5724</v>
      </c>
      <c r="F1478" s="22" t="s">
        <v>5725</v>
      </c>
      <c r="G1478" s="22" t="s">
        <v>5726</v>
      </c>
      <c r="H1478" s="22" t="s">
        <v>5727</v>
      </c>
      <c r="I1478" s="22" t="s">
        <v>23</v>
      </c>
      <c r="J1478" s="23">
        <v>2000</v>
      </c>
      <c r="K1478" s="22" t="s">
        <v>95</v>
      </c>
      <c r="L1478" s="23" t="s">
        <v>30</v>
      </c>
      <c r="M1478" s="23"/>
      <c r="N1478" s="22" t="s">
        <v>123</v>
      </c>
      <c r="O1478" s="22"/>
    </row>
    <row r="1479" spans="1:15" ht="13.5" customHeight="1" x14ac:dyDescent="0.25">
      <c r="A1479" s="1"/>
      <c r="B1479" s="20">
        <v>1467</v>
      </c>
      <c r="C1479" s="20">
        <v>2023</v>
      </c>
      <c r="D1479" s="20">
        <v>167</v>
      </c>
      <c r="E1479" s="20" t="s">
        <v>5728</v>
      </c>
      <c r="F1479" s="20" t="s">
        <v>5729</v>
      </c>
      <c r="G1479" s="20" t="s">
        <v>5730</v>
      </c>
      <c r="H1479" s="20" t="s">
        <v>5731</v>
      </c>
      <c r="I1479" s="20" t="s">
        <v>23</v>
      </c>
      <c r="J1479" s="21">
        <v>2000</v>
      </c>
      <c r="K1479" s="20" t="s">
        <v>39</v>
      </c>
      <c r="L1479" s="21" t="s">
        <v>30</v>
      </c>
      <c r="M1479" s="21" t="s">
        <v>30</v>
      </c>
      <c r="N1479" s="20"/>
      <c r="O1479" s="20"/>
    </row>
    <row r="1480" spans="1:15" ht="13.5" customHeight="1" x14ac:dyDescent="0.25">
      <c r="A1480" s="1"/>
      <c r="B1480" s="22">
        <v>1468</v>
      </c>
      <c r="C1480" s="22">
        <v>2023</v>
      </c>
      <c r="D1480" s="22">
        <v>43205</v>
      </c>
      <c r="E1480" s="22" t="s">
        <v>5732</v>
      </c>
      <c r="F1480" s="22" t="s">
        <v>5733</v>
      </c>
      <c r="G1480" s="22" t="s">
        <v>5734</v>
      </c>
      <c r="H1480" s="22" t="s">
        <v>5735</v>
      </c>
      <c r="I1480" s="22" t="s">
        <v>357</v>
      </c>
      <c r="J1480" s="23">
        <v>2019</v>
      </c>
      <c r="K1480" s="22" t="s">
        <v>39</v>
      </c>
      <c r="L1480" s="23" t="s">
        <v>30</v>
      </c>
      <c r="M1480" s="23"/>
      <c r="N1480" s="22" t="s">
        <v>218</v>
      </c>
      <c r="O1480" s="22"/>
    </row>
    <row r="1481" spans="1:15" ht="13.5" customHeight="1" x14ac:dyDescent="0.25">
      <c r="A1481" s="1"/>
      <c r="B1481" s="20">
        <v>1469</v>
      </c>
      <c r="C1481" s="20">
        <v>2023</v>
      </c>
      <c r="D1481" s="20">
        <v>10115</v>
      </c>
      <c r="E1481" s="20" t="s">
        <v>5736</v>
      </c>
      <c r="F1481" s="20" t="s">
        <v>5737</v>
      </c>
      <c r="G1481" s="20" t="s">
        <v>5738</v>
      </c>
      <c r="H1481" s="20" t="s">
        <v>5739</v>
      </c>
      <c r="I1481" s="20" t="s">
        <v>23</v>
      </c>
      <c r="J1481" s="21">
        <v>2000</v>
      </c>
      <c r="K1481" s="20" t="s">
        <v>114</v>
      </c>
      <c r="L1481" s="21" t="s">
        <v>30</v>
      </c>
      <c r="M1481" s="21" t="s">
        <v>30</v>
      </c>
      <c r="N1481" s="20"/>
      <c r="O1481" s="20"/>
    </row>
    <row r="1482" spans="1:15" ht="13.5" customHeight="1" x14ac:dyDescent="0.25">
      <c r="A1482" s="1"/>
      <c r="B1482" s="22">
        <v>1470</v>
      </c>
      <c r="C1482" s="22">
        <v>2023</v>
      </c>
      <c r="D1482" s="22">
        <v>13367</v>
      </c>
      <c r="E1482" s="22" t="s">
        <v>5740</v>
      </c>
      <c r="F1482" s="22" t="s">
        <v>5741</v>
      </c>
      <c r="G1482" s="22" t="s">
        <v>5742</v>
      </c>
      <c r="H1482" s="22" t="s">
        <v>5743</v>
      </c>
      <c r="I1482" s="22" t="s">
        <v>5744</v>
      </c>
      <c r="J1482" s="23">
        <v>2011</v>
      </c>
      <c r="K1482" s="22" t="s">
        <v>24</v>
      </c>
      <c r="L1482" s="23" t="s">
        <v>30</v>
      </c>
      <c r="M1482" s="23"/>
      <c r="N1482" s="22" t="s">
        <v>275</v>
      </c>
      <c r="O1482" s="22"/>
    </row>
    <row r="1483" spans="1:15" ht="13.5" customHeight="1" x14ac:dyDescent="0.25">
      <c r="A1483" s="1"/>
      <c r="B1483" s="20">
        <v>1471</v>
      </c>
      <c r="C1483" s="20">
        <v>2023</v>
      </c>
      <c r="D1483" s="20">
        <v>11814</v>
      </c>
      <c r="E1483" s="20" t="s">
        <v>5745</v>
      </c>
      <c r="F1483" s="20" t="s">
        <v>5746</v>
      </c>
      <c r="G1483" s="20" t="s">
        <v>5747</v>
      </c>
      <c r="H1483" s="20" t="s">
        <v>5748</v>
      </c>
      <c r="I1483" s="20" t="s">
        <v>23</v>
      </c>
      <c r="J1483" s="21">
        <v>2000</v>
      </c>
      <c r="K1483" s="20" t="s">
        <v>24</v>
      </c>
      <c r="L1483" s="21" t="s">
        <v>30</v>
      </c>
      <c r="M1483" s="21" t="s">
        <v>30</v>
      </c>
      <c r="N1483" s="20" t="s">
        <v>74</v>
      </c>
      <c r="O1483" s="20"/>
    </row>
    <row r="1484" spans="1:15" ht="13.5" customHeight="1" x14ac:dyDescent="0.25">
      <c r="A1484" s="1"/>
      <c r="B1484" s="22">
        <v>1472</v>
      </c>
      <c r="C1484" s="22">
        <v>2023</v>
      </c>
      <c r="D1484" s="22">
        <v>12205</v>
      </c>
      <c r="E1484" s="22" t="s">
        <v>5749</v>
      </c>
      <c r="F1484" s="22" t="s">
        <v>5750</v>
      </c>
      <c r="G1484" s="22" t="s">
        <v>5751</v>
      </c>
      <c r="H1484" s="22" t="s">
        <v>5752</v>
      </c>
      <c r="I1484" s="22" t="s">
        <v>5753</v>
      </c>
      <c r="J1484" s="23">
        <v>2000</v>
      </c>
      <c r="K1484" s="22" t="s">
        <v>67</v>
      </c>
      <c r="L1484" s="23" t="s">
        <v>30</v>
      </c>
      <c r="M1484" s="23" t="s">
        <v>30</v>
      </c>
      <c r="N1484" s="22" t="s">
        <v>35</v>
      </c>
      <c r="O1484" s="22"/>
    </row>
    <row r="1485" spans="1:15" ht="13.5" customHeight="1" x14ac:dyDescent="0.25">
      <c r="A1485" s="1"/>
      <c r="B1485" s="20">
        <v>1473</v>
      </c>
      <c r="C1485" s="20">
        <v>2023</v>
      </c>
      <c r="D1485" s="20">
        <v>11577</v>
      </c>
      <c r="E1485" s="20" t="s">
        <v>5754</v>
      </c>
      <c r="F1485" s="20" t="s">
        <v>5755</v>
      </c>
      <c r="G1485" s="20" t="s">
        <v>5756</v>
      </c>
      <c r="H1485" s="20" t="s">
        <v>5757</v>
      </c>
      <c r="I1485" s="20" t="s">
        <v>960</v>
      </c>
      <c r="J1485" s="21">
        <v>2000</v>
      </c>
      <c r="K1485" s="20" t="s">
        <v>184</v>
      </c>
      <c r="L1485" s="21" t="s">
        <v>30</v>
      </c>
      <c r="M1485" s="21" t="s">
        <v>30</v>
      </c>
      <c r="N1485" s="20" t="s">
        <v>245</v>
      </c>
      <c r="O1485" s="20"/>
    </row>
    <row r="1486" spans="1:15" ht="13.5" customHeight="1" x14ac:dyDescent="0.25">
      <c r="A1486" s="1"/>
      <c r="B1486" s="22">
        <v>1474</v>
      </c>
      <c r="C1486" s="22">
        <v>2023</v>
      </c>
      <c r="D1486" s="22">
        <v>44007</v>
      </c>
      <c r="E1486" s="22" t="s">
        <v>5758</v>
      </c>
      <c r="F1486" s="22" t="s">
        <v>5759</v>
      </c>
      <c r="G1486" s="22"/>
      <c r="H1486" s="22" t="s">
        <v>5760</v>
      </c>
      <c r="I1486" s="22" t="s">
        <v>23</v>
      </c>
      <c r="J1486" s="23">
        <v>2022</v>
      </c>
      <c r="K1486" s="22" t="s">
        <v>44</v>
      </c>
      <c r="L1486" s="23"/>
      <c r="M1486" s="23"/>
      <c r="N1486" s="22" t="s">
        <v>518</v>
      </c>
      <c r="O1486" s="22"/>
    </row>
    <row r="1487" spans="1:15" ht="13.5" customHeight="1" x14ac:dyDescent="0.25">
      <c r="A1487" s="1"/>
      <c r="B1487" s="20">
        <v>1475</v>
      </c>
      <c r="C1487" s="20">
        <v>2023</v>
      </c>
      <c r="D1487" s="20">
        <v>11547</v>
      </c>
      <c r="E1487" s="20" t="s">
        <v>5761</v>
      </c>
      <c r="F1487" s="20" t="s">
        <v>5762</v>
      </c>
      <c r="G1487" s="20"/>
      <c r="H1487" s="20" t="s">
        <v>5763</v>
      </c>
      <c r="I1487" s="20" t="s">
        <v>23</v>
      </c>
      <c r="J1487" s="21">
        <v>2006</v>
      </c>
      <c r="K1487" s="20" t="s">
        <v>39</v>
      </c>
      <c r="L1487" s="21"/>
      <c r="M1487" s="21" t="s">
        <v>30</v>
      </c>
      <c r="N1487" s="20"/>
      <c r="O1487" s="20"/>
    </row>
    <row r="1488" spans="1:15" ht="13.5" customHeight="1" x14ac:dyDescent="0.25">
      <c r="A1488" s="1"/>
      <c r="B1488" s="22">
        <v>1476</v>
      </c>
      <c r="C1488" s="22">
        <v>2023</v>
      </c>
      <c r="D1488" s="22">
        <v>40766</v>
      </c>
      <c r="E1488" s="22" t="s">
        <v>5764</v>
      </c>
      <c r="F1488" s="22" t="s">
        <v>5765</v>
      </c>
      <c r="G1488" s="22" t="s">
        <v>5766</v>
      </c>
      <c r="H1488" s="22" t="s">
        <v>5767</v>
      </c>
      <c r="I1488" s="22" t="s">
        <v>23</v>
      </c>
      <c r="J1488" s="23">
        <v>2000</v>
      </c>
      <c r="K1488" s="22" t="s">
        <v>63</v>
      </c>
      <c r="L1488" s="23" t="s">
        <v>30</v>
      </c>
      <c r="M1488" s="23"/>
      <c r="N1488" s="22" t="s">
        <v>270</v>
      </c>
      <c r="O1488" s="22"/>
    </row>
    <row r="1489" spans="1:15" ht="13.5" customHeight="1" x14ac:dyDescent="0.25">
      <c r="A1489" s="1"/>
      <c r="B1489" s="20">
        <v>1477</v>
      </c>
      <c r="C1489" s="20">
        <v>2023</v>
      </c>
      <c r="D1489" s="20">
        <v>11355</v>
      </c>
      <c r="E1489" s="20" t="s">
        <v>5768</v>
      </c>
      <c r="F1489" s="20" t="s">
        <v>5769</v>
      </c>
      <c r="G1489" s="20" t="s">
        <v>5770</v>
      </c>
      <c r="H1489" s="20" t="s">
        <v>5771</v>
      </c>
      <c r="I1489" s="20" t="s">
        <v>23</v>
      </c>
      <c r="J1489" s="21">
        <v>2005</v>
      </c>
      <c r="K1489" s="20" t="s">
        <v>34</v>
      </c>
      <c r="L1489" s="21" t="s">
        <v>30</v>
      </c>
      <c r="M1489" s="21" t="s">
        <v>30</v>
      </c>
      <c r="N1489" s="20"/>
      <c r="O1489" s="20"/>
    </row>
    <row r="1490" spans="1:15" ht="13.5" customHeight="1" x14ac:dyDescent="0.25">
      <c r="A1490" s="1"/>
      <c r="B1490" s="22">
        <v>1478</v>
      </c>
      <c r="C1490" s="22">
        <v>2023</v>
      </c>
      <c r="D1490" s="22">
        <v>10980</v>
      </c>
      <c r="E1490" s="22" t="s">
        <v>5772</v>
      </c>
      <c r="F1490" s="22" t="s">
        <v>5773</v>
      </c>
      <c r="G1490" s="22" t="s">
        <v>5774</v>
      </c>
      <c r="H1490" s="22" t="s">
        <v>5775</v>
      </c>
      <c r="I1490" s="22" t="s">
        <v>23</v>
      </c>
      <c r="J1490" s="23">
        <v>2000</v>
      </c>
      <c r="K1490" s="22" t="s">
        <v>34</v>
      </c>
      <c r="L1490" s="23" t="s">
        <v>30</v>
      </c>
      <c r="M1490" s="23" t="s">
        <v>30</v>
      </c>
      <c r="N1490" s="22"/>
      <c r="O1490" s="22"/>
    </row>
    <row r="1491" spans="1:15" ht="13.5" customHeight="1" x14ac:dyDescent="0.25">
      <c r="A1491" s="1"/>
      <c r="B1491" s="20">
        <v>1479</v>
      </c>
      <c r="C1491" s="20">
        <v>2023</v>
      </c>
      <c r="D1491" s="20">
        <v>10346</v>
      </c>
      <c r="E1491" s="20" t="s">
        <v>5776</v>
      </c>
      <c r="F1491" s="20" t="s">
        <v>5777</v>
      </c>
      <c r="G1491" s="20" t="s">
        <v>5778</v>
      </c>
      <c r="H1491" s="20" t="s">
        <v>5779</v>
      </c>
      <c r="I1491" s="20" t="s">
        <v>23</v>
      </c>
      <c r="J1491" s="21">
        <v>2004</v>
      </c>
      <c r="K1491" s="20" t="s">
        <v>95</v>
      </c>
      <c r="L1491" s="21" t="s">
        <v>30</v>
      </c>
      <c r="M1491" s="21" t="s">
        <v>30</v>
      </c>
      <c r="N1491" s="20"/>
      <c r="O1491" s="20"/>
    </row>
    <row r="1492" spans="1:15" ht="13.5" customHeight="1" x14ac:dyDescent="0.25">
      <c r="A1492" s="1"/>
      <c r="B1492" s="22">
        <v>1480</v>
      </c>
      <c r="C1492" s="22">
        <v>2023</v>
      </c>
      <c r="D1492" s="22">
        <v>423</v>
      </c>
      <c r="E1492" s="22" t="s">
        <v>5780</v>
      </c>
      <c r="F1492" s="22" t="s">
        <v>5781</v>
      </c>
      <c r="G1492" s="22"/>
      <c r="H1492" s="22" t="s">
        <v>5782</v>
      </c>
      <c r="I1492" s="22" t="s">
        <v>23</v>
      </c>
      <c r="J1492" s="23">
        <v>2000</v>
      </c>
      <c r="K1492" s="22" t="s">
        <v>39</v>
      </c>
      <c r="L1492" s="23"/>
      <c r="M1492" s="23" t="s">
        <v>30</v>
      </c>
      <c r="N1492" s="22"/>
      <c r="O1492" s="22"/>
    </row>
    <row r="1493" spans="1:15" ht="13.5" customHeight="1" x14ac:dyDescent="0.25">
      <c r="A1493" s="1"/>
      <c r="B1493" s="20">
        <v>1481</v>
      </c>
      <c r="C1493" s="20">
        <v>2023</v>
      </c>
      <c r="D1493" s="20">
        <v>10993</v>
      </c>
      <c r="E1493" s="20" t="s">
        <v>5783</v>
      </c>
      <c r="F1493" s="20" t="s">
        <v>5784</v>
      </c>
      <c r="G1493" s="20" t="s">
        <v>5785</v>
      </c>
      <c r="H1493" s="20" t="s">
        <v>5786</v>
      </c>
      <c r="I1493" s="20" t="s">
        <v>23</v>
      </c>
      <c r="J1493" s="21">
        <v>2002</v>
      </c>
      <c r="K1493" s="20" t="s">
        <v>184</v>
      </c>
      <c r="L1493" s="21" t="s">
        <v>30</v>
      </c>
      <c r="M1493" s="21" t="s">
        <v>30</v>
      </c>
      <c r="N1493" s="20"/>
      <c r="O1493" s="20"/>
    </row>
    <row r="1494" spans="1:15" ht="13.5" customHeight="1" x14ac:dyDescent="0.25">
      <c r="A1494" s="1"/>
      <c r="B1494" s="22">
        <v>1482</v>
      </c>
      <c r="C1494" s="22">
        <v>2023</v>
      </c>
      <c r="D1494" s="22">
        <v>10579</v>
      </c>
      <c r="E1494" s="22" t="s">
        <v>5787</v>
      </c>
      <c r="F1494" s="22" t="s">
        <v>5788</v>
      </c>
      <c r="G1494" s="22" t="s">
        <v>5789</v>
      </c>
      <c r="H1494" s="22" t="s">
        <v>5790</v>
      </c>
      <c r="I1494" s="22" t="s">
        <v>23</v>
      </c>
      <c r="J1494" s="23">
        <v>2000</v>
      </c>
      <c r="K1494" s="22" t="s">
        <v>184</v>
      </c>
      <c r="L1494" s="23" t="s">
        <v>30</v>
      </c>
      <c r="M1494" s="23" t="s">
        <v>30</v>
      </c>
      <c r="N1494" s="22"/>
      <c r="O1494" s="22"/>
    </row>
    <row r="1495" spans="1:15" ht="13.5" customHeight="1" x14ac:dyDescent="0.25">
      <c r="A1495" s="1"/>
      <c r="B1495" s="20">
        <v>1483</v>
      </c>
      <c r="C1495" s="20">
        <v>2023</v>
      </c>
      <c r="D1495" s="20">
        <v>41547</v>
      </c>
      <c r="E1495" s="20" t="s">
        <v>5791</v>
      </c>
      <c r="F1495" s="20" t="s">
        <v>5792</v>
      </c>
      <c r="G1495" s="20"/>
      <c r="H1495" s="20" t="s">
        <v>5793</v>
      </c>
      <c r="I1495" s="20" t="s">
        <v>23</v>
      </c>
      <c r="J1495" s="21">
        <v>2017</v>
      </c>
      <c r="K1495" s="20" t="s">
        <v>39</v>
      </c>
      <c r="L1495" s="21"/>
      <c r="M1495" s="21"/>
      <c r="N1495" s="20" t="s">
        <v>265</v>
      </c>
      <c r="O1495" s="20"/>
    </row>
    <row r="1496" spans="1:15" ht="13.5" customHeight="1" x14ac:dyDescent="0.25">
      <c r="A1496" s="1"/>
      <c r="B1496" s="22">
        <v>1484</v>
      </c>
      <c r="C1496" s="22">
        <v>2023</v>
      </c>
      <c r="D1496" s="22">
        <v>40516</v>
      </c>
      <c r="E1496" s="22" t="s">
        <v>5794</v>
      </c>
      <c r="F1496" s="22" t="s">
        <v>5795</v>
      </c>
      <c r="G1496" s="22" t="s">
        <v>5796</v>
      </c>
      <c r="H1496" s="22" t="s">
        <v>5797</v>
      </c>
      <c r="I1496" s="22" t="s">
        <v>23</v>
      </c>
      <c r="J1496" s="23">
        <v>2014</v>
      </c>
      <c r="K1496" s="22" t="s">
        <v>67</v>
      </c>
      <c r="L1496" s="23" t="s">
        <v>30</v>
      </c>
      <c r="M1496" s="23"/>
      <c r="N1496" s="22" t="s">
        <v>381</v>
      </c>
      <c r="O1496" s="22"/>
    </row>
    <row r="1497" spans="1:15" ht="13.5" customHeight="1" x14ac:dyDescent="0.25">
      <c r="A1497" s="1"/>
      <c r="B1497" s="20">
        <v>1485</v>
      </c>
      <c r="C1497" s="20">
        <v>2023</v>
      </c>
      <c r="D1497" s="20">
        <v>10103</v>
      </c>
      <c r="E1497" s="20" t="s">
        <v>5798</v>
      </c>
      <c r="F1497" s="20" t="s">
        <v>5799</v>
      </c>
      <c r="G1497" s="20"/>
      <c r="H1497" s="20" t="s">
        <v>5800</v>
      </c>
      <c r="I1497" s="20" t="s">
        <v>23</v>
      </c>
      <c r="J1497" s="21">
        <v>2000</v>
      </c>
      <c r="K1497" s="20" t="s">
        <v>39</v>
      </c>
      <c r="L1497" s="21"/>
      <c r="M1497" s="21" t="s">
        <v>30</v>
      </c>
      <c r="N1497" s="20"/>
      <c r="O1497" s="20"/>
    </row>
    <row r="1498" spans="1:15" ht="13.5" customHeight="1" x14ac:dyDescent="0.25">
      <c r="A1498" s="1"/>
      <c r="B1498" s="22">
        <v>1486</v>
      </c>
      <c r="C1498" s="22">
        <v>2023</v>
      </c>
      <c r="D1498" s="22">
        <v>10978</v>
      </c>
      <c r="E1498" s="22" t="s">
        <v>5801</v>
      </c>
      <c r="F1498" s="22" t="s">
        <v>5802</v>
      </c>
      <c r="G1498" s="22" t="s">
        <v>5803</v>
      </c>
      <c r="H1498" s="22" t="s">
        <v>5804</v>
      </c>
      <c r="I1498" s="22" t="s">
        <v>23</v>
      </c>
      <c r="J1498" s="23">
        <v>2000</v>
      </c>
      <c r="K1498" s="22" t="s">
        <v>73</v>
      </c>
      <c r="L1498" s="23" t="s">
        <v>30</v>
      </c>
      <c r="M1498" s="23" t="s">
        <v>30</v>
      </c>
      <c r="N1498" s="22"/>
      <c r="O1498" s="22"/>
    </row>
    <row r="1499" spans="1:15" ht="13.5" customHeight="1" x14ac:dyDescent="0.25">
      <c r="A1499" s="1"/>
      <c r="B1499" s="20">
        <v>1487</v>
      </c>
      <c r="C1499" s="20">
        <v>2023</v>
      </c>
      <c r="D1499" s="20">
        <v>10982</v>
      </c>
      <c r="E1499" s="20" t="s">
        <v>5805</v>
      </c>
      <c r="F1499" s="20" t="s">
        <v>5806</v>
      </c>
      <c r="G1499" s="20" t="s">
        <v>5807</v>
      </c>
      <c r="H1499" s="20" t="s">
        <v>5808</v>
      </c>
      <c r="I1499" s="20" t="s">
        <v>23</v>
      </c>
      <c r="J1499" s="21">
        <v>2000</v>
      </c>
      <c r="K1499" s="20" t="s">
        <v>394</v>
      </c>
      <c r="L1499" s="21" t="s">
        <v>30</v>
      </c>
      <c r="M1499" s="21" t="s">
        <v>30</v>
      </c>
      <c r="N1499" s="20"/>
      <c r="O1499" s="20"/>
    </row>
    <row r="1500" spans="1:15" ht="13.5" customHeight="1" x14ac:dyDescent="0.25">
      <c r="A1500" s="1"/>
      <c r="B1500" s="22">
        <v>1488</v>
      </c>
      <c r="C1500" s="22">
        <v>2023</v>
      </c>
      <c r="D1500" s="22">
        <v>13420</v>
      </c>
      <c r="E1500" s="22" t="s">
        <v>5809</v>
      </c>
      <c r="F1500" s="22" t="s">
        <v>5810</v>
      </c>
      <c r="G1500" s="22" t="s">
        <v>5811</v>
      </c>
      <c r="H1500" s="22" t="s">
        <v>5812</v>
      </c>
      <c r="I1500" s="22" t="s">
        <v>23</v>
      </c>
      <c r="J1500" s="23">
        <v>2000</v>
      </c>
      <c r="K1500" s="22" t="s">
        <v>203</v>
      </c>
      <c r="L1500" s="23" t="s">
        <v>30</v>
      </c>
      <c r="M1500" s="23"/>
      <c r="N1500" s="22" t="s">
        <v>275</v>
      </c>
      <c r="O1500" s="22"/>
    </row>
    <row r="1501" spans="1:15" ht="13.5" customHeight="1" x14ac:dyDescent="0.25">
      <c r="A1501" s="1"/>
      <c r="B1501" s="20">
        <v>1489</v>
      </c>
      <c r="C1501" s="20">
        <v>2023</v>
      </c>
      <c r="D1501" s="20">
        <v>10984</v>
      </c>
      <c r="E1501" s="20" t="s">
        <v>5813</v>
      </c>
      <c r="F1501" s="20" t="s">
        <v>5814</v>
      </c>
      <c r="G1501" s="20" t="s">
        <v>5815</v>
      </c>
      <c r="H1501" s="20" t="s">
        <v>5816</v>
      </c>
      <c r="I1501" s="20" t="s">
        <v>23</v>
      </c>
      <c r="J1501" s="21">
        <v>2000</v>
      </c>
      <c r="K1501" s="20" t="s">
        <v>73</v>
      </c>
      <c r="L1501" s="21" t="s">
        <v>30</v>
      </c>
      <c r="M1501" s="21" t="s">
        <v>30</v>
      </c>
      <c r="N1501" s="20"/>
      <c r="O1501" s="20"/>
    </row>
    <row r="1502" spans="1:15" ht="13.5" customHeight="1" x14ac:dyDescent="0.25">
      <c r="A1502" s="1"/>
      <c r="B1502" s="22">
        <v>1490</v>
      </c>
      <c r="C1502" s="22">
        <v>2023</v>
      </c>
      <c r="D1502" s="22">
        <v>40619</v>
      </c>
      <c r="E1502" s="22" t="s">
        <v>5817</v>
      </c>
      <c r="F1502" s="22" t="s">
        <v>5818</v>
      </c>
      <c r="G1502" s="22" t="s">
        <v>5819</v>
      </c>
      <c r="H1502" s="22" t="s">
        <v>5820</v>
      </c>
      <c r="I1502" s="22" t="s">
        <v>23</v>
      </c>
      <c r="J1502" s="23">
        <v>2000</v>
      </c>
      <c r="K1502" s="22" t="s">
        <v>39</v>
      </c>
      <c r="L1502" s="23" t="s">
        <v>30</v>
      </c>
      <c r="M1502" s="23"/>
      <c r="N1502" s="22" t="s">
        <v>53</v>
      </c>
      <c r="O1502" s="22"/>
    </row>
    <row r="1503" spans="1:15" ht="13.5" customHeight="1" x14ac:dyDescent="0.25">
      <c r="A1503" s="1"/>
      <c r="B1503" s="20">
        <v>1491</v>
      </c>
      <c r="C1503" s="20">
        <v>2023</v>
      </c>
      <c r="D1503" s="20">
        <v>11005</v>
      </c>
      <c r="E1503" s="20" t="s">
        <v>5821</v>
      </c>
      <c r="F1503" s="20" t="s">
        <v>5822</v>
      </c>
      <c r="G1503" s="20"/>
      <c r="H1503" s="20" t="s">
        <v>5823</v>
      </c>
      <c r="I1503" s="20" t="s">
        <v>23</v>
      </c>
      <c r="J1503" s="21">
        <v>2000</v>
      </c>
      <c r="K1503" s="20" t="s">
        <v>63</v>
      </c>
      <c r="L1503" s="21"/>
      <c r="M1503" s="21" t="s">
        <v>30</v>
      </c>
      <c r="N1503" s="20"/>
      <c r="O1503" s="20"/>
    </row>
    <row r="1504" spans="1:15" ht="13.5" customHeight="1" x14ac:dyDescent="0.25">
      <c r="A1504" s="1"/>
      <c r="B1504" s="22">
        <v>1492</v>
      </c>
      <c r="C1504" s="22">
        <v>2023</v>
      </c>
      <c r="D1504" s="22">
        <v>12076</v>
      </c>
      <c r="E1504" s="22" t="s">
        <v>5824</v>
      </c>
      <c r="F1504" s="22" t="s">
        <v>5825</v>
      </c>
      <c r="G1504" s="22"/>
      <c r="H1504" s="22" t="s">
        <v>5826</v>
      </c>
      <c r="I1504" s="22" t="s">
        <v>23</v>
      </c>
      <c r="J1504" s="23">
        <v>2008</v>
      </c>
      <c r="K1504" s="22" t="s">
        <v>475</v>
      </c>
      <c r="L1504" s="23"/>
      <c r="M1504" s="23" t="s">
        <v>30</v>
      </c>
      <c r="N1504" s="22" t="s">
        <v>352</v>
      </c>
      <c r="O1504" s="22"/>
    </row>
    <row r="1505" spans="1:15" ht="13.5" customHeight="1" x14ac:dyDescent="0.25">
      <c r="A1505" s="1"/>
      <c r="B1505" s="20">
        <v>1493</v>
      </c>
      <c r="C1505" s="20">
        <v>2023</v>
      </c>
      <c r="D1505" s="20">
        <v>41872</v>
      </c>
      <c r="E1505" s="20" t="s">
        <v>5827</v>
      </c>
      <c r="F1505" s="20" t="s">
        <v>5828</v>
      </c>
      <c r="G1505" s="20" t="s">
        <v>5829</v>
      </c>
      <c r="H1505" s="20" t="s">
        <v>5830</v>
      </c>
      <c r="I1505" s="20" t="s">
        <v>23</v>
      </c>
      <c r="J1505" s="21">
        <v>2017</v>
      </c>
      <c r="K1505" s="20" t="s">
        <v>67</v>
      </c>
      <c r="L1505" s="21" t="s">
        <v>30</v>
      </c>
      <c r="M1505" s="21"/>
      <c r="N1505" s="20" t="s">
        <v>105</v>
      </c>
      <c r="O1505" s="20"/>
    </row>
    <row r="1506" spans="1:15" ht="13.5" customHeight="1" x14ac:dyDescent="0.25">
      <c r="A1506" s="1"/>
      <c r="B1506" s="22">
        <v>1494</v>
      </c>
      <c r="C1506" s="22">
        <v>2023</v>
      </c>
      <c r="D1506" s="22">
        <v>10985</v>
      </c>
      <c r="E1506" s="22" t="s">
        <v>5831</v>
      </c>
      <c r="F1506" s="22" t="s">
        <v>5832</v>
      </c>
      <c r="G1506" s="22" t="s">
        <v>5833</v>
      </c>
      <c r="H1506" s="22" t="s">
        <v>5834</v>
      </c>
      <c r="I1506" s="22" t="s">
        <v>23</v>
      </c>
      <c r="J1506" s="23">
        <v>2000</v>
      </c>
      <c r="K1506" s="22" t="s">
        <v>44</v>
      </c>
      <c r="L1506" s="23" t="s">
        <v>30</v>
      </c>
      <c r="M1506" s="23" t="s">
        <v>30</v>
      </c>
      <c r="N1506" s="22"/>
      <c r="O1506" s="22"/>
    </row>
    <row r="1507" spans="1:15" ht="13.5" customHeight="1" x14ac:dyDescent="0.25">
      <c r="A1507" s="1"/>
      <c r="B1507" s="20">
        <v>1495</v>
      </c>
      <c r="C1507" s="20">
        <v>2023</v>
      </c>
      <c r="D1507" s="20">
        <v>10201</v>
      </c>
      <c r="E1507" s="20" t="s">
        <v>5835</v>
      </c>
      <c r="F1507" s="20" t="s">
        <v>5836</v>
      </c>
      <c r="G1507" s="20" t="s">
        <v>5837</v>
      </c>
      <c r="H1507" s="20" t="s">
        <v>5838</v>
      </c>
      <c r="I1507" s="20" t="s">
        <v>23</v>
      </c>
      <c r="J1507" s="21">
        <v>2000</v>
      </c>
      <c r="K1507" s="20" t="s">
        <v>34</v>
      </c>
      <c r="L1507" s="21" t="s">
        <v>30</v>
      </c>
      <c r="M1507" s="21" t="s">
        <v>30</v>
      </c>
      <c r="N1507" s="20"/>
      <c r="O1507" s="20"/>
    </row>
    <row r="1508" spans="1:15" ht="13.5" customHeight="1" x14ac:dyDescent="0.25">
      <c r="A1508" s="1"/>
      <c r="B1508" s="22">
        <v>1496</v>
      </c>
      <c r="C1508" s="22">
        <v>2023</v>
      </c>
      <c r="D1508" s="22">
        <v>10988</v>
      </c>
      <c r="E1508" s="22" t="s">
        <v>5839</v>
      </c>
      <c r="F1508" s="22" t="s">
        <v>5840</v>
      </c>
      <c r="G1508" s="22" t="s">
        <v>5841</v>
      </c>
      <c r="H1508" s="22" t="s">
        <v>5842</v>
      </c>
      <c r="I1508" s="22" t="s">
        <v>23</v>
      </c>
      <c r="J1508" s="23">
        <v>2000</v>
      </c>
      <c r="K1508" s="22" t="s">
        <v>184</v>
      </c>
      <c r="L1508" s="23" t="s">
        <v>30</v>
      </c>
      <c r="M1508" s="23" t="s">
        <v>30</v>
      </c>
      <c r="N1508" s="22"/>
      <c r="O1508" s="22"/>
    </row>
    <row r="1509" spans="1:15" ht="13.5" customHeight="1" x14ac:dyDescent="0.25">
      <c r="A1509" s="1"/>
      <c r="B1509" s="20">
        <v>1497</v>
      </c>
      <c r="C1509" s="20">
        <v>2023</v>
      </c>
      <c r="D1509" s="20">
        <v>41025</v>
      </c>
      <c r="E1509" s="20" t="s">
        <v>5843</v>
      </c>
      <c r="F1509" s="20" t="s">
        <v>5844</v>
      </c>
      <c r="G1509" s="20" t="s">
        <v>5845</v>
      </c>
      <c r="H1509" s="20" t="s">
        <v>5846</v>
      </c>
      <c r="I1509" s="20" t="s">
        <v>1246</v>
      </c>
      <c r="J1509" s="21">
        <v>2005</v>
      </c>
      <c r="K1509" s="20" t="s">
        <v>475</v>
      </c>
      <c r="L1509" s="21" t="s">
        <v>30</v>
      </c>
      <c r="M1509" s="21"/>
      <c r="N1509" s="20" t="s">
        <v>68</v>
      </c>
      <c r="O1509" s="20"/>
    </row>
    <row r="1510" spans="1:15" ht="13.5" customHeight="1" x14ac:dyDescent="0.25">
      <c r="A1510" s="1"/>
      <c r="B1510" s="22">
        <v>1498</v>
      </c>
      <c r="C1510" s="22">
        <v>2023</v>
      </c>
      <c r="D1510" s="22">
        <v>10987</v>
      </c>
      <c r="E1510" s="22" t="s">
        <v>5847</v>
      </c>
      <c r="F1510" s="22" t="s">
        <v>5848</v>
      </c>
      <c r="G1510" s="22" t="s">
        <v>5849</v>
      </c>
      <c r="H1510" s="22" t="s">
        <v>5850</v>
      </c>
      <c r="I1510" s="22" t="s">
        <v>62</v>
      </c>
      <c r="J1510" s="23">
        <v>2000</v>
      </c>
      <c r="K1510" s="22" t="s">
        <v>95</v>
      </c>
      <c r="L1510" s="23" t="s">
        <v>30</v>
      </c>
      <c r="M1510" s="23" t="s">
        <v>30</v>
      </c>
      <c r="N1510" s="22"/>
      <c r="O1510" s="22"/>
    </row>
    <row r="1511" spans="1:15" ht="13.5" customHeight="1" x14ac:dyDescent="0.25">
      <c r="A1511" s="1"/>
      <c r="B1511" s="20">
        <v>1499</v>
      </c>
      <c r="C1511" s="20">
        <v>2023</v>
      </c>
      <c r="D1511" s="20">
        <v>10986</v>
      </c>
      <c r="E1511" s="20" t="s">
        <v>5851</v>
      </c>
      <c r="F1511" s="20" t="s">
        <v>5852</v>
      </c>
      <c r="G1511" s="20" t="s">
        <v>5853</v>
      </c>
      <c r="H1511" s="20" t="s">
        <v>5854</v>
      </c>
      <c r="I1511" s="20" t="s">
        <v>23</v>
      </c>
      <c r="J1511" s="21">
        <v>2000</v>
      </c>
      <c r="K1511" s="20" t="s">
        <v>44</v>
      </c>
      <c r="L1511" s="21" t="s">
        <v>30</v>
      </c>
      <c r="M1511" s="21" t="s">
        <v>30</v>
      </c>
      <c r="N1511" s="20"/>
      <c r="O1511" s="20"/>
    </row>
    <row r="1512" spans="1:15" ht="13.5" customHeight="1" x14ac:dyDescent="0.25">
      <c r="A1512" s="1"/>
      <c r="B1512" s="22">
        <v>1500</v>
      </c>
      <c r="C1512" s="22">
        <v>2023</v>
      </c>
      <c r="D1512" s="22">
        <v>10991</v>
      </c>
      <c r="E1512" s="22" t="s">
        <v>5855</v>
      </c>
      <c r="F1512" s="22" t="s">
        <v>5856</v>
      </c>
      <c r="G1512" s="22" t="s">
        <v>5857</v>
      </c>
      <c r="H1512" s="22" t="s">
        <v>5858</v>
      </c>
      <c r="I1512" s="22" t="s">
        <v>23</v>
      </c>
      <c r="J1512" s="23">
        <v>2000</v>
      </c>
      <c r="K1512" s="22" t="s">
        <v>394</v>
      </c>
      <c r="L1512" s="23" t="s">
        <v>30</v>
      </c>
      <c r="M1512" s="23" t="s">
        <v>30</v>
      </c>
      <c r="N1512" s="22"/>
      <c r="O1512" s="22"/>
    </row>
    <row r="1513" spans="1:15" ht="13.5" customHeight="1" x14ac:dyDescent="0.25">
      <c r="A1513" s="1"/>
      <c r="B1513" s="20">
        <v>1501</v>
      </c>
      <c r="C1513" s="20">
        <v>2023</v>
      </c>
      <c r="D1513" s="20">
        <v>12202</v>
      </c>
      <c r="E1513" s="20" t="s">
        <v>5859</v>
      </c>
      <c r="F1513" s="20" t="s">
        <v>5860</v>
      </c>
      <c r="G1513" s="20" t="s">
        <v>5861</v>
      </c>
      <c r="H1513" s="20" t="s">
        <v>5862</v>
      </c>
      <c r="I1513" s="20" t="s">
        <v>62</v>
      </c>
      <c r="J1513" s="21">
        <v>2008</v>
      </c>
      <c r="K1513" s="20" t="s">
        <v>44</v>
      </c>
      <c r="L1513" s="21" t="s">
        <v>30</v>
      </c>
      <c r="M1513" s="21" t="s">
        <v>30</v>
      </c>
      <c r="N1513" s="20" t="s">
        <v>35</v>
      </c>
      <c r="O1513" s="20"/>
    </row>
    <row r="1514" spans="1:15" ht="13.5" customHeight="1" x14ac:dyDescent="0.25">
      <c r="A1514" s="1"/>
      <c r="B1514" s="22">
        <v>1502</v>
      </c>
      <c r="C1514" s="22">
        <v>2023</v>
      </c>
      <c r="D1514" s="22">
        <v>11787</v>
      </c>
      <c r="E1514" s="22" t="s">
        <v>5863</v>
      </c>
      <c r="F1514" s="22" t="s">
        <v>5864</v>
      </c>
      <c r="G1514" s="22" t="s">
        <v>5865</v>
      </c>
      <c r="H1514" s="22" t="s">
        <v>5866</v>
      </c>
      <c r="I1514" s="22" t="s">
        <v>223</v>
      </c>
      <c r="J1514" s="23">
        <v>2007</v>
      </c>
      <c r="K1514" s="22" t="s">
        <v>44</v>
      </c>
      <c r="L1514" s="23" t="s">
        <v>30</v>
      </c>
      <c r="M1514" s="23" t="s">
        <v>30</v>
      </c>
      <c r="N1514" s="22" t="s">
        <v>245</v>
      </c>
      <c r="O1514" s="22"/>
    </row>
    <row r="1515" spans="1:15" ht="13.5" customHeight="1" x14ac:dyDescent="0.25">
      <c r="A1515" s="1"/>
      <c r="B1515" s="20">
        <v>1503</v>
      </c>
      <c r="C1515" s="20">
        <v>2023</v>
      </c>
      <c r="D1515" s="20">
        <v>408</v>
      </c>
      <c r="E1515" s="20" t="s">
        <v>5867</v>
      </c>
      <c r="F1515" s="20" t="s">
        <v>5868</v>
      </c>
      <c r="G1515" s="20"/>
      <c r="H1515" s="20" t="s">
        <v>5869</v>
      </c>
      <c r="I1515" s="20" t="s">
        <v>23</v>
      </c>
      <c r="J1515" s="21">
        <v>2000</v>
      </c>
      <c r="K1515" s="20" t="s">
        <v>39</v>
      </c>
      <c r="L1515" s="21"/>
      <c r="M1515" s="21" t="s">
        <v>30</v>
      </c>
      <c r="N1515" s="20"/>
      <c r="O1515" s="20"/>
    </row>
    <row r="1516" spans="1:15" ht="13.5" customHeight="1" x14ac:dyDescent="0.25">
      <c r="A1516" s="1"/>
      <c r="B1516" s="22">
        <v>1504</v>
      </c>
      <c r="C1516" s="22">
        <v>2023</v>
      </c>
      <c r="D1516" s="22">
        <v>11633</v>
      </c>
      <c r="E1516" s="22" t="s">
        <v>5870</v>
      </c>
      <c r="F1516" s="22" t="s">
        <v>5871</v>
      </c>
      <c r="G1516" s="22" t="s">
        <v>5872</v>
      </c>
      <c r="H1516" s="22" t="s">
        <v>5873</v>
      </c>
      <c r="I1516" s="22" t="s">
        <v>5874</v>
      </c>
      <c r="J1516" s="23">
        <v>2004</v>
      </c>
      <c r="K1516" s="22" t="s">
        <v>114</v>
      </c>
      <c r="L1516" s="23" t="s">
        <v>30</v>
      </c>
      <c r="M1516" s="23" t="s">
        <v>30</v>
      </c>
      <c r="N1516" s="22" t="s">
        <v>74</v>
      </c>
      <c r="O1516" s="22"/>
    </row>
    <row r="1517" spans="1:15" ht="13.5" customHeight="1" x14ac:dyDescent="0.25">
      <c r="A1517" s="1"/>
      <c r="B1517" s="20">
        <v>1505</v>
      </c>
      <c r="C1517" s="20">
        <v>2023</v>
      </c>
      <c r="D1517" s="20">
        <v>10994</v>
      </c>
      <c r="E1517" s="20" t="s">
        <v>5875</v>
      </c>
      <c r="F1517" s="20" t="s">
        <v>5876</v>
      </c>
      <c r="G1517" s="20" t="s">
        <v>5877</v>
      </c>
      <c r="H1517" s="20" t="s">
        <v>5878</v>
      </c>
      <c r="I1517" s="20" t="s">
        <v>23</v>
      </c>
      <c r="J1517" s="21">
        <v>2000</v>
      </c>
      <c r="K1517" s="20" t="s">
        <v>114</v>
      </c>
      <c r="L1517" s="21" t="s">
        <v>30</v>
      </c>
      <c r="M1517" s="21" t="s">
        <v>30</v>
      </c>
      <c r="N1517" s="20"/>
      <c r="O1517" s="20"/>
    </row>
    <row r="1518" spans="1:15" ht="13.5" customHeight="1" x14ac:dyDescent="0.25">
      <c r="A1518" s="1"/>
      <c r="B1518" s="22">
        <v>1506</v>
      </c>
      <c r="C1518" s="22">
        <v>2023</v>
      </c>
      <c r="D1518" s="22">
        <v>138</v>
      </c>
      <c r="E1518" s="22" t="s">
        <v>5879</v>
      </c>
      <c r="F1518" s="22" t="s">
        <v>5880</v>
      </c>
      <c r="G1518" s="22" t="s">
        <v>5881</v>
      </c>
      <c r="H1518" s="22" t="s">
        <v>5882</v>
      </c>
      <c r="I1518" s="22" t="s">
        <v>23</v>
      </c>
      <c r="J1518" s="23">
        <v>2000</v>
      </c>
      <c r="K1518" s="22" t="s">
        <v>114</v>
      </c>
      <c r="L1518" s="23" t="s">
        <v>30</v>
      </c>
      <c r="M1518" s="23" t="s">
        <v>30</v>
      </c>
      <c r="N1518" s="22"/>
      <c r="O1518" s="22"/>
    </row>
    <row r="1519" spans="1:15" ht="13.5" customHeight="1" x14ac:dyDescent="0.25">
      <c r="A1519" s="1"/>
      <c r="B1519" s="20">
        <v>1507</v>
      </c>
      <c r="C1519" s="20">
        <v>2023</v>
      </c>
      <c r="D1519" s="20">
        <v>13233</v>
      </c>
      <c r="E1519" s="20" t="s">
        <v>5883</v>
      </c>
      <c r="F1519" s="20" t="s">
        <v>5884</v>
      </c>
      <c r="G1519" s="20" t="s">
        <v>5885</v>
      </c>
      <c r="H1519" s="20" t="s">
        <v>5886</v>
      </c>
      <c r="I1519" s="20" t="s">
        <v>5887</v>
      </c>
      <c r="J1519" s="21">
        <v>2002</v>
      </c>
      <c r="K1519" s="20" t="s">
        <v>24</v>
      </c>
      <c r="L1519" s="21" t="s">
        <v>30</v>
      </c>
      <c r="M1519" s="21"/>
      <c r="N1519" s="20" t="s">
        <v>173</v>
      </c>
      <c r="O1519" s="20"/>
    </row>
    <row r="1520" spans="1:15" ht="13.5" customHeight="1" x14ac:dyDescent="0.25">
      <c r="A1520" s="1"/>
      <c r="B1520" s="22">
        <v>1508</v>
      </c>
      <c r="C1520" s="22">
        <v>2023</v>
      </c>
      <c r="D1520" s="22">
        <v>10334</v>
      </c>
      <c r="E1520" s="22" t="s">
        <v>5888</v>
      </c>
      <c r="F1520" s="22" t="s">
        <v>5889</v>
      </c>
      <c r="G1520" s="22"/>
      <c r="H1520" s="22" t="s">
        <v>5890</v>
      </c>
      <c r="I1520" s="22" t="s">
        <v>23</v>
      </c>
      <c r="J1520" s="23">
        <v>2000</v>
      </c>
      <c r="K1520" s="22" t="s">
        <v>39</v>
      </c>
      <c r="L1520" s="23"/>
      <c r="M1520" s="23" t="s">
        <v>30</v>
      </c>
      <c r="N1520" s="22"/>
      <c r="O1520" s="22"/>
    </row>
    <row r="1521" spans="1:15" ht="13.5" customHeight="1" x14ac:dyDescent="0.25">
      <c r="A1521" s="1"/>
      <c r="B1521" s="20">
        <v>1509</v>
      </c>
      <c r="C1521" s="20">
        <v>2023</v>
      </c>
      <c r="D1521" s="20">
        <v>13364</v>
      </c>
      <c r="E1521" s="20" t="s">
        <v>5891</v>
      </c>
      <c r="F1521" s="20" t="s">
        <v>5892</v>
      </c>
      <c r="G1521" s="20" t="s">
        <v>5893</v>
      </c>
      <c r="H1521" s="20" t="s">
        <v>5894</v>
      </c>
      <c r="I1521" s="20" t="s">
        <v>23</v>
      </c>
      <c r="J1521" s="21">
        <v>2001</v>
      </c>
      <c r="K1521" s="20" t="s">
        <v>34</v>
      </c>
      <c r="L1521" s="21" t="s">
        <v>30</v>
      </c>
      <c r="M1521" s="21"/>
      <c r="N1521" s="20" t="s">
        <v>275</v>
      </c>
      <c r="O1521" s="20"/>
    </row>
    <row r="1522" spans="1:15" ht="13.5" customHeight="1" x14ac:dyDescent="0.25">
      <c r="A1522" s="1"/>
      <c r="B1522" s="22">
        <v>1510</v>
      </c>
      <c r="C1522" s="22">
        <v>2023</v>
      </c>
      <c r="D1522" s="22">
        <v>42991</v>
      </c>
      <c r="E1522" s="22" t="s">
        <v>5895</v>
      </c>
      <c r="F1522" s="22" t="s">
        <v>5896</v>
      </c>
      <c r="G1522" s="22" t="s">
        <v>5897</v>
      </c>
      <c r="H1522" s="22" t="s">
        <v>5898</v>
      </c>
      <c r="I1522" s="22" t="s">
        <v>23</v>
      </c>
      <c r="J1522" s="23">
        <v>2002</v>
      </c>
      <c r="K1522" s="22" t="s">
        <v>34</v>
      </c>
      <c r="L1522" s="23" t="s">
        <v>30</v>
      </c>
      <c r="M1522" s="23"/>
      <c r="N1522" s="22" t="s">
        <v>270</v>
      </c>
      <c r="O1522" s="22"/>
    </row>
    <row r="1523" spans="1:15" ht="13.5" customHeight="1" x14ac:dyDescent="0.25">
      <c r="A1523" s="1"/>
      <c r="B1523" s="20">
        <v>1511</v>
      </c>
      <c r="C1523" s="20">
        <v>2023</v>
      </c>
      <c r="D1523" s="20">
        <v>335</v>
      </c>
      <c r="E1523" s="20" t="s">
        <v>5899</v>
      </c>
      <c r="F1523" s="20" t="s">
        <v>5900</v>
      </c>
      <c r="G1523" s="20" t="s">
        <v>5901</v>
      </c>
      <c r="H1523" s="20" t="s">
        <v>5902</v>
      </c>
      <c r="I1523" s="20" t="s">
        <v>23</v>
      </c>
      <c r="J1523" s="21">
        <v>2000</v>
      </c>
      <c r="K1523" s="20" t="s">
        <v>34</v>
      </c>
      <c r="L1523" s="21" t="s">
        <v>30</v>
      </c>
      <c r="M1523" s="21" t="s">
        <v>30</v>
      </c>
      <c r="N1523" s="20"/>
      <c r="O1523" s="20"/>
    </row>
    <row r="1524" spans="1:15" ht="13.5" customHeight="1" x14ac:dyDescent="0.25">
      <c r="A1524" s="1"/>
      <c r="B1524" s="22">
        <v>1512</v>
      </c>
      <c r="C1524" s="22">
        <v>2023</v>
      </c>
      <c r="D1524" s="22">
        <v>11575</v>
      </c>
      <c r="E1524" s="22" t="s">
        <v>5903</v>
      </c>
      <c r="F1524" s="22" t="s">
        <v>5904</v>
      </c>
      <c r="G1524" s="22" t="s">
        <v>5905</v>
      </c>
      <c r="H1524" s="22" t="s">
        <v>5906</v>
      </c>
      <c r="I1524" s="22" t="s">
        <v>23</v>
      </c>
      <c r="J1524" s="23">
        <v>2006</v>
      </c>
      <c r="K1524" s="22" t="s">
        <v>29</v>
      </c>
      <c r="L1524" s="23" t="s">
        <v>30</v>
      </c>
      <c r="M1524" s="23" t="s">
        <v>30</v>
      </c>
      <c r="N1524" s="22" t="s">
        <v>245</v>
      </c>
      <c r="O1524" s="22"/>
    </row>
    <row r="1525" spans="1:15" ht="13.5" customHeight="1" x14ac:dyDescent="0.25">
      <c r="A1525" s="1"/>
      <c r="B1525" s="20">
        <v>1513</v>
      </c>
      <c r="C1525" s="20">
        <v>2023</v>
      </c>
      <c r="D1525" s="20">
        <v>11301</v>
      </c>
      <c r="E1525" s="20" t="s">
        <v>5907</v>
      </c>
      <c r="F1525" s="20" t="s">
        <v>5908</v>
      </c>
      <c r="G1525" s="20" t="s">
        <v>5909</v>
      </c>
      <c r="H1525" s="20" t="s">
        <v>5910</v>
      </c>
      <c r="I1525" s="20" t="s">
        <v>23</v>
      </c>
      <c r="J1525" s="21">
        <v>2005</v>
      </c>
      <c r="K1525" s="20" t="s">
        <v>29</v>
      </c>
      <c r="L1525" s="21" t="s">
        <v>30</v>
      </c>
      <c r="M1525" s="21" t="s">
        <v>30</v>
      </c>
      <c r="N1525" s="20"/>
      <c r="O1525" s="20"/>
    </row>
    <row r="1526" spans="1:15" ht="13.5" customHeight="1" x14ac:dyDescent="0.25">
      <c r="A1526" s="1"/>
      <c r="B1526" s="22">
        <v>1514</v>
      </c>
      <c r="C1526" s="22">
        <v>2023</v>
      </c>
      <c r="D1526" s="22">
        <v>337</v>
      </c>
      <c r="E1526" s="22" t="s">
        <v>5911</v>
      </c>
      <c r="F1526" s="22" t="s">
        <v>5912</v>
      </c>
      <c r="G1526" s="22" t="s">
        <v>5913</v>
      </c>
      <c r="H1526" s="22" t="s">
        <v>5914</v>
      </c>
      <c r="I1526" s="22" t="s">
        <v>357</v>
      </c>
      <c r="J1526" s="23">
        <v>2000</v>
      </c>
      <c r="K1526" s="22" t="s">
        <v>39</v>
      </c>
      <c r="L1526" s="23" t="s">
        <v>30</v>
      </c>
      <c r="M1526" s="23" t="s">
        <v>30</v>
      </c>
      <c r="N1526" s="22"/>
      <c r="O1526" s="22"/>
    </row>
    <row r="1527" spans="1:15" ht="13.5" customHeight="1" x14ac:dyDescent="0.25">
      <c r="A1527" s="1"/>
      <c r="B1527" s="20">
        <v>1515</v>
      </c>
      <c r="C1527" s="20">
        <v>2023</v>
      </c>
      <c r="D1527" s="20">
        <v>229</v>
      </c>
      <c r="E1527" s="20" t="s">
        <v>5915</v>
      </c>
      <c r="F1527" s="20" t="s">
        <v>5916</v>
      </c>
      <c r="G1527" s="20" t="s">
        <v>5917</v>
      </c>
      <c r="H1527" s="20" t="s">
        <v>5918</v>
      </c>
      <c r="I1527" s="20" t="s">
        <v>23</v>
      </c>
      <c r="J1527" s="21">
        <v>2000</v>
      </c>
      <c r="K1527" s="20" t="s">
        <v>44</v>
      </c>
      <c r="L1527" s="21" t="s">
        <v>30</v>
      </c>
      <c r="M1527" s="21" t="s">
        <v>30</v>
      </c>
      <c r="N1527" s="20"/>
      <c r="O1527" s="20"/>
    </row>
    <row r="1528" spans="1:15" ht="13.5" customHeight="1" x14ac:dyDescent="0.25">
      <c r="A1528" s="1"/>
      <c r="B1528" s="22">
        <v>1516</v>
      </c>
      <c r="C1528" s="22">
        <v>2023</v>
      </c>
      <c r="D1528" s="22">
        <v>12647</v>
      </c>
      <c r="E1528" s="22" t="s">
        <v>5919</v>
      </c>
      <c r="F1528" s="22" t="s">
        <v>5920</v>
      </c>
      <c r="G1528" s="22" t="s">
        <v>5921</v>
      </c>
      <c r="H1528" s="22" t="s">
        <v>5922</v>
      </c>
      <c r="I1528" s="22" t="s">
        <v>23</v>
      </c>
      <c r="J1528" s="23">
        <v>2009</v>
      </c>
      <c r="K1528" s="22" t="s">
        <v>63</v>
      </c>
      <c r="L1528" s="23" t="s">
        <v>30</v>
      </c>
      <c r="M1528" s="23"/>
      <c r="N1528" s="22" t="s">
        <v>431</v>
      </c>
      <c r="O1528" s="22"/>
    </row>
    <row r="1529" spans="1:15" ht="13.5" customHeight="1" x14ac:dyDescent="0.25">
      <c r="A1529" s="1"/>
      <c r="B1529" s="20">
        <v>1517</v>
      </c>
      <c r="C1529" s="20">
        <v>2023</v>
      </c>
      <c r="D1529" s="20">
        <v>12526</v>
      </c>
      <c r="E1529" s="20" t="s">
        <v>5923</v>
      </c>
      <c r="F1529" s="20" t="s">
        <v>5924</v>
      </c>
      <c r="G1529" s="20" t="s">
        <v>5925</v>
      </c>
      <c r="H1529" s="20" t="s">
        <v>5926</v>
      </c>
      <c r="I1529" s="20" t="s">
        <v>23</v>
      </c>
      <c r="J1529" s="21">
        <v>2000</v>
      </c>
      <c r="K1529" s="20" t="s">
        <v>34</v>
      </c>
      <c r="L1529" s="21" t="s">
        <v>30</v>
      </c>
      <c r="M1529" s="21"/>
      <c r="N1529" s="20" t="s">
        <v>431</v>
      </c>
      <c r="O1529" s="20"/>
    </row>
    <row r="1530" spans="1:15" ht="13.5" customHeight="1" x14ac:dyDescent="0.25">
      <c r="A1530" s="1"/>
      <c r="B1530" s="22">
        <v>1518</v>
      </c>
      <c r="C1530" s="22">
        <v>2023</v>
      </c>
      <c r="D1530" s="22">
        <v>227</v>
      </c>
      <c r="E1530" s="22" t="s">
        <v>5927</v>
      </c>
      <c r="F1530" s="22" t="s">
        <v>5928</v>
      </c>
      <c r="G1530" s="22" t="s">
        <v>5929</v>
      </c>
      <c r="H1530" s="22" t="s">
        <v>5930</v>
      </c>
      <c r="I1530" s="22" t="s">
        <v>23</v>
      </c>
      <c r="J1530" s="23">
        <v>2000</v>
      </c>
      <c r="K1530" s="22" t="s">
        <v>34</v>
      </c>
      <c r="L1530" s="23" t="s">
        <v>30</v>
      </c>
      <c r="M1530" s="23" t="s">
        <v>30</v>
      </c>
      <c r="N1530" s="22"/>
      <c r="O1530" s="22"/>
    </row>
    <row r="1531" spans="1:15" ht="13.5" customHeight="1" x14ac:dyDescent="0.25">
      <c r="A1531" s="1"/>
      <c r="B1531" s="20">
        <v>1519</v>
      </c>
      <c r="C1531" s="20">
        <v>2023</v>
      </c>
      <c r="D1531" s="20">
        <v>10126</v>
      </c>
      <c r="E1531" s="20" t="s">
        <v>5931</v>
      </c>
      <c r="F1531" s="20" t="s">
        <v>5932</v>
      </c>
      <c r="G1531" s="20" t="s">
        <v>5933</v>
      </c>
      <c r="H1531" s="20" t="s">
        <v>5934</v>
      </c>
      <c r="I1531" s="20" t="s">
        <v>23</v>
      </c>
      <c r="J1531" s="21">
        <v>2000</v>
      </c>
      <c r="K1531" s="20" t="s">
        <v>34</v>
      </c>
      <c r="L1531" s="21" t="s">
        <v>30</v>
      </c>
      <c r="M1531" s="21" t="s">
        <v>30</v>
      </c>
      <c r="N1531" s="20"/>
      <c r="O1531" s="20"/>
    </row>
    <row r="1532" spans="1:15" ht="13.5" customHeight="1" x14ac:dyDescent="0.25">
      <c r="A1532" s="1"/>
      <c r="B1532" s="22">
        <v>1520</v>
      </c>
      <c r="C1532" s="22">
        <v>2023</v>
      </c>
      <c r="D1532" s="22">
        <v>11001</v>
      </c>
      <c r="E1532" s="22" t="s">
        <v>5935</v>
      </c>
      <c r="F1532" s="22" t="s">
        <v>5936</v>
      </c>
      <c r="G1532" s="22" t="s">
        <v>5937</v>
      </c>
      <c r="H1532" s="22" t="s">
        <v>5938</v>
      </c>
      <c r="I1532" s="22" t="s">
        <v>23</v>
      </c>
      <c r="J1532" s="23">
        <v>2000</v>
      </c>
      <c r="K1532" s="22" t="s">
        <v>95</v>
      </c>
      <c r="L1532" s="23" t="s">
        <v>30</v>
      </c>
      <c r="M1532" s="23" t="s">
        <v>30</v>
      </c>
      <c r="N1532" s="22"/>
      <c r="O1532" s="22"/>
    </row>
    <row r="1533" spans="1:15" ht="13.5" customHeight="1" x14ac:dyDescent="0.25">
      <c r="A1533" s="1"/>
      <c r="B1533" s="20">
        <v>1521</v>
      </c>
      <c r="C1533" s="20">
        <v>2023</v>
      </c>
      <c r="D1533" s="20">
        <v>42995</v>
      </c>
      <c r="E1533" s="20" t="s">
        <v>5939</v>
      </c>
      <c r="F1533" s="20" t="s">
        <v>5940</v>
      </c>
      <c r="G1533" s="20"/>
      <c r="H1533" s="20" t="s">
        <v>5941</v>
      </c>
      <c r="I1533" s="20" t="s">
        <v>23</v>
      </c>
      <c r="J1533" s="21">
        <v>2019</v>
      </c>
      <c r="K1533" s="20" t="s">
        <v>34</v>
      </c>
      <c r="L1533" s="21"/>
      <c r="M1533" s="21"/>
      <c r="N1533" s="20" t="s">
        <v>218</v>
      </c>
      <c r="O1533" s="20"/>
    </row>
    <row r="1534" spans="1:15" ht="13.5" customHeight="1" x14ac:dyDescent="0.25">
      <c r="A1534" s="1"/>
      <c r="B1534" s="22">
        <v>1522</v>
      </c>
      <c r="C1534" s="22">
        <v>2023</v>
      </c>
      <c r="D1534" s="22">
        <v>40868</v>
      </c>
      <c r="E1534" s="22" t="s">
        <v>5942</v>
      </c>
      <c r="F1534" s="22" t="s">
        <v>5943</v>
      </c>
      <c r="G1534" s="22" t="s">
        <v>5944</v>
      </c>
      <c r="H1534" s="22" t="s">
        <v>5945</v>
      </c>
      <c r="I1534" s="22" t="s">
        <v>23</v>
      </c>
      <c r="J1534" s="23">
        <v>2004</v>
      </c>
      <c r="K1534" s="22" t="s">
        <v>67</v>
      </c>
      <c r="L1534" s="23" t="s">
        <v>30</v>
      </c>
      <c r="M1534" s="23"/>
      <c r="N1534" s="22" t="s">
        <v>68</v>
      </c>
      <c r="O1534" s="22"/>
    </row>
    <row r="1535" spans="1:15" ht="13.5" customHeight="1" x14ac:dyDescent="0.25">
      <c r="A1535" s="1"/>
      <c r="B1535" s="20">
        <v>1523</v>
      </c>
      <c r="C1535" s="20">
        <v>2023</v>
      </c>
      <c r="D1535" s="20">
        <v>40152</v>
      </c>
      <c r="E1535" s="20" t="s">
        <v>5946</v>
      </c>
      <c r="F1535" s="20" t="s">
        <v>5947</v>
      </c>
      <c r="G1535" s="20" t="s">
        <v>5948</v>
      </c>
      <c r="H1535" s="20" t="s">
        <v>5949</v>
      </c>
      <c r="I1535" s="20" t="s">
        <v>23</v>
      </c>
      <c r="J1535" s="21">
        <v>2012</v>
      </c>
      <c r="K1535" s="20" t="s">
        <v>184</v>
      </c>
      <c r="L1535" s="21" t="s">
        <v>30</v>
      </c>
      <c r="M1535" s="21"/>
      <c r="N1535" s="20"/>
      <c r="O1535" s="20"/>
    </row>
    <row r="1536" spans="1:15" ht="13.5" customHeight="1" x14ac:dyDescent="0.25">
      <c r="A1536" s="1"/>
      <c r="B1536" s="22">
        <v>1524</v>
      </c>
      <c r="C1536" s="22">
        <v>2023</v>
      </c>
      <c r="D1536" s="22">
        <v>11002</v>
      </c>
      <c r="E1536" s="22" t="s">
        <v>5950</v>
      </c>
      <c r="F1536" s="22" t="s">
        <v>5951</v>
      </c>
      <c r="G1536" s="22" t="s">
        <v>5952</v>
      </c>
      <c r="H1536" s="22" t="s">
        <v>5953</v>
      </c>
      <c r="I1536" s="22" t="s">
        <v>23</v>
      </c>
      <c r="J1536" s="23">
        <v>2000</v>
      </c>
      <c r="K1536" s="22" t="s">
        <v>29</v>
      </c>
      <c r="L1536" s="23" t="s">
        <v>30</v>
      </c>
      <c r="M1536" s="23" t="s">
        <v>30</v>
      </c>
      <c r="N1536" s="22"/>
      <c r="O1536" s="22"/>
    </row>
    <row r="1537" spans="1:15" ht="13.5" customHeight="1" x14ac:dyDescent="0.25">
      <c r="A1537" s="1"/>
      <c r="B1537" s="20">
        <v>1525</v>
      </c>
      <c r="C1537" s="20">
        <v>2023</v>
      </c>
      <c r="D1537" s="20">
        <v>11527</v>
      </c>
      <c r="E1537" s="20" t="s">
        <v>5954</v>
      </c>
      <c r="F1537" s="20" t="s">
        <v>5955</v>
      </c>
      <c r="G1537" s="20" t="s">
        <v>5956</v>
      </c>
      <c r="H1537" s="20" t="s">
        <v>5957</v>
      </c>
      <c r="I1537" s="20" t="s">
        <v>23</v>
      </c>
      <c r="J1537" s="21">
        <v>2000</v>
      </c>
      <c r="K1537" s="20" t="s">
        <v>67</v>
      </c>
      <c r="L1537" s="21" t="s">
        <v>30</v>
      </c>
      <c r="M1537" s="21" t="s">
        <v>30</v>
      </c>
      <c r="N1537" s="20"/>
      <c r="O1537" s="20"/>
    </row>
    <row r="1538" spans="1:15" ht="13.5" customHeight="1" x14ac:dyDescent="0.25">
      <c r="A1538" s="1"/>
      <c r="B1538" s="22">
        <v>1526</v>
      </c>
      <c r="C1538" s="22">
        <v>2023</v>
      </c>
      <c r="D1538" s="22">
        <v>42824</v>
      </c>
      <c r="E1538" s="22" t="s">
        <v>5958</v>
      </c>
      <c r="F1538" s="22" t="s">
        <v>5959</v>
      </c>
      <c r="G1538" s="22" t="s">
        <v>5960</v>
      </c>
      <c r="H1538" s="22" t="s">
        <v>5961</v>
      </c>
      <c r="I1538" s="22" t="s">
        <v>23</v>
      </c>
      <c r="J1538" s="23">
        <v>2019</v>
      </c>
      <c r="K1538" s="22" t="s">
        <v>24</v>
      </c>
      <c r="L1538" s="23" t="s">
        <v>30</v>
      </c>
      <c r="M1538" s="23"/>
      <c r="N1538" s="22" t="s">
        <v>218</v>
      </c>
      <c r="O1538" s="22"/>
    </row>
    <row r="1539" spans="1:15" ht="13.5" customHeight="1" x14ac:dyDescent="0.25">
      <c r="A1539" s="1"/>
      <c r="B1539" s="20">
        <v>1527</v>
      </c>
      <c r="C1539" s="20">
        <v>2023</v>
      </c>
      <c r="D1539" s="20">
        <v>11003</v>
      </c>
      <c r="E1539" s="20" t="s">
        <v>5962</v>
      </c>
      <c r="F1539" s="20" t="s">
        <v>5963</v>
      </c>
      <c r="G1539" s="20" t="s">
        <v>5964</v>
      </c>
      <c r="H1539" s="20" t="s">
        <v>5965</v>
      </c>
      <c r="I1539" s="20" t="s">
        <v>23</v>
      </c>
      <c r="J1539" s="21">
        <v>2000</v>
      </c>
      <c r="K1539" s="20" t="s">
        <v>24</v>
      </c>
      <c r="L1539" s="21" t="s">
        <v>30</v>
      </c>
      <c r="M1539" s="21" t="s">
        <v>30</v>
      </c>
      <c r="N1539" s="20"/>
      <c r="O1539" s="20"/>
    </row>
    <row r="1540" spans="1:15" ht="13.5" customHeight="1" x14ac:dyDescent="0.25">
      <c r="A1540" s="1"/>
      <c r="B1540" s="22">
        <v>1528</v>
      </c>
      <c r="C1540" s="22">
        <v>2023</v>
      </c>
      <c r="D1540" s="22">
        <v>10995</v>
      </c>
      <c r="E1540" s="22" t="s">
        <v>5966</v>
      </c>
      <c r="F1540" s="22" t="s">
        <v>5967</v>
      </c>
      <c r="G1540" s="22" t="s">
        <v>5968</v>
      </c>
      <c r="H1540" s="22" t="s">
        <v>5969</v>
      </c>
      <c r="I1540" s="22" t="s">
        <v>23</v>
      </c>
      <c r="J1540" s="23">
        <v>2000</v>
      </c>
      <c r="K1540" s="22" t="s">
        <v>39</v>
      </c>
      <c r="L1540" s="23" t="s">
        <v>30</v>
      </c>
      <c r="M1540" s="23" t="s">
        <v>30</v>
      </c>
      <c r="N1540" s="22"/>
      <c r="O1540" s="22"/>
    </row>
    <row r="1541" spans="1:15" ht="13.5" customHeight="1" x14ac:dyDescent="0.25">
      <c r="A1541" s="1"/>
      <c r="B1541" s="20">
        <v>1529</v>
      </c>
      <c r="C1541" s="20">
        <v>2023</v>
      </c>
      <c r="D1541" s="20">
        <v>11004</v>
      </c>
      <c r="E1541" s="20" t="s">
        <v>5970</v>
      </c>
      <c r="F1541" s="20" t="s">
        <v>5971</v>
      </c>
      <c r="G1541" s="20" t="s">
        <v>5972</v>
      </c>
      <c r="H1541" s="20" t="s">
        <v>5973</v>
      </c>
      <c r="I1541" s="20" t="s">
        <v>23</v>
      </c>
      <c r="J1541" s="21">
        <v>2000</v>
      </c>
      <c r="K1541" s="20" t="s">
        <v>95</v>
      </c>
      <c r="L1541" s="21" t="s">
        <v>30</v>
      </c>
      <c r="M1541" s="21" t="s">
        <v>30</v>
      </c>
      <c r="N1541" s="20"/>
      <c r="O1541" s="20"/>
    </row>
    <row r="1542" spans="1:15" ht="13.5" customHeight="1" x14ac:dyDescent="0.25">
      <c r="A1542" s="1"/>
      <c r="B1542" s="22">
        <v>1530</v>
      </c>
      <c r="C1542" s="22">
        <v>2023</v>
      </c>
      <c r="D1542" s="22">
        <v>186</v>
      </c>
      <c r="E1542" s="22" t="s">
        <v>5974</v>
      </c>
      <c r="F1542" s="22" t="s">
        <v>5975</v>
      </c>
      <c r="G1542" s="22" t="s">
        <v>5976</v>
      </c>
      <c r="H1542" s="22" t="s">
        <v>5977</v>
      </c>
      <c r="I1542" s="22" t="s">
        <v>23</v>
      </c>
      <c r="J1542" s="23">
        <v>2000</v>
      </c>
      <c r="K1542" s="22" t="s">
        <v>44</v>
      </c>
      <c r="L1542" s="23" t="s">
        <v>30</v>
      </c>
      <c r="M1542" s="23" t="s">
        <v>30</v>
      </c>
      <c r="N1542" s="22"/>
      <c r="O1542" s="22"/>
    </row>
    <row r="1543" spans="1:15" ht="13.5" customHeight="1" x14ac:dyDescent="0.25">
      <c r="A1543" s="1"/>
      <c r="B1543" s="20">
        <v>1531</v>
      </c>
      <c r="C1543" s="20">
        <v>2023</v>
      </c>
      <c r="D1543" s="20">
        <v>12004</v>
      </c>
      <c r="E1543" s="20" t="s">
        <v>5978</v>
      </c>
      <c r="F1543" s="20" t="s">
        <v>5979</v>
      </c>
      <c r="G1543" s="20" t="s">
        <v>5980</v>
      </c>
      <c r="H1543" s="20" t="s">
        <v>5981</v>
      </c>
      <c r="I1543" s="20" t="s">
        <v>62</v>
      </c>
      <c r="J1543" s="21">
        <v>2007</v>
      </c>
      <c r="K1543" s="20" t="s">
        <v>44</v>
      </c>
      <c r="L1543" s="21" t="s">
        <v>30</v>
      </c>
      <c r="M1543" s="21" t="s">
        <v>30</v>
      </c>
      <c r="N1543" s="20" t="s">
        <v>74</v>
      </c>
      <c r="O1543" s="20"/>
    </row>
    <row r="1544" spans="1:15" ht="13.5" customHeight="1" x14ac:dyDescent="0.25">
      <c r="A1544" s="1"/>
      <c r="B1544" s="22">
        <v>1532</v>
      </c>
      <c r="C1544" s="22">
        <v>2023</v>
      </c>
      <c r="D1544" s="22">
        <v>12608</v>
      </c>
      <c r="E1544" s="22" t="s">
        <v>5982</v>
      </c>
      <c r="F1544" s="22" t="s">
        <v>5983</v>
      </c>
      <c r="G1544" s="22" t="s">
        <v>5984</v>
      </c>
      <c r="H1544" s="22" t="s">
        <v>5985</v>
      </c>
      <c r="I1544" s="22" t="s">
        <v>62</v>
      </c>
      <c r="J1544" s="23">
        <v>2009</v>
      </c>
      <c r="K1544" s="22" t="s">
        <v>44</v>
      </c>
      <c r="L1544" s="23" t="s">
        <v>30</v>
      </c>
      <c r="M1544" s="23" t="s">
        <v>30</v>
      </c>
      <c r="N1544" s="22" t="s">
        <v>1103</v>
      </c>
      <c r="O1544" s="22"/>
    </row>
    <row r="1545" spans="1:15" ht="13.5" customHeight="1" x14ac:dyDescent="0.25">
      <c r="A1545" s="1"/>
      <c r="B1545" s="20">
        <v>1533</v>
      </c>
      <c r="C1545" s="20">
        <v>2023</v>
      </c>
      <c r="D1545" s="20">
        <v>11006</v>
      </c>
      <c r="E1545" s="20" t="s">
        <v>5986</v>
      </c>
      <c r="F1545" s="20" t="s">
        <v>5987</v>
      </c>
      <c r="G1545" s="20" t="s">
        <v>5988</v>
      </c>
      <c r="H1545" s="20" t="s">
        <v>5989</v>
      </c>
      <c r="I1545" s="20" t="s">
        <v>62</v>
      </c>
      <c r="J1545" s="21">
        <v>2000</v>
      </c>
      <c r="K1545" s="20" t="s">
        <v>44</v>
      </c>
      <c r="L1545" s="21" t="s">
        <v>30</v>
      </c>
      <c r="M1545" s="21" t="s">
        <v>30</v>
      </c>
      <c r="N1545" s="20"/>
      <c r="O1545" s="20"/>
    </row>
    <row r="1546" spans="1:15" ht="13.5" customHeight="1" x14ac:dyDescent="0.25">
      <c r="A1546" s="1"/>
      <c r="B1546" s="22">
        <v>1534</v>
      </c>
      <c r="C1546" s="22">
        <v>2023</v>
      </c>
      <c r="D1546" s="22">
        <v>11040</v>
      </c>
      <c r="E1546" s="22" t="s">
        <v>5990</v>
      </c>
      <c r="F1546" s="22" t="s">
        <v>5991</v>
      </c>
      <c r="G1546" s="22"/>
      <c r="H1546" s="22" t="s">
        <v>5992</v>
      </c>
      <c r="I1546" s="22" t="s">
        <v>23</v>
      </c>
      <c r="J1546" s="23">
        <v>2000</v>
      </c>
      <c r="K1546" s="22" t="s">
        <v>63</v>
      </c>
      <c r="L1546" s="23"/>
      <c r="M1546" s="23" t="s">
        <v>30</v>
      </c>
      <c r="N1546" s="22"/>
      <c r="O1546" s="22"/>
    </row>
    <row r="1547" spans="1:15" ht="13.5" customHeight="1" x14ac:dyDescent="0.25">
      <c r="A1547" s="1"/>
      <c r="B1547" s="20">
        <v>1535</v>
      </c>
      <c r="C1547" s="20">
        <v>2023</v>
      </c>
      <c r="D1547" s="20">
        <v>10107</v>
      </c>
      <c r="E1547" s="20" t="s">
        <v>5993</v>
      </c>
      <c r="F1547" s="20" t="s">
        <v>5994</v>
      </c>
      <c r="G1547" s="20" t="s">
        <v>5995</v>
      </c>
      <c r="H1547" s="20" t="s">
        <v>5996</v>
      </c>
      <c r="I1547" s="20" t="s">
        <v>23</v>
      </c>
      <c r="J1547" s="21">
        <v>2000</v>
      </c>
      <c r="K1547" s="20" t="s">
        <v>44</v>
      </c>
      <c r="L1547" s="21" t="s">
        <v>30</v>
      </c>
      <c r="M1547" s="21" t="s">
        <v>30</v>
      </c>
      <c r="N1547" s="20"/>
      <c r="O1547" s="20"/>
    </row>
    <row r="1548" spans="1:15" ht="13.5" customHeight="1" x14ac:dyDescent="0.25">
      <c r="A1548" s="1"/>
      <c r="B1548" s="22">
        <v>1536</v>
      </c>
      <c r="C1548" s="22">
        <v>2023</v>
      </c>
      <c r="D1548" s="22">
        <v>12532</v>
      </c>
      <c r="E1548" s="22" t="s">
        <v>5997</v>
      </c>
      <c r="F1548" s="22" t="s">
        <v>5998</v>
      </c>
      <c r="G1548" s="22" t="s">
        <v>5999</v>
      </c>
      <c r="H1548" s="22" t="s">
        <v>6000</v>
      </c>
      <c r="I1548" s="22" t="s">
        <v>23</v>
      </c>
      <c r="J1548" s="23">
        <v>2009</v>
      </c>
      <c r="K1548" s="22" t="s">
        <v>44</v>
      </c>
      <c r="L1548" s="23" t="s">
        <v>30</v>
      </c>
      <c r="M1548" s="23" t="s">
        <v>30</v>
      </c>
      <c r="N1548" s="22" t="s">
        <v>1103</v>
      </c>
      <c r="O1548" s="22"/>
    </row>
    <row r="1549" spans="1:15" ht="13.5" customHeight="1" x14ac:dyDescent="0.25">
      <c r="A1549" s="1"/>
      <c r="B1549" s="20">
        <v>1537</v>
      </c>
      <c r="C1549" s="20">
        <v>2023</v>
      </c>
      <c r="D1549" s="20">
        <v>40096</v>
      </c>
      <c r="E1549" s="20" t="s">
        <v>6001</v>
      </c>
      <c r="F1549" s="20" t="s">
        <v>6002</v>
      </c>
      <c r="G1549" s="20"/>
      <c r="H1549" s="20" t="s">
        <v>6003</v>
      </c>
      <c r="I1549" s="20" t="s">
        <v>23</v>
      </c>
      <c r="J1549" s="21">
        <v>2012</v>
      </c>
      <c r="K1549" s="20" t="s">
        <v>44</v>
      </c>
      <c r="L1549" s="21"/>
      <c r="M1549" s="21"/>
      <c r="N1549" s="20"/>
      <c r="O1549" s="20"/>
    </row>
    <row r="1550" spans="1:15" ht="13.5" customHeight="1" x14ac:dyDescent="0.25">
      <c r="A1550" s="1"/>
      <c r="B1550" s="22">
        <v>1538</v>
      </c>
      <c r="C1550" s="22">
        <v>2023</v>
      </c>
      <c r="D1550" s="22">
        <v>11579</v>
      </c>
      <c r="E1550" s="22" t="s">
        <v>6004</v>
      </c>
      <c r="F1550" s="22" t="s">
        <v>6005</v>
      </c>
      <c r="G1550" s="22" t="s">
        <v>6006</v>
      </c>
      <c r="H1550" s="22" t="s">
        <v>6007</v>
      </c>
      <c r="I1550" s="22" t="s">
        <v>23</v>
      </c>
      <c r="J1550" s="23">
        <v>2007</v>
      </c>
      <c r="K1550" s="22" t="s">
        <v>44</v>
      </c>
      <c r="L1550" s="23" t="s">
        <v>30</v>
      </c>
      <c r="M1550" s="23" t="s">
        <v>30</v>
      </c>
      <c r="N1550" s="22" t="s">
        <v>245</v>
      </c>
      <c r="O1550" s="22"/>
    </row>
    <row r="1551" spans="1:15" ht="13.5" customHeight="1" x14ac:dyDescent="0.25">
      <c r="A1551" s="1"/>
      <c r="B1551" s="20">
        <v>1539</v>
      </c>
      <c r="C1551" s="20">
        <v>2023</v>
      </c>
      <c r="D1551" s="20">
        <v>13394</v>
      </c>
      <c r="E1551" s="20" t="s">
        <v>6008</v>
      </c>
      <c r="F1551" s="20" t="s">
        <v>6009</v>
      </c>
      <c r="G1551" s="20" t="s">
        <v>6010</v>
      </c>
      <c r="H1551" s="20" t="s">
        <v>6011</v>
      </c>
      <c r="I1551" s="20" t="s">
        <v>23</v>
      </c>
      <c r="J1551" s="21">
        <v>2000</v>
      </c>
      <c r="K1551" s="20" t="s">
        <v>73</v>
      </c>
      <c r="L1551" s="21" t="s">
        <v>30</v>
      </c>
      <c r="M1551" s="21"/>
      <c r="N1551" s="20" t="s">
        <v>275</v>
      </c>
      <c r="O1551" s="20"/>
    </row>
    <row r="1552" spans="1:15" ht="13.5" customHeight="1" x14ac:dyDescent="0.25">
      <c r="A1552" s="1"/>
      <c r="B1552" s="22">
        <v>1540</v>
      </c>
      <c r="C1552" s="22">
        <v>2023</v>
      </c>
      <c r="D1552" s="22">
        <v>11786</v>
      </c>
      <c r="E1552" s="22" t="s">
        <v>6012</v>
      </c>
      <c r="F1552" s="22" t="s">
        <v>6013</v>
      </c>
      <c r="G1552" s="22" t="s">
        <v>6014</v>
      </c>
      <c r="H1552" s="22" t="s">
        <v>6015</v>
      </c>
      <c r="I1552" s="22" t="s">
        <v>223</v>
      </c>
      <c r="J1552" s="23">
        <v>2007</v>
      </c>
      <c r="K1552" s="22" t="s">
        <v>44</v>
      </c>
      <c r="L1552" s="23" t="s">
        <v>30</v>
      </c>
      <c r="M1552" s="23" t="s">
        <v>30</v>
      </c>
      <c r="N1552" s="22" t="s">
        <v>245</v>
      </c>
      <c r="O1552" s="22"/>
    </row>
    <row r="1553" spans="1:15" ht="13.5" customHeight="1" x14ac:dyDescent="0.25">
      <c r="A1553" s="1"/>
      <c r="B1553" s="20">
        <v>1541</v>
      </c>
      <c r="C1553" s="20">
        <v>2023</v>
      </c>
      <c r="D1553" s="20">
        <v>498</v>
      </c>
      <c r="E1553" s="20" t="s">
        <v>6016</v>
      </c>
      <c r="F1553" s="20" t="s">
        <v>6017</v>
      </c>
      <c r="G1553" s="20" t="s">
        <v>6018</v>
      </c>
      <c r="H1553" s="20" t="s">
        <v>6019</v>
      </c>
      <c r="I1553" s="20" t="s">
        <v>23</v>
      </c>
      <c r="J1553" s="21">
        <v>2000</v>
      </c>
      <c r="K1553" s="20" t="s">
        <v>44</v>
      </c>
      <c r="L1553" s="21" t="s">
        <v>30</v>
      </c>
      <c r="M1553" s="21" t="s">
        <v>30</v>
      </c>
      <c r="N1553" s="20"/>
      <c r="O1553" s="20"/>
    </row>
    <row r="1554" spans="1:15" ht="13.5" customHeight="1" x14ac:dyDescent="0.25">
      <c r="A1554" s="1"/>
      <c r="B1554" s="22">
        <v>1542</v>
      </c>
      <c r="C1554" s="22">
        <v>2023</v>
      </c>
      <c r="D1554" s="22">
        <v>208</v>
      </c>
      <c r="E1554" s="22" t="s">
        <v>6020</v>
      </c>
      <c r="F1554" s="22" t="s">
        <v>6021</v>
      </c>
      <c r="G1554" s="22" t="s">
        <v>6022</v>
      </c>
      <c r="H1554" s="22" t="s">
        <v>6023</v>
      </c>
      <c r="I1554" s="22" t="s">
        <v>23</v>
      </c>
      <c r="J1554" s="23">
        <v>2000</v>
      </c>
      <c r="K1554" s="22" t="s">
        <v>44</v>
      </c>
      <c r="L1554" s="23" t="s">
        <v>30</v>
      </c>
      <c r="M1554" s="23" t="s">
        <v>30</v>
      </c>
      <c r="N1554" s="22"/>
      <c r="O1554" s="22"/>
    </row>
    <row r="1555" spans="1:15" ht="13.5" customHeight="1" x14ac:dyDescent="0.25">
      <c r="A1555" s="1"/>
      <c r="B1555" s="20">
        <v>1543</v>
      </c>
      <c r="C1555" s="20">
        <v>2023</v>
      </c>
      <c r="D1555" s="20">
        <v>591</v>
      </c>
      <c r="E1555" s="20" t="s">
        <v>6024</v>
      </c>
      <c r="F1555" s="20" t="s">
        <v>6025</v>
      </c>
      <c r="G1555" s="20" t="s">
        <v>6026</v>
      </c>
      <c r="H1555" s="20" t="s">
        <v>6027</v>
      </c>
      <c r="I1555" s="20" t="s">
        <v>23</v>
      </c>
      <c r="J1555" s="21">
        <v>2000</v>
      </c>
      <c r="K1555" s="20" t="s">
        <v>44</v>
      </c>
      <c r="L1555" s="21" t="s">
        <v>30</v>
      </c>
      <c r="M1555" s="21" t="s">
        <v>30</v>
      </c>
      <c r="N1555" s="20"/>
      <c r="O1555" s="20"/>
    </row>
    <row r="1556" spans="1:15" ht="13.5" customHeight="1" x14ac:dyDescent="0.25">
      <c r="A1556" s="1"/>
      <c r="B1556" s="22">
        <v>1544</v>
      </c>
      <c r="C1556" s="22">
        <v>2023</v>
      </c>
      <c r="D1556" s="22">
        <v>209</v>
      </c>
      <c r="E1556" s="22" t="s">
        <v>6028</v>
      </c>
      <c r="F1556" s="22" t="s">
        <v>6029</v>
      </c>
      <c r="G1556" s="22" t="s">
        <v>6030</v>
      </c>
      <c r="H1556" s="22" t="s">
        <v>6031</v>
      </c>
      <c r="I1556" s="22" t="s">
        <v>23</v>
      </c>
      <c r="J1556" s="23">
        <v>2000</v>
      </c>
      <c r="K1556" s="22" t="s">
        <v>44</v>
      </c>
      <c r="L1556" s="23" t="s">
        <v>30</v>
      </c>
      <c r="M1556" s="23" t="s">
        <v>30</v>
      </c>
      <c r="N1556" s="22"/>
      <c r="O1556" s="22"/>
    </row>
    <row r="1557" spans="1:15" ht="13.5" customHeight="1" x14ac:dyDescent="0.25">
      <c r="A1557" s="1"/>
      <c r="B1557" s="20">
        <v>1545</v>
      </c>
      <c r="C1557" s="20">
        <v>2023</v>
      </c>
      <c r="D1557" s="20">
        <v>11018</v>
      </c>
      <c r="E1557" s="20" t="s">
        <v>6032</v>
      </c>
      <c r="F1557" s="20" t="s">
        <v>6033</v>
      </c>
      <c r="G1557" s="20" t="s">
        <v>6034</v>
      </c>
      <c r="H1557" s="20" t="s">
        <v>6035</v>
      </c>
      <c r="I1557" s="20" t="s">
        <v>23</v>
      </c>
      <c r="J1557" s="21">
        <v>2000</v>
      </c>
      <c r="K1557" s="20" t="s">
        <v>63</v>
      </c>
      <c r="L1557" s="21" t="s">
        <v>30</v>
      </c>
      <c r="M1557" s="21" t="s">
        <v>30</v>
      </c>
      <c r="N1557" s="20"/>
      <c r="O1557" s="20"/>
    </row>
    <row r="1558" spans="1:15" ht="13.5" customHeight="1" x14ac:dyDescent="0.25">
      <c r="A1558" s="1"/>
      <c r="B1558" s="22">
        <v>1546</v>
      </c>
      <c r="C1558" s="22">
        <v>2023</v>
      </c>
      <c r="D1558" s="22">
        <v>11012</v>
      </c>
      <c r="E1558" s="22" t="s">
        <v>6036</v>
      </c>
      <c r="F1558" s="22" t="s">
        <v>6037</v>
      </c>
      <c r="G1558" s="22" t="s">
        <v>6038</v>
      </c>
      <c r="H1558" s="22" t="s">
        <v>6039</v>
      </c>
      <c r="I1558" s="22" t="s">
        <v>23</v>
      </c>
      <c r="J1558" s="23">
        <v>2000</v>
      </c>
      <c r="K1558" s="22" t="s">
        <v>67</v>
      </c>
      <c r="L1558" s="23" t="s">
        <v>30</v>
      </c>
      <c r="M1558" s="23" t="s">
        <v>30</v>
      </c>
      <c r="N1558" s="22"/>
      <c r="O1558" s="22"/>
    </row>
    <row r="1559" spans="1:15" ht="13.5" customHeight="1" x14ac:dyDescent="0.25">
      <c r="A1559" s="1"/>
      <c r="B1559" s="20">
        <v>1547</v>
      </c>
      <c r="C1559" s="20">
        <v>2023</v>
      </c>
      <c r="D1559" s="20">
        <v>11029</v>
      </c>
      <c r="E1559" s="20" t="s">
        <v>6040</v>
      </c>
      <c r="F1559" s="20" t="s">
        <v>6041</v>
      </c>
      <c r="G1559" s="20" t="s">
        <v>6042</v>
      </c>
      <c r="H1559" s="20" t="s">
        <v>6043</v>
      </c>
      <c r="I1559" s="20" t="s">
        <v>23</v>
      </c>
      <c r="J1559" s="21">
        <v>2000</v>
      </c>
      <c r="K1559" s="20" t="s">
        <v>24</v>
      </c>
      <c r="L1559" s="21" t="s">
        <v>30</v>
      </c>
      <c r="M1559" s="21" t="s">
        <v>30</v>
      </c>
      <c r="N1559" s="20"/>
      <c r="O1559" s="20"/>
    </row>
    <row r="1560" spans="1:15" ht="13.5" customHeight="1" x14ac:dyDescent="0.25">
      <c r="A1560" s="1"/>
      <c r="B1560" s="22">
        <v>1548</v>
      </c>
      <c r="C1560" s="22">
        <v>2023</v>
      </c>
      <c r="D1560" s="22">
        <v>42558</v>
      </c>
      <c r="E1560" s="22" t="s">
        <v>6044</v>
      </c>
      <c r="F1560" s="22" t="s">
        <v>6045</v>
      </c>
      <c r="G1560" s="22" t="s">
        <v>6046</v>
      </c>
      <c r="H1560" s="22" t="s">
        <v>6047</v>
      </c>
      <c r="I1560" s="22" t="s">
        <v>23</v>
      </c>
      <c r="J1560" s="23">
        <v>2019</v>
      </c>
      <c r="K1560" s="22" t="s">
        <v>67</v>
      </c>
      <c r="L1560" s="23" t="s">
        <v>30</v>
      </c>
      <c r="M1560" s="23"/>
      <c r="N1560" s="22" t="s">
        <v>218</v>
      </c>
      <c r="O1560" s="22"/>
    </row>
    <row r="1561" spans="1:15" ht="13.5" customHeight="1" x14ac:dyDescent="0.25">
      <c r="A1561" s="1"/>
      <c r="B1561" s="20">
        <v>1549</v>
      </c>
      <c r="C1561" s="20">
        <v>2023</v>
      </c>
      <c r="D1561" s="20">
        <v>11964</v>
      </c>
      <c r="E1561" s="20" t="s">
        <v>6048</v>
      </c>
      <c r="F1561" s="20" t="s">
        <v>6049</v>
      </c>
      <c r="G1561" s="20" t="s">
        <v>6050</v>
      </c>
      <c r="H1561" s="20" t="s">
        <v>6051</v>
      </c>
      <c r="I1561" s="20" t="s">
        <v>62</v>
      </c>
      <c r="J1561" s="21">
        <v>2007</v>
      </c>
      <c r="K1561" s="20" t="s">
        <v>63</v>
      </c>
      <c r="L1561" s="21" t="s">
        <v>30</v>
      </c>
      <c r="M1561" s="21" t="s">
        <v>30</v>
      </c>
      <c r="N1561" s="20" t="s">
        <v>74</v>
      </c>
      <c r="O1561" s="20"/>
    </row>
    <row r="1562" spans="1:15" ht="13.5" customHeight="1" x14ac:dyDescent="0.25">
      <c r="A1562" s="1"/>
      <c r="B1562" s="22">
        <v>1550</v>
      </c>
      <c r="C1562" s="22">
        <v>2023</v>
      </c>
      <c r="D1562" s="22">
        <v>11043</v>
      </c>
      <c r="E1562" s="22" t="s">
        <v>6052</v>
      </c>
      <c r="F1562" s="22" t="s">
        <v>6053</v>
      </c>
      <c r="G1562" s="22" t="s">
        <v>6054</v>
      </c>
      <c r="H1562" s="22" t="s">
        <v>6055</v>
      </c>
      <c r="I1562" s="22" t="s">
        <v>23</v>
      </c>
      <c r="J1562" s="23">
        <v>2000</v>
      </c>
      <c r="K1562" s="22" t="s">
        <v>67</v>
      </c>
      <c r="L1562" s="23" t="s">
        <v>30</v>
      </c>
      <c r="M1562" s="23" t="s">
        <v>30</v>
      </c>
      <c r="N1562" s="22"/>
      <c r="O1562" s="22"/>
    </row>
    <row r="1563" spans="1:15" ht="13.5" customHeight="1" x14ac:dyDescent="0.25">
      <c r="A1563" s="1"/>
      <c r="B1563" s="20">
        <v>1551</v>
      </c>
      <c r="C1563" s="20">
        <v>2023</v>
      </c>
      <c r="D1563" s="20">
        <v>11517</v>
      </c>
      <c r="E1563" s="20" t="s">
        <v>6056</v>
      </c>
      <c r="F1563" s="20" t="s">
        <v>6057</v>
      </c>
      <c r="G1563" s="20" t="s">
        <v>6058</v>
      </c>
      <c r="H1563" s="20" t="s">
        <v>6059</v>
      </c>
      <c r="I1563" s="20" t="s">
        <v>23</v>
      </c>
      <c r="J1563" s="21">
        <v>2000</v>
      </c>
      <c r="K1563" s="20" t="s">
        <v>34</v>
      </c>
      <c r="L1563" s="21" t="s">
        <v>30</v>
      </c>
      <c r="M1563" s="21" t="s">
        <v>30</v>
      </c>
      <c r="N1563" s="20"/>
      <c r="O1563" s="20"/>
    </row>
    <row r="1564" spans="1:15" ht="13.5" customHeight="1" x14ac:dyDescent="0.25">
      <c r="A1564" s="1"/>
      <c r="B1564" s="22">
        <v>1552</v>
      </c>
      <c r="C1564" s="22">
        <v>2023</v>
      </c>
      <c r="D1564" s="22">
        <v>430</v>
      </c>
      <c r="E1564" s="22" t="s">
        <v>6060</v>
      </c>
      <c r="F1564" s="22" t="s">
        <v>6061</v>
      </c>
      <c r="G1564" s="22" t="s">
        <v>6062</v>
      </c>
      <c r="H1564" s="22" t="s">
        <v>6063</v>
      </c>
      <c r="I1564" s="22" t="s">
        <v>23</v>
      </c>
      <c r="J1564" s="23">
        <v>2000</v>
      </c>
      <c r="K1564" s="22" t="s">
        <v>34</v>
      </c>
      <c r="L1564" s="23" t="s">
        <v>30</v>
      </c>
      <c r="M1564" s="23" t="s">
        <v>30</v>
      </c>
      <c r="N1564" s="22"/>
      <c r="O1564" s="22"/>
    </row>
    <row r="1565" spans="1:15" ht="13.5" customHeight="1" x14ac:dyDescent="0.25">
      <c r="A1565" s="1"/>
      <c r="B1565" s="20">
        <v>1553</v>
      </c>
      <c r="C1565" s="20">
        <v>2023</v>
      </c>
      <c r="D1565" s="20">
        <v>795</v>
      </c>
      <c r="E1565" s="20" t="s">
        <v>6064</v>
      </c>
      <c r="F1565" s="20" t="s">
        <v>6065</v>
      </c>
      <c r="G1565" s="20" t="s">
        <v>6066</v>
      </c>
      <c r="H1565" s="20" t="s">
        <v>6067</v>
      </c>
      <c r="I1565" s="20" t="s">
        <v>23</v>
      </c>
      <c r="J1565" s="21">
        <v>2000</v>
      </c>
      <c r="K1565" s="20" t="s">
        <v>39</v>
      </c>
      <c r="L1565" s="21" t="s">
        <v>30</v>
      </c>
      <c r="M1565" s="21" t="s">
        <v>30</v>
      </c>
      <c r="N1565" s="20"/>
      <c r="O1565" s="20"/>
    </row>
    <row r="1566" spans="1:15" ht="13.5" customHeight="1" x14ac:dyDescent="0.25">
      <c r="A1566" s="1"/>
      <c r="B1566" s="22">
        <v>1554</v>
      </c>
      <c r="C1566" s="22">
        <v>2023</v>
      </c>
      <c r="D1566" s="22">
        <v>12032</v>
      </c>
      <c r="E1566" s="22" t="s">
        <v>6068</v>
      </c>
      <c r="F1566" s="22" t="s">
        <v>6069</v>
      </c>
      <c r="G1566" s="22"/>
      <c r="H1566" s="22" t="s">
        <v>6070</v>
      </c>
      <c r="I1566" s="22" t="s">
        <v>23</v>
      </c>
      <c r="J1566" s="23">
        <v>2000</v>
      </c>
      <c r="K1566" s="22" t="s">
        <v>39</v>
      </c>
      <c r="L1566" s="23"/>
      <c r="M1566" s="23" t="s">
        <v>30</v>
      </c>
      <c r="N1566" s="22" t="s">
        <v>74</v>
      </c>
      <c r="O1566" s="22"/>
    </row>
    <row r="1567" spans="1:15" ht="13.5" customHeight="1" x14ac:dyDescent="0.25">
      <c r="A1567" s="1"/>
      <c r="B1567" s="20">
        <v>1555</v>
      </c>
      <c r="C1567" s="20">
        <v>2023</v>
      </c>
      <c r="D1567" s="20">
        <v>40670</v>
      </c>
      <c r="E1567" s="20" t="s">
        <v>6071</v>
      </c>
      <c r="F1567" s="20" t="s">
        <v>6072</v>
      </c>
      <c r="G1567" s="20"/>
      <c r="H1567" s="20" t="s">
        <v>6073</v>
      </c>
      <c r="I1567" s="20" t="s">
        <v>23</v>
      </c>
      <c r="J1567" s="21">
        <v>2011</v>
      </c>
      <c r="K1567" s="20" t="s">
        <v>73</v>
      </c>
      <c r="L1567" s="21"/>
      <c r="M1567" s="21"/>
      <c r="N1567" s="20" t="s">
        <v>53</v>
      </c>
      <c r="O1567" s="20"/>
    </row>
    <row r="1568" spans="1:15" ht="13.5" customHeight="1" x14ac:dyDescent="0.25">
      <c r="A1568" s="1"/>
      <c r="B1568" s="22">
        <v>1556</v>
      </c>
      <c r="C1568" s="22">
        <v>2023</v>
      </c>
      <c r="D1568" s="22">
        <v>44</v>
      </c>
      <c r="E1568" s="22" t="s">
        <v>6074</v>
      </c>
      <c r="F1568" s="22" t="s">
        <v>6075</v>
      </c>
      <c r="G1568" s="22" t="s">
        <v>6076</v>
      </c>
      <c r="H1568" s="22" t="s">
        <v>6077</v>
      </c>
      <c r="I1568" s="22" t="s">
        <v>23</v>
      </c>
      <c r="J1568" s="23">
        <v>2004</v>
      </c>
      <c r="K1568" s="22" t="s">
        <v>34</v>
      </c>
      <c r="L1568" s="23" t="s">
        <v>30</v>
      </c>
      <c r="M1568" s="23" t="s">
        <v>30</v>
      </c>
      <c r="N1568" s="22"/>
      <c r="O1568" s="22"/>
    </row>
    <row r="1569" spans="1:15" ht="13.5" customHeight="1" x14ac:dyDescent="0.25">
      <c r="A1569" s="1"/>
      <c r="B1569" s="20">
        <v>1557</v>
      </c>
      <c r="C1569" s="20">
        <v>2023</v>
      </c>
      <c r="D1569" s="20">
        <v>11019</v>
      </c>
      <c r="E1569" s="20" t="s">
        <v>6078</v>
      </c>
      <c r="F1569" s="20" t="s">
        <v>6079</v>
      </c>
      <c r="G1569" s="20" t="s">
        <v>6080</v>
      </c>
      <c r="H1569" s="20" t="s">
        <v>6081</v>
      </c>
      <c r="I1569" s="20" t="s">
        <v>23</v>
      </c>
      <c r="J1569" s="21">
        <v>2000</v>
      </c>
      <c r="K1569" s="20" t="s">
        <v>73</v>
      </c>
      <c r="L1569" s="21" t="s">
        <v>30</v>
      </c>
      <c r="M1569" s="21" t="s">
        <v>30</v>
      </c>
      <c r="N1569" s="20"/>
      <c r="O1569" s="20"/>
    </row>
    <row r="1570" spans="1:15" ht="13.5" customHeight="1" x14ac:dyDescent="0.25">
      <c r="A1570" s="1"/>
      <c r="B1570" s="22">
        <v>1558</v>
      </c>
      <c r="C1570" s="22">
        <v>2023</v>
      </c>
      <c r="D1570" s="22">
        <v>42990</v>
      </c>
      <c r="E1570" s="22" t="s">
        <v>6082</v>
      </c>
      <c r="F1570" s="22" t="s">
        <v>6083</v>
      </c>
      <c r="G1570" s="22" t="s">
        <v>6084</v>
      </c>
      <c r="H1570" s="22" t="s">
        <v>6085</v>
      </c>
      <c r="I1570" s="22" t="s">
        <v>23</v>
      </c>
      <c r="J1570" s="23">
        <v>2019</v>
      </c>
      <c r="K1570" s="22" t="s">
        <v>95</v>
      </c>
      <c r="L1570" s="23" t="s">
        <v>30</v>
      </c>
      <c r="M1570" s="23"/>
      <c r="N1570" s="22" t="s">
        <v>218</v>
      </c>
      <c r="O1570" s="22"/>
    </row>
    <row r="1571" spans="1:15" ht="13.5" customHeight="1" x14ac:dyDescent="0.25">
      <c r="A1571" s="1"/>
      <c r="B1571" s="20">
        <v>1559</v>
      </c>
      <c r="C1571" s="20">
        <v>2023</v>
      </c>
      <c r="D1571" s="20">
        <v>9</v>
      </c>
      <c r="E1571" s="20" t="s">
        <v>6086</v>
      </c>
      <c r="F1571" s="20" t="s">
        <v>6087</v>
      </c>
      <c r="G1571" s="20" t="s">
        <v>6088</v>
      </c>
      <c r="H1571" s="20" t="s">
        <v>6089</v>
      </c>
      <c r="I1571" s="20" t="s">
        <v>223</v>
      </c>
      <c r="J1571" s="21">
        <v>2004</v>
      </c>
      <c r="K1571" s="20" t="s">
        <v>44</v>
      </c>
      <c r="L1571" s="21" t="s">
        <v>30</v>
      </c>
      <c r="M1571" s="21" t="s">
        <v>30</v>
      </c>
      <c r="N1571" s="20"/>
      <c r="O1571" s="20"/>
    </row>
    <row r="1572" spans="1:15" ht="13.5" customHeight="1" x14ac:dyDescent="0.25">
      <c r="A1572" s="1"/>
      <c r="B1572" s="22">
        <v>1560</v>
      </c>
      <c r="C1572" s="22">
        <v>2023</v>
      </c>
      <c r="D1572" s="22">
        <v>63</v>
      </c>
      <c r="E1572" s="22" t="s">
        <v>6090</v>
      </c>
      <c r="F1572" s="22" t="s">
        <v>6091</v>
      </c>
      <c r="G1572" s="22" t="s">
        <v>6092</v>
      </c>
      <c r="H1572" s="22" t="s">
        <v>6093</v>
      </c>
      <c r="I1572" s="22" t="s">
        <v>357</v>
      </c>
      <c r="J1572" s="23">
        <v>2000</v>
      </c>
      <c r="K1572" s="22" t="s">
        <v>39</v>
      </c>
      <c r="L1572" s="23" t="s">
        <v>30</v>
      </c>
      <c r="M1572" s="23"/>
      <c r="N1572" s="22"/>
      <c r="O1572" s="22"/>
    </row>
    <row r="1573" spans="1:15" ht="13.5" customHeight="1" x14ac:dyDescent="0.25">
      <c r="A1573" s="1"/>
      <c r="B1573" s="20">
        <v>1561</v>
      </c>
      <c r="C1573" s="20">
        <v>2023</v>
      </c>
      <c r="D1573" s="20">
        <v>350</v>
      </c>
      <c r="E1573" s="20" t="s">
        <v>6094</v>
      </c>
      <c r="F1573" s="20" t="s">
        <v>6095</v>
      </c>
      <c r="G1573" s="20" t="s">
        <v>6096</v>
      </c>
      <c r="H1573" s="20" t="s">
        <v>6097</v>
      </c>
      <c r="I1573" s="20" t="s">
        <v>23</v>
      </c>
      <c r="J1573" s="21">
        <v>2000</v>
      </c>
      <c r="K1573" s="20" t="s">
        <v>394</v>
      </c>
      <c r="L1573" s="21" t="s">
        <v>30</v>
      </c>
      <c r="M1573" s="21" t="s">
        <v>30</v>
      </c>
      <c r="N1573" s="20"/>
      <c r="O1573" s="20"/>
    </row>
    <row r="1574" spans="1:15" ht="13.5" customHeight="1" x14ac:dyDescent="0.25">
      <c r="A1574" s="1"/>
      <c r="B1574" s="22">
        <v>1562</v>
      </c>
      <c r="C1574" s="22">
        <v>2023</v>
      </c>
      <c r="D1574" s="22">
        <v>42755</v>
      </c>
      <c r="E1574" s="22" t="s">
        <v>6098</v>
      </c>
      <c r="F1574" s="22" t="s">
        <v>6099</v>
      </c>
      <c r="G1574" s="22" t="s">
        <v>6100</v>
      </c>
      <c r="H1574" s="22" t="s">
        <v>6101</v>
      </c>
      <c r="I1574" s="22" t="s">
        <v>62</v>
      </c>
      <c r="J1574" s="23">
        <v>2019</v>
      </c>
      <c r="K1574" s="22" t="s">
        <v>24</v>
      </c>
      <c r="L1574" s="23" t="s">
        <v>30</v>
      </c>
      <c r="M1574" s="23"/>
      <c r="N1574" s="22" t="s">
        <v>218</v>
      </c>
      <c r="O1574" s="22"/>
    </row>
    <row r="1575" spans="1:15" ht="13.5" customHeight="1" x14ac:dyDescent="0.25">
      <c r="A1575" s="1"/>
      <c r="B1575" s="20">
        <v>1563</v>
      </c>
      <c r="C1575" s="20">
        <v>2023</v>
      </c>
      <c r="D1575" s="20">
        <v>12293</v>
      </c>
      <c r="E1575" s="20" t="s">
        <v>6102</v>
      </c>
      <c r="F1575" s="20" t="s">
        <v>6103</v>
      </c>
      <c r="G1575" s="20"/>
      <c r="H1575" s="20" t="s">
        <v>6104</v>
      </c>
      <c r="I1575" s="20" t="s">
        <v>23</v>
      </c>
      <c r="J1575" s="21">
        <v>2009</v>
      </c>
      <c r="K1575" s="20" t="s">
        <v>67</v>
      </c>
      <c r="L1575" s="21"/>
      <c r="M1575" s="21" t="s">
        <v>30</v>
      </c>
      <c r="N1575" s="20" t="s">
        <v>1103</v>
      </c>
      <c r="O1575" s="20"/>
    </row>
    <row r="1576" spans="1:15" ht="13.5" customHeight="1" x14ac:dyDescent="0.25">
      <c r="A1576" s="1"/>
      <c r="B1576" s="22">
        <v>1564</v>
      </c>
      <c r="C1576" s="22">
        <v>2023</v>
      </c>
      <c r="D1576" s="22">
        <v>12254</v>
      </c>
      <c r="E1576" s="22" t="s">
        <v>6105</v>
      </c>
      <c r="F1576" s="22" t="s">
        <v>6106</v>
      </c>
      <c r="G1576" s="22" t="s">
        <v>6107</v>
      </c>
      <c r="H1576" s="22" t="s">
        <v>6108</v>
      </c>
      <c r="I1576" s="22" t="s">
        <v>357</v>
      </c>
      <c r="J1576" s="23">
        <v>2008</v>
      </c>
      <c r="K1576" s="22" t="s">
        <v>39</v>
      </c>
      <c r="L1576" s="23" t="s">
        <v>30</v>
      </c>
      <c r="M1576" s="23" t="s">
        <v>30</v>
      </c>
      <c r="N1576" s="22" t="s">
        <v>352</v>
      </c>
      <c r="O1576" s="22"/>
    </row>
    <row r="1577" spans="1:15" ht="13.5" customHeight="1" x14ac:dyDescent="0.25">
      <c r="A1577" s="1"/>
      <c r="B1577" s="20">
        <v>1565</v>
      </c>
      <c r="C1577" s="20">
        <v>2023</v>
      </c>
      <c r="D1577" s="20">
        <v>13421</v>
      </c>
      <c r="E1577" s="20" t="s">
        <v>6109</v>
      </c>
      <c r="F1577" s="20" t="s">
        <v>6110</v>
      </c>
      <c r="G1577" s="20" t="s">
        <v>6111</v>
      </c>
      <c r="H1577" s="20" t="s">
        <v>6112</v>
      </c>
      <c r="I1577" s="20" t="s">
        <v>23</v>
      </c>
      <c r="J1577" s="21">
        <v>2000</v>
      </c>
      <c r="K1577" s="20" t="s">
        <v>203</v>
      </c>
      <c r="L1577" s="21" t="s">
        <v>30</v>
      </c>
      <c r="M1577" s="21"/>
      <c r="N1577" s="20" t="s">
        <v>275</v>
      </c>
      <c r="O1577" s="20"/>
    </row>
    <row r="1578" spans="1:15" ht="13.5" customHeight="1" x14ac:dyDescent="0.25">
      <c r="A1578" s="1"/>
      <c r="B1578" s="22">
        <v>1566</v>
      </c>
      <c r="C1578" s="22">
        <v>2023</v>
      </c>
      <c r="D1578" s="22">
        <v>11011</v>
      </c>
      <c r="E1578" s="22" t="s">
        <v>6113</v>
      </c>
      <c r="F1578" s="22" t="s">
        <v>6114</v>
      </c>
      <c r="G1578" s="22" t="s">
        <v>6115</v>
      </c>
      <c r="H1578" s="22" t="s">
        <v>6116</v>
      </c>
      <c r="I1578" s="22" t="s">
        <v>23</v>
      </c>
      <c r="J1578" s="23">
        <v>2000</v>
      </c>
      <c r="K1578" s="22" t="s">
        <v>34</v>
      </c>
      <c r="L1578" s="23" t="s">
        <v>30</v>
      </c>
      <c r="M1578" s="23" t="s">
        <v>30</v>
      </c>
      <c r="N1578" s="22"/>
      <c r="O1578" s="22"/>
    </row>
    <row r="1579" spans="1:15" ht="13.5" customHeight="1" x14ac:dyDescent="0.25">
      <c r="A1579" s="1"/>
      <c r="B1579" s="20">
        <v>1567</v>
      </c>
      <c r="C1579" s="20">
        <v>2023</v>
      </c>
      <c r="D1579" s="20">
        <v>11306</v>
      </c>
      <c r="E1579" s="20" t="s">
        <v>6117</v>
      </c>
      <c r="F1579" s="20" t="s">
        <v>6118</v>
      </c>
      <c r="G1579" s="20"/>
      <c r="H1579" s="20" t="s">
        <v>6119</v>
      </c>
      <c r="I1579" s="20" t="s">
        <v>23</v>
      </c>
      <c r="J1579" s="21">
        <v>2005</v>
      </c>
      <c r="K1579" s="20" t="s">
        <v>34</v>
      </c>
      <c r="L1579" s="21"/>
      <c r="M1579" s="21" t="s">
        <v>30</v>
      </c>
      <c r="N1579" s="20"/>
      <c r="O1579" s="20"/>
    </row>
    <row r="1580" spans="1:15" ht="13.5" customHeight="1" x14ac:dyDescent="0.25">
      <c r="A1580" s="1"/>
      <c r="B1580" s="22">
        <v>1568</v>
      </c>
      <c r="C1580" s="22">
        <v>2023</v>
      </c>
      <c r="D1580" s="22">
        <v>11409</v>
      </c>
      <c r="E1580" s="22" t="s">
        <v>6120</v>
      </c>
      <c r="F1580" s="22" t="s">
        <v>6121</v>
      </c>
      <c r="G1580" s="22" t="s">
        <v>6122</v>
      </c>
      <c r="H1580" s="22" t="s">
        <v>6123</v>
      </c>
      <c r="I1580" s="22" t="s">
        <v>23</v>
      </c>
      <c r="J1580" s="23">
        <v>2006</v>
      </c>
      <c r="K1580" s="22" t="s">
        <v>73</v>
      </c>
      <c r="L1580" s="23" t="s">
        <v>30</v>
      </c>
      <c r="M1580" s="23" t="s">
        <v>30</v>
      </c>
      <c r="N1580" s="22"/>
      <c r="O1580" s="22"/>
    </row>
    <row r="1581" spans="1:15" ht="13.5" customHeight="1" x14ac:dyDescent="0.25">
      <c r="A1581" s="1"/>
      <c r="B1581" s="20">
        <v>1569</v>
      </c>
      <c r="C1581" s="20">
        <v>2023</v>
      </c>
      <c r="D1581" s="20">
        <v>11041</v>
      </c>
      <c r="E1581" s="20" t="s">
        <v>6124</v>
      </c>
      <c r="F1581" s="20" t="s">
        <v>6125</v>
      </c>
      <c r="G1581" s="20" t="s">
        <v>6126</v>
      </c>
      <c r="H1581" s="20" t="s">
        <v>6127</v>
      </c>
      <c r="I1581" s="20" t="s">
        <v>23</v>
      </c>
      <c r="J1581" s="21">
        <v>2000</v>
      </c>
      <c r="K1581" s="20" t="s">
        <v>24</v>
      </c>
      <c r="L1581" s="21" t="s">
        <v>30</v>
      </c>
      <c r="M1581" s="21" t="s">
        <v>30</v>
      </c>
      <c r="N1581" s="20"/>
      <c r="O1581" s="20"/>
    </row>
    <row r="1582" spans="1:15" ht="13.5" customHeight="1" x14ac:dyDescent="0.25">
      <c r="A1582" s="1"/>
      <c r="B1582" s="22">
        <v>1570</v>
      </c>
      <c r="C1582" s="22">
        <v>2023</v>
      </c>
      <c r="D1582" s="22">
        <v>13632</v>
      </c>
      <c r="E1582" s="22" t="s">
        <v>6128</v>
      </c>
      <c r="F1582" s="22" t="s">
        <v>6129</v>
      </c>
      <c r="G1582" s="22" t="s">
        <v>6130</v>
      </c>
      <c r="H1582" s="22" t="s">
        <v>6131</v>
      </c>
      <c r="I1582" s="22" t="s">
        <v>23</v>
      </c>
      <c r="J1582" s="23">
        <v>2012</v>
      </c>
      <c r="K1582" s="22" t="s">
        <v>24</v>
      </c>
      <c r="L1582" s="23" t="s">
        <v>30</v>
      </c>
      <c r="M1582" s="23"/>
      <c r="N1582" s="22" t="s">
        <v>324</v>
      </c>
      <c r="O1582" s="22"/>
    </row>
    <row r="1583" spans="1:15" ht="13.5" customHeight="1" x14ac:dyDescent="0.25">
      <c r="A1583" s="1"/>
      <c r="B1583" s="20">
        <v>1571</v>
      </c>
      <c r="C1583" s="20">
        <v>2023</v>
      </c>
      <c r="D1583" s="20">
        <v>11661</v>
      </c>
      <c r="E1583" s="20" t="s">
        <v>6132</v>
      </c>
      <c r="F1583" s="20" t="s">
        <v>6133</v>
      </c>
      <c r="G1583" s="20" t="s">
        <v>6134</v>
      </c>
      <c r="H1583" s="20" t="s">
        <v>6135</v>
      </c>
      <c r="I1583" s="20" t="s">
        <v>23</v>
      </c>
      <c r="J1583" s="21">
        <v>2000</v>
      </c>
      <c r="K1583" s="20" t="s">
        <v>24</v>
      </c>
      <c r="L1583" s="21" t="s">
        <v>30</v>
      </c>
      <c r="M1583" s="21" t="s">
        <v>30</v>
      </c>
      <c r="N1583" s="20" t="s">
        <v>74</v>
      </c>
      <c r="O1583" s="20"/>
    </row>
    <row r="1584" spans="1:15" ht="13.5" customHeight="1" x14ac:dyDescent="0.25">
      <c r="A1584" s="1"/>
      <c r="B1584" s="22">
        <v>1572</v>
      </c>
      <c r="C1584" s="22">
        <v>2023</v>
      </c>
      <c r="D1584" s="22">
        <v>11663</v>
      </c>
      <c r="E1584" s="22" t="s">
        <v>6136</v>
      </c>
      <c r="F1584" s="22" t="s">
        <v>6137</v>
      </c>
      <c r="G1584" s="22" t="s">
        <v>6138</v>
      </c>
      <c r="H1584" s="22" t="s">
        <v>6139</v>
      </c>
      <c r="I1584" s="22" t="s">
        <v>23</v>
      </c>
      <c r="J1584" s="23">
        <v>2000</v>
      </c>
      <c r="K1584" s="22" t="s">
        <v>24</v>
      </c>
      <c r="L1584" s="23" t="s">
        <v>30</v>
      </c>
      <c r="M1584" s="23" t="s">
        <v>30</v>
      </c>
      <c r="N1584" s="22" t="s">
        <v>74</v>
      </c>
      <c r="O1584" s="22"/>
    </row>
    <row r="1585" spans="1:15" ht="13.5" customHeight="1" x14ac:dyDescent="0.25">
      <c r="A1585" s="1"/>
      <c r="B1585" s="20">
        <v>1573</v>
      </c>
      <c r="C1585" s="20">
        <v>2023</v>
      </c>
      <c r="D1585" s="20">
        <v>11015</v>
      </c>
      <c r="E1585" s="20" t="s">
        <v>6140</v>
      </c>
      <c r="F1585" s="20" t="s">
        <v>6141</v>
      </c>
      <c r="G1585" s="20" t="s">
        <v>6142</v>
      </c>
      <c r="H1585" s="20" t="s">
        <v>6143</v>
      </c>
      <c r="I1585" s="20" t="s">
        <v>23</v>
      </c>
      <c r="J1585" s="21">
        <v>2000</v>
      </c>
      <c r="K1585" s="20" t="s">
        <v>24</v>
      </c>
      <c r="L1585" s="21" t="s">
        <v>30</v>
      </c>
      <c r="M1585" s="21" t="s">
        <v>30</v>
      </c>
      <c r="N1585" s="20"/>
      <c r="O1585" s="20"/>
    </row>
    <row r="1586" spans="1:15" ht="13.5" customHeight="1" x14ac:dyDescent="0.25">
      <c r="A1586" s="1"/>
      <c r="B1586" s="22">
        <v>1574</v>
      </c>
      <c r="C1586" s="22">
        <v>2023</v>
      </c>
      <c r="D1586" s="22">
        <v>12540</v>
      </c>
      <c r="E1586" s="22" t="s">
        <v>6144</v>
      </c>
      <c r="F1586" s="22" t="s">
        <v>6145</v>
      </c>
      <c r="G1586" s="22" t="s">
        <v>6146</v>
      </c>
      <c r="H1586" s="22" t="s">
        <v>6147</v>
      </c>
      <c r="I1586" s="22" t="s">
        <v>2495</v>
      </c>
      <c r="J1586" s="23">
        <v>2000</v>
      </c>
      <c r="K1586" s="22" t="s">
        <v>24</v>
      </c>
      <c r="L1586" s="23" t="s">
        <v>30</v>
      </c>
      <c r="M1586" s="23"/>
      <c r="N1586" s="22" t="s">
        <v>431</v>
      </c>
      <c r="O1586" s="22"/>
    </row>
    <row r="1587" spans="1:15" ht="13.5" customHeight="1" x14ac:dyDescent="0.25">
      <c r="A1587" s="1"/>
      <c r="B1587" s="20">
        <v>1575</v>
      </c>
      <c r="C1587" s="20">
        <v>2023</v>
      </c>
      <c r="D1587" s="20">
        <v>11016</v>
      </c>
      <c r="E1587" s="20" t="s">
        <v>6148</v>
      </c>
      <c r="F1587" s="20" t="s">
        <v>6149</v>
      </c>
      <c r="G1587" s="20" t="s">
        <v>6150</v>
      </c>
      <c r="H1587" s="20" t="s">
        <v>6151</v>
      </c>
      <c r="I1587" s="20" t="s">
        <v>23</v>
      </c>
      <c r="J1587" s="21">
        <v>2000</v>
      </c>
      <c r="K1587" s="20" t="s">
        <v>73</v>
      </c>
      <c r="L1587" s="21" t="s">
        <v>30</v>
      </c>
      <c r="M1587" s="21" t="s">
        <v>30</v>
      </c>
      <c r="N1587" s="20"/>
      <c r="O1587" s="20"/>
    </row>
    <row r="1588" spans="1:15" ht="13.5" customHeight="1" x14ac:dyDescent="0.25">
      <c r="A1588" s="1"/>
      <c r="B1588" s="22">
        <v>1576</v>
      </c>
      <c r="C1588" s="22">
        <v>2023</v>
      </c>
      <c r="D1588" s="22">
        <v>703</v>
      </c>
      <c r="E1588" s="22" t="s">
        <v>6152</v>
      </c>
      <c r="F1588" s="22" t="s">
        <v>6153</v>
      </c>
      <c r="G1588" s="22" t="s">
        <v>6154</v>
      </c>
      <c r="H1588" s="22" t="s">
        <v>6155</v>
      </c>
      <c r="I1588" s="22" t="s">
        <v>23</v>
      </c>
      <c r="J1588" s="23">
        <v>2000</v>
      </c>
      <c r="K1588" s="22" t="s">
        <v>95</v>
      </c>
      <c r="L1588" s="23" t="s">
        <v>30</v>
      </c>
      <c r="M1588" s="23" t="s">
        <v>30</v>
      </c>
      <c r="N1588" s="22"/>
      <c r="O1588" s="22"/>
    </row>
    <row r="1589" spans="1:15" ht="13.5" customHeight="1" x14ac:dyDescent="0.25">
      <c r="A1589" s="1"/>
      <c r="B1589" s="20">
        <v>1577</v>
      </c>
      <c r="C1589" s="20">
        <v>2023</v>
      </c>
      <c r="D1589" s="20">
        <v>11009</v>
      </c>
      <c r="E1589" s="20" t="s">
        <v>6156</v>
      </c>
      <c r="F1589" s="20" t="s">
        <v>6157</v>
      </c>
      <c r="G1589" s="20" t="s">
        <v>6158</v>
      </c>
      <c r="H1589" s="20" t="s">
        <v>6159</v>
      </c>
      <c r="I1589" s="20" t="s">
        <v>23</v>
      </c>
      <c r="J1589" s="21">
        <v>2000</v>
      </c>
      <c r="K1589" s="20" t="s">
        <v>44</v>
      </c>
      <c r="L1589" s="21" t="s">
        <v>30</v>
      </c>
      <c r="M1589" s="21" t="s">
        <v>30</v>
      </c>
      <c r="N1589" s="20"/>
      <c r="O1589" s="20"/>
    </row>
    <row r="1590" spans="1:15" ht="13.5" customHeight="1" x14ac:dyDescent="0.25">
      <c r="A1590" s="1"/>
      <c r="B1590" s="22">
        <v>1578</v>
      </c>
      <c r="C1590" s="22">
        <v>2023</v>
      </c>
      <c r="D1590" s="22">
        <v>184</v>
      </c>
      <c r="E1590" s="22" t="s">
        <v>6160</v>
      </c>
      <c r="F1590" s="22" t="s">
        <v>6161</v>
      </c>
      <c r="G1590" s="22" t="s">
        <v>6162</v>
      </c>
      <c r="H1590" s="22" t="s">
        <v>6163</v>
      </c>
      <c r="I1590" s="22" t="s">
        <v>23</v>
      </c>
      <c r="J1590" s="23">
        <v>2000</v>
      </c>
      <c r="K1590" s="22" t="s">
        <v>44</v>
      </c>
      <c r="L1590" s="23" t="s">
        <v>30</v>
      </c>
      <c r="M1590" s="23" t="s">
        <v>30</v>
      </c>
      <c r="N1590" s="22"/>
      <c r="O1590" s="22"/>
    </row>
    <row r="1591" spans="1:15" ht="13.5" customHeight="1" x14ac:dyDescent="0.25">
      <c r="A1591" s="1"/>
      <c r="B1591" s="20">
        <v>1579</v>
      </c>
      <c r="C1591" s="20">
        <v>2023</v>
      </c>
      <c r="D1591" s="20">
        <v>40300</v>
      </c>
      <c r="E1591" s="20" t="s">
        <v>6164</v>
      </c>
      <c r="F1591" s="20" t="s">
        <v>6165</v>
      </c>
      <c r="G1591" s="20" t="s">
        <v>6166</v>
      </c>
      <c r="H1591" s="20" t="s">
        <v>6167</v>
      </c>
      <c r="I1591" s="20" t="s">
        <v>23</v>
      </c>
      <c r="J1591" s="21">
        <v>2010</v>
      </c>
      <c r="K1591" s="20" t="s">
        <v>44</v>
      </c>
      <c r="L1591" s="21" t="s">
        <v>30</v>
      </c>
      <c r="M1591" s="21"/>
      <c r="N1591" s="20" t="s">
        <v>101</v>
      </c>
      <c r="O1591" s="20"/>
    </row>
    <row r="1592" spans="1:15" ht="13.5" customHeight="1" x14ac:dyDescent="0.25">
      <c r="A1592" s="1"/>
      <c r="B1592" s="22">
        <v>1580</v>
      </c>
      <c r="C1592" s="22">
        <v>2023</v>
      </c>
      <c r="D1592" s="22">
        <v>248</v>
      </c>
      <c r="E1592" s="22" t="s">
        <v>6168</v>
      </c>
      <c r="F1592" s="22" t="s">
        <v>6169</v>
      </c>
      <c r="G1592" s="22" t="s">
        <v>6170</v>
      </c>
      <c r="H1592" s="22" t="s">
        <v>6171</v>
      </c>
      <c r="I1592" s="22" t="s">
        <v>23</v>
      </c>
      <c r="J1592" s="23">
        <v>2000</v>
      </c>
      <c r="K1592" s="22" t="s">
        <v>34</v>
      </c>
      <c r="L1592" s="23" t="s">
        <v>30</v>
      </c>
      <c r="M1592" s="23" t="s">
        <v>30</v>
      </c>
      <c r="N1592" s="22"/>
      <c r="O1592" s="22"/>
    </row>
    <row r="1593" spans="1:15" ht="13.5" customHeight="1" x14ac:dyDescent="0.25">
      <c r="A1593" s="1"/>
      <c r="B1593" s="20">
        <v>1581</v>
      </c>
      <c r="C1593" s="20">
        <v>2023</v>
      </c>
      <c r="D1593" s="20">
        <v>11021</v>
      </c>
      <c r="E1593" s="20" t="s">
        <v>6172</v>
      </c>
      <c r="F1593" s="20" t="s">
        <v>6173</v>
      </c>
      <c r="G1593" s="20" t="s">
        <v>6174</v>
      </c>
      <c r="H1593" s="20" t="s">
        <v>6175</v>
      </c>
      <c r="I1593" s="20" t="s">
        <v>62</v>
      </c>
      <c r="J1593" s="21">
        <v>2000</v>
      </c>
      <c r="K1593" s="20" t="s">
        <v>34</v>
      </c>
      <c r="L1593" s="21" t="s">
        <v>30</v>
      </c>
      <c r="M1593" s="21" t="s">
        <v>30</v>
      </c>
      <c r="N1593" s="20"/>
      <c r="O1593" s="20"/>
    </row>
    <row r="1594" spans="1:15" ht="13.5" customHeight="1" x14ac:dyDescent="0.25">
      <c r="A1594" s="1"/>
      <c r="B1594" s="22">
        <v>1582</v>
      </c>
      <c r="C1594" s="22">
        <v>2023</v>
      </c>
      <c r="D1594" s="22">
        <v>604</v>
      </c>
      <c r="E1594" s="22" t="s">
        <v>6176</v>
      </c>
      <c r="F1594" s="22" t="s">
        <v>6177</v>
      </c>
      <c r="G1594" s="22" t="s">
        <v>6178</v>
      </c>
      <c r="H1594" s="22" t="s">
        <v>6179</v>
      </c>
      <c r="I1594" s="22" t="s">
        <v>23</v>
      </c>
      <c r="J1594" s="23">
        <v>2000</v>
      </c>
      <c r="K1594" s="22" t="s">
        <v>24</v>
      </c>
      <c r="L1594" s="23" t="s">
        <v>30</v>
      </c>
      <c r="M1594" s="23" t="s">
        <v>30</v>
      </c>
      <c r="N1594" s="22"/>
      <c r="O1594" s="22"/>
    </row>
    <row r="1595" spans="1:15" ht="13.5" customHeight="1" x14ac:dyDescent="0.25">
      <c r="A1595" s="1"/>
      <c r="B1595" s="20">
        <v>1583</v>
      </c>
      <c r="C1595" s="20">
        <v>2023</v>
      </c>
      <c r="D1595" s="20">
        <v>10404</v>
      </c>
      <c r="E1595" s="20" t="s">
        <v>6180</v>
      </c>
      <c r="F1595" s="20" t="s">
        <v>6181</v>
      </c>
      <c r="G1595" s="20" t="s">
        <v>6182</v>
      </c>
      <c r="H1595" s="20" t="s">
        <v>6183</v>
      </c>
      <c r="I1595" s="20" t="s">
        <v>23</v>
      </c>
      <c r="J1595" s="21">
        <v>2004</v>
      </c>
      <c r="K1595" s="20" t="s">
        <v>67</v>
      </c>
      <c r="L1595" s="21" t="s">
        <v>30</v>
      </c>
      <c r="M1595" s="21" t="s">
        <v>30</v>
      </c>
      <c r="N1595" s="20"/>
      <c r="O1595" s="20"/>
    </row>
    <row r="1596" spans="1:15" ht="13.5" customHeight="1" x14ac:dyDescent="0.25">
      <c r="A1596" s="1"/>
      <c r="B1596" s="22">
        <v>1584</v>
      </c>
      <c r="C1596" s="22">
        <v>2023</v>
      </c>
      <c r="D1596" s="22">
        <v>12217</v>
      </c>
      <c r="E1596" s="22" t="s">
        <v>6184</v>
      </c>
      <c r="F1596" s="22" t="s">
        <v>6185</v>
      </c>
      <c r="G1596" s="22"/>
      <c r="H1596" s="22" t="s">
        <v>6186</v>
      </c>
      <c r="I1596" s="22" t="s">
        <v>23</v>
      </c>
      <c r="J1596" s="23">
        <v>2001</v>
      </c>
      <c r="K1596" s="22" t="s">
        <v>67</v>
      </c>
      <c r="L1596" s="23"/>
      <c r="M1596" s="23" t="s">
        <v>30</v>
      </c>
      <c r="N1596" s="22" t="s">
        <v>35</v>
      </c>
      <c r="O1596" s="22"/>
    </row>
    <row r="1597" spans="1:15" ht="13.5" customHeight="1" x14ac:dyDescent="0.25">
      <c r="A1597" s="1"/>
      <c r="B1597" s="20">
        <v>1585</v>
      </c>
      <c r="C1597" s="20">
        <v>2023</v>
      </c>
      <c r="D1597" s="20">
        <v>542</v>
      </c>
      <c r="E1597" s="20" t="s">
        <v>6187</v>
      </c>
      <c r="F1597" s="20" t="s">
        <v>6188</v>
      </c>
      <c r="G1597" s="20" t="s">
        <v>6189</v>
      </c>
      <c r="H1597" s="20" t="s">
        <v>6190</v>
      </c>
      <c r="I1597" s="20" t="s">
        <v>23</v>
      </c>
      <c r="J1597" s="21">
        <v>2000</v>
      </c>
      <c r="K1597" s="20" t="s">
        <v>67</v>
      </c>
      <c r="L1597" s="21" t="s">
        <v>30</v>
      </c>
      <c r="M1597" s="21" t="s">
        <v>30</v>
      </c>
      <c r="N1597" s="20"/>
      <c r="O1597" s="20"/>
    </row>
    <row r="1598" spans="1:15" ht="13.5" customHeight="1" x14ac:dyDescent="0.25">
      <c r="A1598" s="1"/>
      <c r="B1598" s="22">
        <v>1586</v>
      </c>
      <c r="C1598" s="22">
        <v>2023</v>
      </c>
      <c r="D1598" s="22">
        <v>32</v>
      </c>
      <c r="E1598" s="22" t="s">
        <v>6191</v>
      </c>
      <c r="F1598" s="22" t="s">
        <v>6192</v>
      </c>
      <c r="G1598" s="22" t="s">
        <v>6193</v>
      </c>
      <c r="H1598" s="22" t="s">
        <v>6194</v>
      </c>
      <c r="I1598" s="22" t="s">
        <v>223</v>
      </c>
      <c r="J1598" s="23">
        <v>2000</v>
      </c>
      <c r="K1598" s="22" t="s">
        <v>44</v>
      </c>
      <c r="L1598" s="23" t="s">
        <v>30</v>
      </c>
      <c r="M1598" s="23" t="s">
        <v>30</v>
      </c>
      <c r="N1598" s="22"/>
      <c r="O1598" s="22"/>
    </row>
    <row r="1599" spans="1:15" ht="13.5" customHeight="1" x14ac:dyDescent="0.25">
      <c r="A1599" s="1"/>
      <c r="B1599" s="20">
        <v>1587</v>
      </c>
      <c r="C1599" s="20">
        <v>2023</v>
      </c>
      <c r="D1599" s="20">
        <v>11299</v>
      </c>
      <c r="E1599" s="20" t="s">
        <v>6195</v>
      </c>
      <c r="F1599" s="20" t="s">
        <v>6196</v>
      </c>
      <c r="G1599" s="20" t="s">
        <v>6197</v>
      </c>
      <c r="H1599" s="20" t="s">
        <v>6198</v>
      </c>
      <c r="I1599" s="20" t="s">
        <v>23</v>
      </c>
      <c r="J1599" s="21">
        <v>2000</v>
      </c>
      <c r="K1599" s="20" t="s">
        <v>475</v>
      </c>
      <c r="L1599" s="21" t="s">
        <v>30</v>
      </c>
      <c r="M1599" s="21" t="s">
        <v>30</v>
      </c>
      <c r="N1599" s="20"/>
      <c r="O1599" s="20"/>
    </row>
    <row r="1600" spans="1:15" ht="13.5" customHeight="1" x14ac:dyDescent="0.25">
      <c r="A1600" s="1"/>
      <c r="B1600" s="22">
        <v>1588</v>
      </c>
      <c r="C1600" s="22">
        <v>2023</v>
      </c>
      <c r="D1600" s="22">
        <v>12671</v>
      </c>
      <c r="E1600" s="22" t="s">
        <v>6199</v>
      </c>
      <c r="F1600" s="22" t="s">
        <v>6200</v>
      </c>
      <c r="G1600" s="22" t="s">
        <v>6201</v>
      </c>
      <c r="H1600" s="22" t="s">
        <v>6202</v>
      </c>
      <c r="I1600" s="22" t="s">
        <v>23</v>
      </c>
      <c r="J1600" s="23">
        <v>2010</v>
      </c>
      <c r="K1600" s="22" t="s">
        <v>203</v>
      </c>
      <c r="L1600" s="23" t="s">
        <v>30</v>
      </c>
      <c r="M1600" s="23" t="s">
        <v>30</v>
      </c>
      <c r="N1600" s="22" t="s">
        <v>1310</v>
      </c>
      <c r="O1600" s="22"/>
    </row>
    <row r="1601" spans="1:15" ht="13.5" customHeight="1" x14ac:dyDescent="0.25">
      <c r="A1601" s="1"/>
      <c r="B1601" s="20">
        <v>1589</v>
      </c>
      <c r="C1601" s="20">
        <v>2023</v>
      </c>
      <c r="D1601" s="20">
        <v>11023</v>
      </c>
      <c r="E1601" s="20" t="s">
        <v>6203</v>
      </c>
      <c r="F1601" s="20" t="s">
        <v>6204</v>
      </c>
      <c r="G1601" s="20" t="s">
        <v>6205</v>
      </c>
      <c r="H1601" s="20" t="s">
        <v>6206</v>
      </c>
      <c r="I1601" s="20" t="s">
        <v>23</v>
      </c>
      <c r="J1601" s="21">
        <v>2000</v>
      </c>
      <c r="K1601" s="20" t="s">
        <v>114</v>
      </c>
      <c r="L1601" s="21" t="s">
        <v>30</v>
      </c>
      <c r="M1601" s="21" t="s">
        <v>30</v>
      </c>
      <c r="N1601" s="20"/>
      <c r="O1601" s="20"/>
    </row>
    <row r="1602" spans="1:15" ht="13.5" customHeight="1" x14ac:dyDescent="0.25">
      <c r="A1602" s="1"/>
      <c r="B1602" s="22">
        <v>1590</v>
      </c>
      <c r="C1602" s="22">
        <v>2023</v>
      </c>
      <c r="D1602" s="22">
        <v>10230</v>
      </c>
      <c r="E1602" s="22" t="s">
        <v>6207</v>
      </c>
      <c r="F1602" s="22" t="s">
        <v>6208</v>
      </c>
      <c r="G1602" s="22" t="s">
        <v>6209</v>
      </c>
      <c r="H1602" s="22" t="s">
        <v>6210</v>
      </c>
      <c r="I1602" s="22" t="s">
        <v>23</v>
      </c>
      <c r="J1602" s="23">
        <v>2000</v>
      </c>
      <c r="K1602" s="22" t="s">
        <v>95</v>
      </c>
      <c r="L1602" s="23" t="s">
        <v>30</v>
      </c>
      <c r="M1602" s="23" t="s">
        <v>30</v>
      </c>
      <c r="N1602" s="22"/>
      <c r="O1602" s="22"/>
    </row>
    <row r="1603" spans="1:15" ht="13.5" customHeight="1" x14ac:dyDescent="0.25">
      <c r="A1603" s="1"/>
      <c r="B1603" s="20">
        <v>1591</v>
      </c>
      <c r="C1603" s="20">
        <v>2023</v>
      </c>
      <c r="D1603" s="20">
        <v>13563</v>
      </c>
      <c r="E1603" s="20" t="s">
        <v>6211</v>
      </c>
      <c r="F1603" s="20" t="s">
        <v>6212</v>
      </c>
      <c r="G1603" s="20" t="s">
        <v>6213</v>
      </c>
      <c r="H1603" s="20" t="s">
        <v>6214</v>
      </c>
      <c r="I1603" s="20" t="s">
        <v>23</v>
      </c>
      <c r="J1603" s="21">
        <v>2011</v>
      </c>
      <c r="K1603" s="20" t="s">
        <v>475</v>
      </c>
      <c r="L1603" s="21" t="s">
        <v>30</v>
      </c>
      <c r="M1603" s="21"/>
      <c r="N1603" s="20" t="s">
        <v>275</v>
      </c>
      <c r="O1603" s="20"/>
    </row>
    <row r="1604" spans="1:15" ht="13.5" customHeight="1" x14ac:dyDescent="0.25">
      <c r="A1604" s="1"/>
      <c r="B1604" s="22">
        <v>1592</v>
      </c>
      <c r="C1604" s="22">
        <v>2023</v>
      </c>
      <c r="D1604" s="22">
        <v>126</v>
      </c>
      <c r="E1604" s="22" t="s">
        <v>6215</v>
      </c>
      <c r="F1604" s="22" t="s">
        <v>6216</v>
      </c>
      <c r="G1604" s="22" t="s">
        <v>6217</v>
      </c>
      <c r="H1604" s="22" t="s">
        <v>6218</v>
      </c>
      <c r="I1604" s="22" t="s">
        <v>23</v>
      </c>
      <c r="J1604" s="23">
        <v>2000</v>
      </c>
      <c r="K1604" s="22" t="s">
        <v>95</v>
      </c>
      <c r="L1604" s="23" t="s">
        <v>30</v>
      </c>
      <c r="M1604" s="23" t="s">
        <v>30</v>
      </c>
      <c r="N1604" s="22"/>
      <c r="O1604" s="22"/>
    </row>
    <row r="1605" spans="1:15" ht="13.5" customHeight="1" x14ac:dyDescent="0.25">
      <c r="A1605" s="1"/>
      <c r="B1605" s="20">
        <v>1593</v>
      </c>
      <c r="C1605" s="20">
        <v>2023</v>
      </c>
      <c r="D1605" s="20">
        <v>710</v>
      </c>
      <c r="E1605" s="20" t="s">
        <v>6219</v>
      </c>
      <c r="F1605" s="20" t="s">
        <v>6220</v>
      </c>
      <c r="G1605" s="20" t="s">
        <v>6221</v>
      </c>
      <c r="H1605" s="20" t="s">
        <v>6222</v>
      </c>
      <c r="I1605" s="20" t="s">
        <v>23</v>
      </c>
      <c r="J1605" s="21">
        <v>2000</v>
      </c>
      <c r="K1605" s="20" t="s">
        <v>95</v>
      </c>
      <c r="L1605" s="21" t="s">
        <v>30</v>
      </c>
      <c r="M1605" s="21" t="s">
        <v>30</v>
      </c>
      <c r="N1605" s="20"/>
      <c r="O1605" s="20"/>
    </row>
    <row r="1606" spans="1:15" ht="13.5" customHeight="1" x14ac:dyDescent="0.25">
      <c r="A1606" s="1"/>
      <c r="B1606" s="22">
        <v>1594</v>
      </c>
      <c r="C1606" s="22">
        <v>2023</v>
      </c>
      <c r="D1606" s="22">
        <v>11024</v>
      </c>
      <c r="E1606" s="22" t="s">
        <v>6223</v>
      </c>
      <c r="F1606" s="22" t="s">
        <v>6224</v>
      </c>
      <c r="G1606" s="22" t="s">
        <v>6225</v>
      </c>
      <c r="H1606" s="22" t="s">
        <v>6226</v>
      </c>
      <c r="I1606" s="22" t="s">
        <v>23</v>
      </c>
      <c r="J1606" s="23">
        <v>2000</v>
      </c>
      <c r="K1606" s="22" t="s">
        <v>184</v>
      </c>
      <c r="L1606" s="23" t="s">
        <v>30</v>
      </c>
      <c r="M1606" s="23" t="s">
        <v>30</v>
      </c>
      <c r="N1606" s="22"/>
      <c r="O1606" s="22"/>
    </row>
    <row r="1607" spans="1:15" ht="13.5" customHeight="1" x14ac:dyDescent="0.25">
      <c r="A1607" s="1"/>
      <c r="B1607" s="20">
        <v>1595</v>
      </c>
      <c r="C1607" s="20">
        <v>2023</v>
      </c>
      <c r="D1607" s="20">
        <v>42461</v>
      </c>
      <c r="E1607" s="20" t="s">
        <v>6227</v>
      </c>
      <c r="F1607" s="20" t="s">
        <v>6228</v>
      </c>
      <c r="G1607" s="20" t="s">
        <v>6229</v>
      </c>
      <c r="H1607" s="20" t="s">
        <v>6230</v>
      </c>
      <c r="I1607" s="20" t="s">
        <v>23</v>
      </c>
      <c r="J1607" s="21">
        <v>2000</v>
      </c>
      <c r="K1607" s="20" t="s">
        <v>67</v>
      </c>
      <c r="L1607" s="21" t="s">
        <v>30</v>
      </c>
      <c r="M1607" s="21"/>
      <c r="N1607" s="20" t="s">
        <v>123</v>
      </c>
      <c r="O1607" s="20"/>
    </row>
    <row r="1608" spans="1:15" ht="13.5" customHeight="1" x14ac:dyDescent="0.25">
      <c r="A1608" s="1"/>
      <c r="B1608" s="22">
        <v>1596</v>
      </c>
      <c r="C1608" s="22">
        <v>2023</v>
      </c>
      <c r="D1608" s="22">
        <v>11027</v>
      </c>
      <c r="E1608" s="22" t="s">
        <v>6231</v>
      </c>
      <c r="F1608" s="22" t="s">
        <v>6232</v>
      </c>
      <c r="G1608" s="22" t="s">
        <v>6233</v>
      </c>
      <c r="H1608" s="22" t="s">
        <v>6234</v>
      </c>
      <c r="I1608" s="22" t="s">
        <v>23</v>
      </c>
      <c r="J1608" s="23">
        <v>2000</v>
      </c>
      <c r="K1608" s="22" t="s">
        <v>95</v>
      </c>
      <c r="L1608" s="23" t="s">
        <v>30</v>
      </c>
      <c r="M1608" s="23" t="s">
        <v>30</v>
      </c>
      <c r="N1608" s="22"/>
      <c r="O1608" s="22"/>
    </row>
    <row r="1609" spans="1:15" ht="13.5" customHeight="1" x14ac:dyDescent="0.25">
      <c r="A1609" s="1"/>
      <c r="B1609" s="20">
        <v>1597</v>
      </c>
      <c r="C1609" s="20">
        <v>2023</v>
      </c>
      <c r="D1609" s="20">
        <v>15006</v>
      </c>
      <c r="E1609" s="20" t="s">
        <v>6235</v>
      </c>
      <c r="F1609" s="20" t="s">
        <v>6236</v>
      </c>
      <c r="G1609" s="20" t="s">
        <v>6237</v>
      </c>
      <c r="H1609" s="20" t="s">
        <v>6238</v>
      </c>
      <c r="I1609" s="20" t="s">
        <v>357</v>
      </c>
      <c r="J1609" s="21">
        <v>2006</v>
      </c>
      <c r="K1609" s="20" t="s">
        <v>39</v>
      </c>
      <c r="L1609" s="21" t="s">
        <v>30</v>
      </c>
      <c r="M1609" s="21"/>
      <c r="N1609" s="20"/>
      <c r="O1609" s="20"/>
    </row>
    <row r="1610" spans="1:15" ht="13.5" customHeight="1" x14ac:dyDescent="0.25">
      <c r="A1610" s="1"/>
      <c r="B1610" s="22">
        <v>1598</v>
      </c>
      <c r="C1610" s="22">
        <v>2023</v>
      </c>
      <c r="D1610" s="22">
        <v>11036</v>
      </c>
      <c r="E1610" s="22" t="s">
        <v>6239</v>
      </c>
      <c r="F1610" s="22" t="s">
        <v>6240</v>
      </c>
      <c r="G1610" s="22" t="s">
        <v>6241</v>
      </c>
      <c r="H1610" s="22" t="s">
        <v>6242</v>
      </c>
      <c r="I1610" s="22" t="s">
        <v>23</v>
      </c>
      <c r="J1610" s="23">
        <v>2000</v>
      </c>
      <c r="K1610" s="22" t="s">
        <v>67</v>
      </c>
      <c r="L1610" s="23" t="s">
        <v>30</v>
      </c>
      <c r="M1610" s="23" t="s">
        <v>30</v>
      </c>
      <c r="N1610" s="22"/>
      <c r="O1610" s="22"/>
    </row>
    <row r="1611" spans="1:15" ht="13.5" customHeight="1" x14ac:dyDescent="0.25">
      <c r="A1611" s="1"/>
      <c r="B1611" s="20">
        <v>1599</v>
      </c>
      <c r="C1611" s="20">
        <v>2023</v>
      </c>
      <c r="D1611" s="20">
        <v>40808</v>
      </c>
      <c r="E1611" s="20" t="s">
        <v>6243</v>
      </c>
      <c r="F1611" s="20" t="s">
        <v>6244</v>
      </c>
      <c r="G1611" s="20"/>
      <c r="H1611" s="20" t="s">
        <v>6245</v>
      </c>
      <c r="I1611" s="20" t="s">
        <v>23</v>
      </c>
      <c r="J1611" s="21">
        <v>2015</v>
      </c>
      <c r="K1611" s="20" t="s">
        <v>95</v>
      </c>
      <c r="L1611" s="21"/>
      <c r="M1611" s="21"/>
      <c r="N1611" s="20" t="s">
        <v>185</v>
      </c>
      <c r="O1611" s="20"/>
    </row>
    <row r="1612" spans="1:15" ht="13.5" customHeight="1" x14ac:dyDescent="0.25">
      <c r="A1612" s="1"/>
      <c r="B1612" s="22">
        <v>1600</v>
      </c>
      <c r="C1612" s="22">
        <v>2023</v>
      </c>
      <c r="D1612" s="22">
        <v>13273</v>
      </c>
      <c r="E1612" s="22" t="s">
        <v>6246</v>
      </c>
      <c r="F1612" s="22" t="s">
        <v>6247</v>
      </c>
      <c r="G1612" s="22" t="s">
        <v>6248</v>
      </c>
      <c r="H1612" s="22" t="s">
        <v>6249</v>
      </c>
      <c r="I1612" s="22" t="s">
        <v>6250</v>
      </c>
      <c r="J1612" s="23">
        <v>2010</v>
      </c>
      <c r="K1612" s="22" t="s">
        <v>34</v>
      </c>
      <c r="L1612" s="23" t="s">
        <v>30</v>
      </c>
      <c r="M1612" s="23"/>
      <c r="N1612" s="22" t="s">
        <v>173</v>
      </c>
      <c r="O1612" s="22"/>
    </row>
    <row r="1613" spans="1:15" ht="13.5" customHeight="1" x14ac:dyDescent="0.25">
      <c r="A1613" s="1"/>
      <c r="B1613" s="20">
        <v>1601</v>
      </c>
      <c r="C1613" s="20">
        <v>2023</v>
      </c>
      <c r="D1613" s="20">
        <v>11010</v>
      </c>
      <c r="E1613" s="20" t="s">
        <v>6251</v>
      </c>
      <c r="F1613" s="20" t="s">
        <v>6252</v>
      </c>
      <c r="G1613" s="20" t="s">
        <v>6253</v>
      </c>
      <c r="H1613" s="20" t="s">
        <v>6254</v>
      </c>
      <c r="I1613" s="20" t="s">
        <v>23</v>
      </c>
      <c r="J1613" s="21">
        <v>2000</v>
      </c>
      <c r="K1613" s="20" t="s">
        <v>34</v>
      </c>
      <c r="L1613" s="21" t="s">
        <v>30</v>
      </c>
      <c r="M1613" s="21" t="s">
        <v>30</v>
      </c>
      <c r="N1613" s="20"/>
      <c r="O1613" s="20"/>
    </row>
    <row r="1614" spans="1:15" ht="13.5" customHeight="1" x14ac:dyDescent="0.25">
      <c r="A1614" s="1"/>
      <c r="B1614" s="22">
        <v>1602</v>
      </c>
      <c r="C1614" s="22">
        <v>2023</v>
      </c>
      <c r="D1614" s="22">
        <v>11008</v>
      </c>
      <c r="E1614" s="22" t="s">
        <v>6255</v>
      </c>
      <c r="F1614" s="22" t="s">
        <v>6256</v>
      </c>
      <c r="G1614" s="22" t="s">
        <v>6257</v>
      </c>
      <c r="H1614" s="22" t="s">
        <v>6258</v>
      </c>
      <c r="I1614" s="22" t="s">
        <v>62</v>
      </c>
      <c r="J1614" s="23">
        <v>2000</v>
      </c>
      <c r="K1614" s="22" t="s">
        <v>34</v>
      </c>
      <c r="L1614" s="23" t="s">
        <v>30</v>
      </c>
      <c r="M1614" s="23" t="s">
        <v>30</v>
      </c>
      <c r="N1614" s="22"/>
      <c r="O1614" s="22"/>
    </row>
    <row r="1615" spans="1:15" ht="13.5" customHeight="1" x14ac:dyDescent="0.25">
      <c r="A1615" s="1"/>
      <c r="B1615" s="20">
        <v>1603</v>
      </c>
      <c r="C1615" s="20">
        <v>2023</v>
      </c>
      <c r="D1615" s="20">
        <v>11033</v>
      </c>
      <c r="E1615" s="20" t="s">
        <v>6259</v>
      </c>
      <c r="F1615" s="20" t="s">
        <v>6260</v>
      </c>
      <c r="G1615" s="20"/>
      <c r="H1615" s="20" t="s">
        <v>6261</v>
      </c>
      <c r="I1615" s="20" t="s">
        <v>2040</v>
      </c>
      <c r="J1615" s="21">
        <v>2000</v>
      </c>
      <c r="K1615" s="20" t="s">
        <v>34</v>
      </c>
      <c r="L1615" s="21"/>
      <c r="M1615" s="21" t="s">
        <v>30</v>
      </c>
      <c r="N1615" s="20"/>
      <c r="O1615" s="20"/>
    </row>
    <row r="1616" spans="1:15" ht="13.5" customHeight="1" x14ac:dyDescent="0.25">
      <c r="A1616" s="1"/>
      <c r="B1616" s="22">
        <v>1604</v>
      </c>
      <c r="C1616" s="22">
        <v>2023</v>
      </c>
      <c r="D1616" s="22">
        <v>12033</v>
      </c>
      <c r="E1616" s="22" t="s">
        <v>6262</v>
      </c>
      <c r="F1616" s="22" t="s">
        <v>6263</v>
      </c>
      <c r="G1616" s="22"/>
      <c r="H1616" s="22" t="s">
        <v>6264</v>
      </c>
      <c r="I1616" s="22" t="s">
        <v>23</v>
      </c>
      <c r="J1616" s="23">
        <v>2000</v>
      </c>
      <c r="K1616" s="22" t="s">
        <v>24</v>
      </c>
      <c r="L1616" s="23"/>
      <c r="M1616" s="23" t="s">
        <v>30</v>
      </c>
      <c r="N1616" s="22" t="s">
        <v>74</v>
      </c>
      <c r="O1616" s="22"/>
    </row>
    <row r="1617" spans="1:15" ht="13.5" customHeight="1" x14ac:dyDescent="0.25">
      <c r="A1617" s="1"/>
      <c r="B1617" s="20">
        <v>1605</v>
      </c>
      <c r="C1617" s="20">
        <v>2023</v>
      </c>
      <c r="D1617" s="20">
        <v>11032</v>
      </c>
      <c r="E1617" s="20" t="s">
        <v>6265</v>
      </c>
      <c r="F1617" s="20" t="s">
        <v>6266</v>
      </c>
      <c r="G1617" s="20" t="s">
        <v>6267</v>
      </c>
      <c r="H1617" s="20" t="s">
        <v>6268</v>
      </c>
      <c r="I1617" s="20" t="s">
        <v>23</v>
      </c>
      <c r="J1617" s="21">
        <v>2000</v>
      </c>
      <c r="K1617" s="20" t="s">
        <v>34</v>
      </c>
      <c r="L1617" s="21" t="s">
        <v>30</v>
      </c>
      <c r="M1617" s="21" t="s">
        <v>30</v>
      </c>
      <c r="N1617" s="20"/>
      <c r="O1617" s="20"/>
    </row>
    <row r="1618" spans="1:15" ht="13.5" customHeight="1" x14ac:dyDescent="0.25">
      <c r="A1618" s="1"/>
      <c r="B1618" s="22">
        <v>1606</v>
      </c>
      <c r="C1618" s="22">
        <v>2023</v>
      </c>
      <c r="D1618" s="22">
        <v>11030</v>
      </c>
      <c r="E1618" s="22" t="s">
        <v>6269</v>
      </c>
      <c r="F1618" s="22" t="s">
        <v>6270</v>
      </c>
      <c r="G1618" s="22"/>
      <c r="H1618" s="22" t="s">
        <v>6271</v>
      </c>
      <c r="I1618" s="22" t="s">
        <v>23</v>
      </c>
      <c r="J1618" s="23">
        <v>2000</v>
      </c>
      <c r="K1618" s="22" t="s">
        <v>34</v>
      </c>
      <c r="L1618" s="23"/>
      <c r="M1618" s="23" t="s">
        <v>30</v>
      </c>
      <c r="N1618" s="22"/>
      <c r="O1618" s="22"/>
    </row>
    <row r="1619" spans="1:15" ht="13.5" customHeight="1" x14ac:dyDescent="0.25">
      <c r="A1619" s="1"/>
      <c r="B1619" s="20">
        <v>1607</v>
      </c>
      <c r="C1619" s="20">
        <v>2023</v>
      </c>
      <c r="D1619" s="20">
        <v>438</v>
      </c>
      <c r="E1619" s="20" t="s">
        <v>6272</v>
      </c>
      <c r="F1619" s="20" t="s">
        <v>6273</v>
      </c>
      <c r="G1619" s="20" t="s">
        <v>6274</v>
      </c>
      <c r="H1619" s="20" t="s">
        <v>6275</v>
      </c>
      <c r="I1619" s="20" t="s">
        <v>23</v>
      </c>
      <c r="J1619" s="21">
        <v>2000</v>
      </c>
      <c r="K1619" s="20" t="s">
        <v>34</v>
      </c>
      <c r="L1619" s="21" t="s">
        <v>30</v>
      </c>
      <c r="M1619" s="21" t="s">
        <v>30</v>
      </c>
      <c r="N1619" s="20"/>
      <c r="O1619" s="20"/>
    </row>
    <row r="1620" spans="1:15" ht="13.5" customHeight="1" x14ac:dyDescent="0.25">
      <c r="A1620" s="1"/>
      <c r="B1620" s="22">
        <v>1608</v>
      </c>
      <c r="C1620" s="22">
        <v>2023</v>
      </c>
      <c r="D1620" s="22">
        <v>11965</v>
      </c>
      <c r="E1620" s="22" t="s">
        <v>6276</v>
      </c>
      <c r="F1620" s="22" t="s">
        <v>6277</v>
      </c>
      <c r="G1620" s="22" t="s">
        <v>6278</v>
      </c>
      <c r="H1620" s="22" t="s">
        <v>6279</v>
      </c>
      <c r="I1620" s="22" t="s">
        <v>62</v>
      </c>
      <c r="J1620" s="23">
        <v>2007</v>
      </c>
      <c r="K1620" s="22" t="s">
        <v>34</v>
      </c>
      <c r="L1620" s="23" t="s">
        <v>30</v>
      </c>
      <c r="M1620" s="23" t="s">
        <v>30</v>
      </c>
      <c r="N1620" s="22" t="s">
        <v>74</v>
      </c>
      <c r="O1620" s="22"/>
    </row>
    <row r="1621" spans="1:15" ht="13.5" customHeight="1" x14ac:dyDescent="0.25">
      <c r="A1621" s="1"/>
      <c r="B1621" s="20">
        <v>1609</v>
      </c>
      <c r="C1621" s="20">
        <v>2023</v>
      </c>
      <c r="D1621" s="20">
        <v>11307</v>
      </c>
      <c r="E1621" s="20" t="s">
        <v>6280</v>
      </c>
      <c r="F1621" s="20" t="s">
        <v>6281</v>
      </c>
      <c r="G1621" s="20" t="s">
        <v>6282</v>
      </c>
      <c r="H1621" s="20" t="s">
        <v>6283</v>
      </c>
      <c r="I1621" s="20" t="s">
        <v>23</v>
      </c>
      <c r="J1621" s="21">
        <v>2005</v>
      </c>
      <c r="K1621" s="20" t="s">
        <v>39</v>
      </c>
      <c r="L1621" s="21" t="s">
        <v>30</v>
      </c>
      <c r="M1621" s="21" t="s">
        <v>30</v>
      </c>
      <c r="N1621" s="20"/>
      <c r="O1621" s="20"/>
    </row>
    <row r="1622" spans="1:15" ht="13.5" customHeight="1" x14ac:dyDescent="0.25">
      <c r="A1622" s="1"/>
      <c r="B1622" s="22">
        <v>1610</v>
      </c>
      <c r="C1622" s="22">
        <v>2023</v>
      </c>
      <c r="D1622" s="22">
        <v>12035</v>
      </c>
      <c r="E1622" s="22" t="s">
        <v>6284</v>
      </c>
      <c r="F1622" s="22" t="s">
        <v>6285</v>
      </c>
      <c r="G1622" s="22" t="s">
        <v>6286</v>
      </c>
      <c r="H1622" s="22" t="s">
        <v>6287</v>
      </c>
      <c r="I1622" s="22" t="s">
        <v>23</v>
      </c>
      <c r="J1622" s="23">
        <v>2000</v>
      </c>
      <c r="K1622" s="22" t="s">
        <v>34</v>
      </c>
      <c r="L1622" s="23" t="s">
        <v>30</v>
      </c>
      <c r="M1622" s="23" t="s">
        <v>30</v>
      </c>
      <c r="N1622" s="22" t="s">
        <v>74</v>
      </c>
      <c r="O1622" s="22"/>
    </row>
    <row r="1623" spans="1:15" ht="13.5" customHeight="1" x14ac:dyDescent="0.25">
      <c r="A1623" s="1"/>
      <c r="B1623" s="20">
        <v>1611</v>
      </c>
      <c r="C1623" s="20">
        <v>2023</v>
      </c>
      <c r="D1623" s="20">
        <v>40592</v>
      </c>
      <c r="E1623" s="20" t="s">
        <v>6288</v>
      </c>
      <c r="F1623" s="20" t="s">
        <v>6289</v>
      </c>
      <c r="G1623" s="20" t="s">
        <v>6290</v>
      </c>
      <c r="H1623" s="20" t="s">
        <v>6291</v>
      </c>
      <c r="I1623" s="20" t="s">
        <v>23</v>
      </c>
      <c r="J1623" s="21">
        <v>2000</v>
      </c>
      <c r="K1623" s="20" t="s">
        <v>73</v>
      </c>
      <c r="L1623" s="21" t="s">
        <v>30</v>
      </c>
      <c r="M1623" s="21"/>
      <c r="N1623" s="20" t="s">
        <v>53</v>
      </c>
      <c r="O1623" s="20"/>
    </row>
    <row r="1624" spans="1:15" ht="13.5" customHeight="1" x14ac:dyDescent="0.25">
      <c r="A1624" s="1"/>
      <c r="B1624" s="22">
        <v>1612</v>
      </c>
      <c r="C1624" s="22">
        <v>2023</v>
      </c>
      <c r="D1624" s="22">
        <v>706</v>
      </c>
      <c r="E1624" s="22" t="s">
        <v>6292</v>
      </c>
      <c r="F1624" s="22" t="s">
        <v>6293</v>
      </c>
      <c r="G1624" s="22" t="s">
        <v>6294</v>
      </c>
      <c r="H1624" s="22" t="s">
        <v>6295</v>
      </c>
      <c r="I1624" s="22" t="s">
        <v>23</v>
      </c>
      <c r="J1624" s="23">
        <v>2000</v>
      </c>
      <c r="K1624" s="22" t="s">
        <v>24</v>
      </c>
      <c r="L1624" s="23" t="s">
        <v>30</v>
      </c>
      <c r="M1624" s="23" t="s">
        <v>30</v>
      </c>
      <c r="N1624" s="22"/>
      <c r="O1624" s="22"/>
    </row>
    <row r="1625" spans="1:15" ht="13.5" customHeight="1" x14ac:dyDescent="0.25">
      <c r="A1625" s="1"/>
      <c r="B1625" s="20">
        <v>1613</v>
      </c>
      <c r="C1625" s="20">
        <v>2023</v>
      </c>
      <c r="D1625" s="20">
        <v>605</v>
      </c>
      <c r="E1625" s="20" t="s">
        <v>6296</v>
      </c>
      <c r="F1625" s="20" t="s">
        <v>6297</v>
      </c>
      <c r="G1625" s="20" t="s">
        <v>6298</v>
      </c>
      <c r="H1625" s="20" t="s">
        <v>6299</v>
      </c>
      <c r="I1625" s="20" t="s">
        <v>23</v>
      </c>
      <c r="J1625" s="21">
        <v>2000</v>
      </c>
      <c r="K1625" s="20" t="s">
        <v>44</v>
      </c>
      <c r="L1625" s="21" t="s">
        <v>30</v>
      </c>
      <c r="M1625" s="21" t="s">
        <v>30</v>
      </c>
      <c r="N1625" s="20"/>
      <c r="O1625" s="20"/>
    </row>
    <row r="1626" spans="1:15" ht="13.5" customHeight="1" x14ac:dyDescent="0.25">
      <c r="A1626" s="1"/>
      <c r="B1626" s="22">
        <v>1614</v>
      </c>
      <c r="C1626" s="22">
        <v>2023</v>
      </c>
      <c r="D1626" s="22">
        <v>112</v>
      </c>
      <c r="E1626" s="22" t="s">
        <v>6300</v>
      </c>
      <c r="F1626" s="22" t="s">
        <v>6301</v>
      </c>
      <c r="G1626" s="22" t="s">
        <v>6302</v>
      </c>
      <c r="H1626" s="22" t="s">
        <v>6303</v>
      </c>
      <c r="I1626" s="22" t="s">
        <v>357</v>
      </c>
      <c r="J1626" s="23">
        <v>2000</v>
      </c>
      <c r="K1626" s="22" t="s">
        <v>39</v>
      </c>
      <c r="L1626" s="23" t="s">
        <v>30</v>
      </c>
      <c r="M1626" s="23" t="s">
        <v>30</v>
      </c>
      <c r="N1626" s="22"/>
      <c r="O1626" s="22"/>
    </row>
    <row r="1627" spans="1:15" ht="13.5" customHeight="1" x14ac:dyDescent="0.25">
      <c r="A1627" s="1"/>
      <c r="B1627" s="20">
        <v>1615</v>
      </c>
      <c r="C1627" s="20">
        <v>2023</v>
      </c>
      <c r="D1627" s="20">
        <v>11525</v>
      </c>
      <c r="E1627" s="20" t="s">
        <v>6304</v>
      </c>
      <c r="F1627" s="20" t="s">
        <v>6305</v>
      </c>
      <c r="G1627" s="20" t="s">
        <v>6306</v>
      </c>
      <c r="H1627" s="20" t="s">
        <v>6307</v>
      </c>
      <c r="I1627" s="20" t="s">
        <v>23</v>
      </c>
      <c r="J1627" s="21">
        <v>2006</v>
      </c>
      <c r="K1627" s="20" t="s">
        <v>184</v>
      </c>
      <c r="L1627" s="21" t="s">
        <v>30</v>
      </c>
      <c r="M1627" s="21" t="s">
        <v>30</v>
      </c>
      <c r="N1627" s="20"/>
      <c r="O1627" s="20"/>
    </row>
    <row r="1628" spans="1:15" ht="13.5" customHeight="1" x14ac:dyDescent="0.25">
      <c r="A1628" s="1"/>
      <c r="B1628" s="22">
        <v>1616</v>
      </c>
      <c r="C1628" s="22">
        <v>2023</v>
      </c>
      <c r="D1628" s="22">
        <v>11966</v>
      </c>
      <c r="E1628" s="22" t="s">
        <v>6308</v>
      </c>
      <c r="F1628" s="22" t="s">
        <v>6309</v>
      </c>
      <c r="G1628" s="22" t="s">
        <v>6310</v>
      </c>
      <c r="H1628" s="22" t="s">
        <v>6311</v>
      </c>
      <c r="I1628" s="22" t="s">
        <v>62</v>
      </c>
      <c r="J1628" s="23">
        <v>2007</v>
      </c>
      <c r="K1628" s="22" t="s">
        <v>34</v>
      </c>
      <c r="L1628" s="23" t="s">
        <v>30</v>
      </c>
      <c r="M1628" s="23" t="s">
        <v>30</v>
      </c>
      <c r="N1628" s="22" t="s">
        <v>74</v>
      </c>
      <c r="O1628" s="22"/>
    </row>
    <row r="1629" spans="1:15" ht="13.5" customHeight="1" x14ac:dyDescent="0.25">
      <c r="A1629" s="1"/>
      <c r="B1629" s="20">
        <v>1617</v>
      </c>
      <c r="C1629" s="20">
        <v>2023</v>
      </c>
      <c r="D1629" s="20">
        <v>11967</v>
      </c>
      <c r="E1629" s="20" t="s">
        <v>6312</v>
      </c>
      <c r="F1629" s="20" t="s">
        <v>6313</v>
      </c>
      <c r="G1629" s="20" t="s">
        <v>6314</v>
      </c>
      <c r="H1629" s="20" t="s">
        <v>6315</v>
      </c>
      <c r="I1629" s="20" t="s">
        <v>62</v>
      </c>
      <c r="J1629" s="21">
        <v>2007</v>
      </c>
      <c r="K1629" s="20" t="s">
        <v>24</v>
      </c>
      <c r="L1629" s="21" t="s">
        <v>30</v>
      </c>
      <c r="M1629" s="21" t="s">
        <v>30</v>
      </c>
      <c r="N1629" s="20" t="s">
        <v>74</v>
      </c>
      <c r="O1629" s="20"/>
    </row>
    <row r="1630" spans="1:15" ht="13.5" customHeight="1" x14ac:dyDescent="0.25">
      <c r="A1630" s="1"/>
      <c r="B1630" s="22">
        <v>1618</v>
      </c>
      <c r="C1630" s="22">
        <v>2023</v>
      </c>
      <c r="D1630" s="22">
        <v>11968</v>
      </c>
      <c r="E1630" s="22" t="s">
        <v>6316</v>
      </c>
      <c r="F1630" s="22" t="s">
        <v>6317</v>
      </c>
      <c r="G1630" s="22" t="s">
        <v>6318</v>
      </c>
      <c r="H1630" s="22" t="s">
        <v>6319</v>
      </c>
      <c r="I1630" s="22" t="s">
        <v>62</v>
      </c>
      <c r="J1630" s="23">
        <v>2007</v>
      </c>
      <c r="K1630" s="22" t="s">
        <v>44</v>
      </c>
      <c r="L1630" s="23" t="s">
        <v>30</v>
      </c>
      <c r="M1630" s="23" t="s">
        <v>30</v>
      </c>
      <c r="N1630" s="22" t="s">
        <v>74</v>
      </c>
      <c r="O1630" s="22"/>
    </row>
    <row r="1631" spans="1:15" ht="13.5" customHeight="1" x14ac:dyDescent="0.25">
      <c r="A1631" s="1"/>
      <c r="B1631" s="20">
        <v>1619</v>
      </c>
      <c r="C1631" s="20">
        <v>2023</v>
      </c>
      <c r="D1631" s="20">
        <v>11969</v>
      </c>
      <c r="E1631" s="20" t="s">
        <v>6320</v>
      </c>
      <c r="F1631" s="20" t="s">
        <v>6321</v>
      </c>
      <c r="G1631" s="20" t="s">
        <v>6322</v>
      </c>
      <c r="H1631" s="20" t="s">
        <v>6323</v>
      </c>
      <c r="I1631" s="20" t="s">
        <v>62</v>
      </c>
      <c r="J1631" s="21">
        <v>2007</v>
      </c>
      <c r="K1631" s="20" t="s">
        <v>95</v>
      </c>
      <c r="L1631" s="21" t="s">
        <v>30</v>
      </c>
      <c r="M1631" s="21" t="s">
        <v>30</v>
      </c>
      <c r="N1631" s="20" t="s">
        <v>74</v>
      </c>
      <c r="O1631" s="20"/>
    </row>
    <row r="1632" spans="1:15" ht="13.5" customHeight="1" x14ac:dyDescent="0.25">
      <c r="A1632" s="1"/>
      <c r="B1632" s="22">
        <v>1620</v>
      </c>
      <c r="C1632" s="22">
        <v>2023</v>
      </c>
      <c r="D1632" s="22">
        <v>11970</v>
      </c>
      <c r="E1632" s="22" t="s">
        <v>6324</v>
      </c>
      <c r="F1632" s="22" t="s">
        <v>6325</v>
      </c>
      <c r="G1632" s="22" t="s">
        <v>6326</v>
      </c>
      <c r="H1632" s="22" t="s">
        <v>6327</v>
      </c>
      <c r="I1632" s="22" t="s">
        <v>62</v>
      </c>
      <c r="J1632" s="23">
        <v>2007</v>
      </c>
      <c r="K1632" s="22" t="s">
        <v>44</v>
      </c>
      <c r="L1632" s="23" t="s">
        <v>30</v>
      </c>
      <c r="M1632" s="23" t="s">
        <v>30</v>
      </c>
      <c r="N1632" s="22" t="s">
        <v>74</v>
      </c>
      <c r="O1632" s="22"/>
    </row>
    <row r="1633" spans="1:15" ht="13.5" customHeight="1" x14ac:dyDescent="0.25">
      <c r="A1633" s="1"/>
      <c r="B1633" s="20">
        <v>1621</v>
      </c>
      <c r="C1633" s="20">
        <v>2023</v>
      </c>
      <c r="D1633" s="20">
        <v>11971</v>
      </c>
      <c r="E1633" s="20" t="s">
        <v>6328</v>
      </c>
      <c r="F1633" s="20" t="s">
        <v>6329</v>
      </c>
      <c r="G1633" s="20" t="s">
        <v>6330</v>
      </c>
      <c r="H1633" s="20" t="s">
        <v>6331</v>
      </c>
      <c r="I1633" s="20" t="s">
        <v>62</v>
      </c>
      <c r="J1633" s="21">
        <v>2007</v>
      </c>
      <c r="K1633" s="20" t="s">
        <v>63</v>
      </c>
      <c r="L1633" s="21" t="s">
        <v>30</v>
      </c>
      <c r="M1633" s="21" t="s">
        <v>30</v>
      </c>
      <c r="N1633" s="20" t="s">
        <v>74</v>
      </c>
      <c r="O1633" s="20"/>
    </row>
    <row r="1634" spans="1:15" ht="13.5" customHeight="1" x14ac:dyDescent="0.25">
      <c r="A1634" s="1"/>
      <c r="B1634" s="22">
        <v>1622</v>
      </c>
      <c r="C1634" s="22">
        <v>2023</v>
      </c>
      <c r="D1634" s="22">
        <v>11972</v>
      </c>
      <c r="E1634" s="22" t="s">
        <v>6332</v>
      </c>
      <c r="F1634" s="22" t="s">
        <v>6333</v>
      </c>
      <c r="G1634" s="22" t="s">
        <v>6334</v>
      </c>
      <c r="H1634" s="22" t="s">
        <v>6335</v>
      </c>
      <c r="I1634" s="22" t="s">
        <v>62</v>
      </c>
      <c r="J1634" s="23">
        <v>2007</v>
      </c>
      <c r="K1634" s="22" t="s">
        <v>63</v>
      </c>
      <c r="L1634" s="23" t="s">
        <v>30</v>
      </c>
      <c r="M1634" s="23" t="s">
        <v>30</v>
      </c>
      <c r="N1634" s="22" t="s">
        <v>74</v>
      </c>
      <c r="O1634" s="22"/>
    </row>
    <row r="1635" spans="1:15" ht="13.5" customHeight="1" x14ac:dyDescent="0.25">
      <c r="A1635" s="1"/>
      <c r="B1635" s="20">
        <v>1623</v>
      </c>
      <c r="C1635" s="20">
        <v>2023</v>
      </c>
      <c r="D1635" s="20">
        <v>11973</v>
      </c>
      <c r="E1635" s="20" t="s">
        <v>6336</v>
      </c>
      <c r="F1635" s="20" t="s">
        <v>6337</v>
      </c>
      <c r="G1635" s="20" t="s">
        <v>6338</v>
      </c>
      <c r="H1635" s="20" t="s">
        <v>6339</v>
      </c>
      <c r="I1635" s="20" t="s">
        <v>62</v>
      </c>
      <c r="J1635" s="21">
        <v>2007</v>
      </c>
      <c r="K1635" s="20" t="s">
        <v>95</v>
      </c>
      <c r="L1635" s="21" t="s">
        <v>30</v>
      </c>
      <c r="M1635" s="21" t="s">
        <v>30</v>
      </c>
      <c r="N1635" s="20" t="s">
        <v>74</v>
      </c>
      <c r="O1635" s="20"/>
    </row>
    <row r="1636" spans="1:15" ht="13.5" customHeight="1" x14ac:dyDescent="0.25">
      <c r="A1636" s="1"/>
      <c r="B1636" s="22">
        <v>1624</v>
      </c>
      <c r="C1636" s="22">
        <v>2023</v>
      </c>
      <c r="D1636" s="22">
        <v>11031</v>
      </c>
      <c r="E1636" s="22" t="s">
        <v>6340</v>
      </c>
      <c r="F1636" s="22" t="s">
        <v>6341</v>
      </c>
      <c r="G1636" s="22" t="s">
        <v>6342</v>
      </c>
      <c r="H1636" s="22" t="s">
        <v>6343</v>
      </c>
      <c r="I1636" s="22" t="s">
        <v>23</v>
      </c>
      <c r="J1636" s="23">
        <v>2000</v>
      </c>
      <c r="K1636" s="22" t="s">
        <v>203</v>
      </c>
      <c r="L1636" s="23" t="s">
        <v>30</v>
      </c>
      <c r="M1636" s="23" t="s">
        <v>30</v>
      </c>
      <c r="N1636" s="22"/>
      <c r="O1636" s="22"/>
    </row>
    <row r="1637" spans="1:15" ht="13.5" customHeight="1" x14ac:dyDescent="0.25">
      <c r="A1637" s="1"/>
      <c r="B1637" s="20">
        <v>1625</v>
      </c>
      <c r="C1637" s="20">
        <v>2023</v>
      </c>
      <c r="D1637" s="20">
        <v>35146</v>
      </c>
      <c r="E1637" s="20" t="s">
        <v>6344</v>
      </c>
      <c r="F1637" s="20" t="s">
        <v>6345</v>
      </c>
      <c r="G1637" s="20" t="s">
        <v>6346</v>
      </c>
      <c r="H1637" s="20" t="s">
        <v>6347</v>
      </c>
      <c r="I1637" s="20" t="s">
        <v>190</v>
      </c>
      <c r="J1637" s="21">
        <v>2000</v>
      </c>
      <c r="K1637" s="20" t="s">
        <v>67</v>
      </c>
      <c r="L1637" s="21" t="s">
        <v>30</v>
      </c>
      <c r="M1637" s="21"/>
      <c r="N1637" s="20"/>
      <c r="O1637" s="20"/>
    </row>
    <row r="1638" spans="1:15" ht="13.5" customHeight="1" x14ac:dyDescent="0.25">
      <c r="A1638" s="1"/>
      <c r="B1638" s="22">
        <v>1626</v>
      </c>
      <c r="C1638" s="22">
        <v>2023</v>
      </c>
      <c r="D1638" s="22">
        <v>38313</v>
      </c>
      <c r="E1638" s="22" t="s">
        <v>6348</v>
      </c>
      <c r="F1638" s="22" t="s">
        <v>6349</v>
      </c>
      <c r="G1638" s="22"/>
      <c r="H1638" s="22" t="s">
        <v>6350</v>
      </c>
      <c r="I1638" s="22" t="s">
        <v>190</v>
      </c>
      <c r="J1638" s="23">
        <v>2002</v>
      </c>
      <c r="K1638" s="22" t="s">
        <v>67</v>
      </c>
      <c r="L1638" s="23"/>
      <c r="M1638" s="23"/>
      <c r="N1638" s="22"/>
      <c r="O1638" s="22"/>
    </row>
    <row r="1639" spans="1:15" ht="13.5" customHeight="1" x14ac:dyDescent="0.25">
      <c r="A1639" s="1"/>
      <c r="B1639" s="20">
        <v>1627</v>
      </c>
      <c r="C1639" s="20">
        <v>2023</v>
      </c>
      <c r="D1639" s="20">
        <v>11044</v>
      </c>
      <c r="E1639" s="20" t="s">
        <v>6351</v>
      </c>
      <c r="F1639" s="20" t="s">
        <v>6352</v>
      </c>
      <c r="G1639" s="20" t="s">
        <v>6353</v>
      </c>
      <c r="H1639" s="20" t="s">
        <v>6354</v>
      </c>
      <c r="I1639" s="20" t="s">
        <v>23</v>
      </c>
      <c r="J1639" s="21">
        <v>2000</v>
      </c>
      <c r="K1639" s="20" t="s">
        <v>67</v>
      </c>
      <c r="L1639" s="21" t="s">
        <v>30</v>
      </c>
      <c r="M1639" s="21" t="s">
        <v>30</v>
      </c>
      <c r="N1639" s="20"/>
      <c r="O1639" s="20"/>
    </row>
    <row r="1640" spans="1:15" ht="13.5" customHeight="1" x14ac:dyDescent="0.25">
      <c r="A1640" s="1"/>
      <c r="B1640" s="22">
        <v>1628</v>
      </c>
      <c r="C1640" s="22">
        <v>2023</v>
      </c>
      <c r="D1640" s="22">
        <v>11045</v>
      </c>
      <c r="E1640" s="22" t="s">
        <v>6355</v>
      </c>
      <c r="F1640" s="22" t="s">
        <v>6356</v>
      </c>
      <c r="G1640" s="22" t="s">
        <v>6357</v>
      </c>
      <c r="H1640" s="22" t="s">
        <v>6358</v>
      </c>
      <c r="I1640" s="22" t="s">
        <v>23</v>
      </c>
      <c r="J1640" s="23">
        <v>2000</v>
      </c>
      <c r="K1640" s="22" t="s">
        <v>67</v>
      </c>
      <c r="L1640" s="23" t="s">
        <v>30</v>
      </c>
      <c r="M1640" s="23" t="s">
        <v>30</v>
      </c>
      <c r="N1640" s="22"/>
      <c r="O1640" s="22"/>
    </row>
    <row r="1641" spans="1:15" ht="13.5" customHeight="1" x14ac:dyDescent="0.25">
      <c r="A1641" s="1"/>
      <c r="B1641" s="20">
        <v>1629</v>
      </c>
      <c r="C1641" s="20">
        <v>2023</v>
      </c>
      <c r="D1641" s="20">
        <v>530</v>
      </c>
      <c r="E1641" s="20" t="s">
        <v>6359</v>
      </c>
      <c r="F1641" s="20" t="s">
        <v>6360</v>
      </c>
      <c r="G1641" s="20" t="s">
        <v>6361</v>
      </c>
      <c r="H1641" s="20" t="s">
        <v>6362</v>
      </c>
      <c r="I1641" s="20" t="s">
        <v>23</v>
      </c>
      <c r="J1641" s="21">
        <v>2000</v>
      </c>
      <c r="K1641" s="20" t="s">
        <v>114</v>
      </c>
      <c r="L1641" s="21" t="s">
        <v>30</v>
      </c>
      <c r="M1641" s="21" t="s">
        <v>30</v>
      </c>
      <c r="N1641" s="20"/>
      <c r="O1641" s="20"/>
    </row>
    <row r="1642" spans="1:15" ht="13.5" customHeight="1" x14ac:dyDescent="0.25">
      <c r="A1642" s="1"/>
      <c r="B1642" s="22">
        <v>1630</v>
      </c>
      <c r="C1642" s="22">
        <v>2023</v>
      </c>
      <c r="D1642" s="22">
        <v>11042</v>
      </c>
      <c r="E1642" s="22" t="s">
        <v>6363</v>
      </c>
      <c r="F1642" s="22" t="s">
        <v>6364</v>
      </c>
      <c r="G1642" s="22" t="s">
        <v>6365</v>
      </c>
      <c r="H1642" s="22" t="s">
        <v>6366</v>
      </c>
      <c r="I1642" s="22" t="s">
        <v>23</v>
      </c>
      <c r="J1642" s="23">
        <v>2000</v>
      </c>
      <c r="K1642" s="22" t="s">
        <v>114</v>
      </c>
      <c r="L1642" s="23" t="s">
        <v>30</v>
      </c>
      <c r="M1642" s="23" t="s">
        <v>30</v>
      </c>
      <c r="N1642" s="22"/>
      <c r="O1642" s="22"/>
    </row>
    <row r="1643" spans="1:15" ht="13.5" customHeight="1" x14ac:dyDescent="0.25">
      <c r="A1643" s="1"/>
      <c r="B1643" s="20">
        <v>1631</v>
      </c>
      <c r="C1643" s="20">
        <v>2023</v>
      </c>
      <c r="D1643" s="20">
        <v>41939</v>
      </c>
      <c r="E1643" s="20" t="s">
        <v>6367</v>
      </c>
      <c r="F1643" s="20" t="s">
        <v>6368</v>
      </c>
      <c r="G1643" s="20" t="s">
        <v>6369</v>
      </c>
      <c r="H1643" s="20" t="s">
        <v>6370</v>
      </c>
      <c r="I1643" s="20" t="s">
        <v>23</v>
      </c>
      <c r="J1643" s="21">
        <v>2018</v>
      </c>
      <c r="K1643" s="20" t="s">
        <v>67</v>
      </c>
      <c r="L1643" s="21" t="s">
        <v>30</v>
      </c>
      <c r="M1643" s="21"/>
      <c r="N1643" s="20" t="s">
        <v>213</v>
      </c>
      <c r="O1643" s="20"/>
    </row>
    <row r="1644" spans="1:15" ht="13.5" customHeight="1" x14ac:dyDescent="0.25">
      <c r="A1644" s="1"/>
      <c r="B1644" s="22">
        <v>1632</v>
      </c>
      <c r="C1644" s="22">
        <v>2023</v>
      </c>
      <c r="D1644" s="22">
        <v>42493</v>
      </c>
      <c r="E1644" s="22" t="s">
        <v>6371</v>
      </c>
      <c r="F1644" s="22" t="s">
        <v>6372</v>
      </c>
      <c r="G1644" s="22" t="s">
        <v>6373</v>
      </c>
      <c r="H1644" s="22" t="s">
        <v>6374</v>
      </c>
      <c r="I1644" s="22" t="s">
        <v>23</v>
      </c>
      <c r="J1644" s="23">
        <v>2019</v>
      </c>
      <c r="K1644" s="22" t="s">
        <v>67</v>
      </c>
      <c r="L1644" s="23" t="s">
        <v>30</v>
      </c>
      <c r="M1644" s="23"/>
      <c r="N1644" s="22" t="s">
        <v>218</v>
      </c>
      <c r="O1644" s="22"/>
    </row>
    <row r="1645" spans="1:15" ht="13.5" customHeight="1" x14ac:dyDescent="0.25">
      <c r="A1645" s="1"/>
      <c r="B1645" s="20">
        <v>1633</v>
      </c>
      <c r="C1645" s="20">
        <v>2023</v>
      </c>
      <c r="D1645" s="20">
        <v>12306</v>
      </c>
      <c r="E1645" s="20" t="s">
        <v>6375</v>
      </c>
      <c r="F1645" s="20" t="s">
        <v>6376</v>
      </c>
      <c r="G1645" s="20"/>
      <c r="H1645" s="20" t="s">
        <v>6377</v>
      </c>
      <c r="I1645" s="20" t="s">
        <v>23</v>
      </c>
      <c r="J1645" s="21">
        <v>2008</v>
      </c>
      <c r="K1645" s="20" t="s">
        <v>39</v>
      </c>
      <c r="L1645" s="21"/>
      <c r="M1645" s="21" t="s">
        <v>30</v>
      </c>
      <c r="N1645" s="20" t="s">
        <v>74</v>
      </c>
      <c r="O1645" s="20"/>
    </row>
    <row r="1646" spans="1:15" ht="13.5" customHeight="1" x14ac:dyDescent="0.25">
      <c r="A1646" s="1"/>
      <c r="B1646" s="22">
        <v>1634</v>
      </c>
      <c r="C1646" s="22">
        <v>2023</v>
      </c>
      <c r="D1646" s="22">
        <v>11557</v>
      </c>
      <c r="E1646" s="22" t="s">
        <v>6378</v>
      </c>
      <c r="F1646" s="22" t="s">
        <v>6379</v>
      </c>
      <c r="G1646" s="22"/>
      <c r="H1646" s="22" t="s">
        <v>6380</v>
      </c>
      <c r="I1646" s="22" t="s">
        <v>23</v>
      </c>
      <c r="J1646" s="23">
        <v>2002</v>
      </c>
      <c r="K1646" s="22" t="s">
        <v>34</v>
      </c>
      <c r="L1646" s="23"/>
      <c r="M1646" s="23" t="s">
        <v>30</v>
      </c>
      <c r="N1646" s="22" t="s">
        <v>74</v>
      </c>
      <c r="O1646" s="22"/>
    </row>
    <row r="1647" spans="1:15" ht="13.5" customHeight="1" x14ac:dyDescent="0.25">
      <c r="A1647" s="1"/>
      <c r="B1647" s="20">
        <v>1635</v>
      </c>
      <c r="C1647" s="20">
        <v>2023</v>
      </c>
      <c r="D1647" s="20">
        <v>11046</v>
      </c>
      <c r="E1647" s="20" t="s">
        <v>6381</v>
      </c>
      <c r="F1647" s="20" t="s">
        <v>6382</v>
      </c>
      <c r="G1647" s="20" t="s">
        <v>6383</v>
      </c>
      <c r="H1647" s="20" t="s">
        <v>6384</v>
      </c>
      <c r="I1647" s="20" t="s">
        <v>23</v>
      </c>
      <c r="J1647" s="21">
        <v>2000</v>
      </c>
      <c r="K1647" s="20" t="s">
        <v>34</v>
      </c>
      <c r="L1647" s="21" t="s">
        <v>30</v>
      </c>
      <c r="M1647" s="21" t="s">
        <v>30</v>
      </c>
      <c r="N1647" s="20"/>
      <c r="O1647" s="20"/>
    </row>
    <row r="1648" spans="1:15" ht="13.5" customHeight="1" x14ac:dyDescent="0.25">
      <c r="A1648" s="1"/>
      <c r="B1648" s="22">
        <v>1636</v>
      </c>
      <c r="C1648" s="22">
        <v>2023</v>
      </c>
      <c r="D1648" s="22">
        <v>572</v>
      </c>
      <c r="E1648" s="22" t="s">
        <v>6385</v>
      </c>
      <c r="F1648" s="22" t="s">
        <v>6386</v>
      </c>
      <c r="G1648" s="22" t="s">
        <v>6387</v>
      </c>
      <c r="H1648" s="22" t="s">
        <v>6388</v>
      </c>
      <c r="I1648" s="22" t="s">
        <v>23</v>
      </c>
      <c r="J1648" s="23">
        <v>2000</v>
      </c>
      <c r="K1648" s="22" t="s">
        <v>34</v>
      </c>
      <c r="L1648" s="23" t="s">
        <v>30</v>
      </c>
      <c r="M1648" s="23" t="s">
        <v>30</v>
      </c>
      <c r="N1648" s="22"/>
      <c r="O1648" s="22"/>
    </row>
    <row r="1649" spans="1:15" ht="13.5" customHeight="1" x14ac:dyDescent="0.25">
      <c r="A1649" s="1"/>
      <c r="B1649" s="20">
        <v>1637</v>
      </c>
      <c r="C1649" s="20">
        <v>2023</v>
      </c>
      <c r="D1649" s="20">
        <v>12550</v>
      </c>
      <c r="E1649" s="20" t="s">
        <v>6389</v>
      </c>
      <c r="F1649" s="20" t="s">
        <v>6390</v>
      </c>
      <c r="G1649" s="20" t="s">
        <v>6391</v>
      </c>
      <c r="H1649" s="20" t="s">
        <v>6392</v>
      </c>
      <c r="I1649" s="20" t="s">
        <v>23</v>
      </c>
      <c r="J1649" s="21">
        <v>2000</v>
      </c>
      <c r="K1649" s="20" t="s">
        <v>34</v>
      </c>
      <c r="L1649" s="21" t="s">
        <v>30</v>
      </c>
      <c r="M1649" s="21"/>
      <c r="N1649" s="20" t="s">
        <v>431</v>
      </c>
      <c r="O1649" s="20"/>
    </row>
    <row r="1650" spans="1:15" ht="13.5" customHeight="1" x14ac:dyDescent="0.25">
      <c r="A1650" s="1"/>
      <c r="B1650" s="22">
        <v>1638</v>
      </c>
      <c r="C1650" s="22">
        <v>2023</v>
      </c>
      <c r="D1650" s="22">
        <v>12274</v>
      </c>
      <c r="E1650" s="22" t="s">
        <v>6393</v>
      </c>
      <c r="F1650" s="22" t="s">
        <v>6394</v>
      </c>
      <c r="G1650" s="22" t="s">
        <v>6395</v>
      </c>
      <c r="H1650" s="22" t="s">
        <v>6396</v>
      </c>
      <c r="I1650" s="22" t="s">
        <v>824</v>
      </c>
      <c r="J1650" s="23">
        <v>2008</v>
      </c>
      <c r="K1650" s="22" t="s">
        <v>24</v>
      </c>
      <c r="L1650" s="23" t="s">
        <v>30</v>
      </c>
      <c r="M1650" s="23" t="s">
        <v>30</v>
      </c>
      <c r="N1650" s="22"/>
      <c r="O1650" s="22"/>
    </row>
    <row r="1651" spans="1:15" ht="13.5" customHeight="1" x14ac:dyDescent="0.25">
      <c r="A1651" s="1"/>
      <c r="B1651" s="20">
        <v>1639</v>
      </c>
      <c r="C1651" s="20">
        <v>2023</v>
      </c>
      <c r="D1651" s="20">
        <v>12201</v>
      </c>
      <c r="E1651" s="20" t="s">
        <v>6397</v>
      </c>
      <c r="F1651" s="20" t="s">
        <v>6398</v>
      </c>
      <c r="G1651" s="20" t="s">
        <v>6399</v>
      </c>
      <c r="H1651" s="20" t="s">
        <v>6400</v>
      </c>
      <c r="I1651" s="20" t="s">
        <v>62</v>
      </c>
      <c r="J1651" s="21">
        <v>2008</v>
      </c>
      <c r="K1651" s="20" t="s">
        <v>24</v>
      </c>
      <c r="L1651" s="21" t="s">
        <v>30</v>
      </c>
      <c r="M1651" s="21" t="s">
        <v>30</v>
      </c>
      <c r="N1651" s="20" t="s">
        <v>35</v>
      </c>
      <c r="O1651" s="20"/>
    </row>
    <row r="1652" spans="1:15" ht="13.5" customHeight="1" x14ac:dyDescent="0.25">
      <c r="A1652" s="1"/>
      <c r="B1652" s="22">
        <v>1640</v>
      </c>
      <c r="C1652" s="22">
        <v>2023</v>
      </c>
      <c r="D1652" s="22">
        <v>41204</v>
      </c>
      <c r="E1652" s="22" t="s">
        <v>6401</v>
      </c>
      <c r="F1652" s="22" t="s">
        <v>6402</v>
      </c>
      <c r="G1652" s="22" t="s">
        <v>6403</v>
      </c>
      <c r="H1652" s="22" t="s">
        <v>6404</v>
      </c>
      <c r="I1652" s="22" t="s">
        <v>23</v>
      </c>
      <c r="J1652" s="23">
        <v>2016</v>
      </c>
      <c r="K1652" s="22" t="s">
        <v>95</v>
      </c>
      <c r="L1652" s="23" t="s">
        <v>30</v>
      </c>
      <c r="M1652" s="23"/>
      <c r="N1652" s="22" t="s">
        <v>204</v>
      </c>
      <c r="O1652" s="22"/>
    </row>
    <row r="1653" spans="1:15" ht="13.5" customHeight="1" x14ac:dyDescent="0.25">
      <c r="A1653" s="1"/>
      <c r="B1653" s="20">
        <v>1641</v>
      </c>
      <c r="C1653" s="20">
        <v>2023</v>
      </c>
      <c r="D1653" s="20">
        <v>40009</v>
      </c>
      <c r="E1653" s="20" t="s">
        <v>6405</v>
      </c>
      <c r="F1653" s="20" t="s">
        <v>6406</v>
      </c>
      <c r="G1653" s="20" t="s">
        <v>6407</v>
      </c>
      <c r="H1653" s="20" t="s">
        <v>6408</v>
      </c>
      <c r="I1653" s="20" t="s">
        <v>23</v>
      </c>
      <c r="J1653" s="21">
        <v>2012</v>
      </c>
      <c r="K1653" s="20" t="s">
        <v>6409</v>
      </c>
      <c r="L1653" s="21" t="s">
        <v>30</v>
      </c>
      <c r="M1653" s="21"/>
      <c r="N1653" s="20" t="s">
        <v>163</v>
      </c>
      <c r="O1653" s="20"/>
    </row>
    <row r="1654" spans="1:15" ht="13.5" customHeight="1" x14ac:dyDescent="0.25">
      <c r="A1654" s="1"/>
      <c r="B1654" s="22">
        <v>1642</v>
      </c>
      <c r="C1654" s="22">
        <v>2023</v>
      </c>
      <c r="D1654" s="22">
        <v>10357</v>
      </c>
      <c r="E1654" s="22" t="s">
        <v>6410</v>
      </c>
      <c r="F1654" s="22" t="s">
        <v>6411</v>
      </c>
      <c r="G1654" s="22" t="s">
        <v>6412</v>
      </c>
      <c r="H1654" s="22" t="s">
        <v>6413</v>
      </c>
      <c r="I1654" s="22" t="s">
        <v>23</v>
      </c>
      <c r="J1654" s="23">
        <v>2004</v>
      </c>
      <c r="K1654" s="22" t="s">
        <v>394</v>
      </c>
      <c r="L1654" s="23" t="s">
        <v>30</v>
      </c>
      <c r="M1654" s="23" t="s">
        <v>30</v>
      </c>
      <c r="N1654" s="22"/>
      <c r="O1654" s="22"/>
    </row>
    <row r="1655" spans="1:15" ht="13.5" customHeight="1" x14ac:dyDescent="0.25">
      <c r="A1655" s="1"/>
      <c r="B1655" s="20">
        <v>1643</v>
      </c>
      <c r="C1655" s="20">
        <v>2023</v>
      </c>
      <c r="D1655" s="20">
        <v>11047</v>
      </c>
      <c r="E1655" s="20" t="s">
        <v>6414</v>
      </c>
      <c r="F1655" s="20" t="s">
        <v>6415</v>
      </c>
      <c r="G1655" s="20"/>
      <c r="H1655" s="20" t="s">
        <v>6416</v>
      </c>
      <c r="I1655" s="20" t="s">
        <v>23</v>
      </c>
      <c r="J1655" s="21">
        <v>2002</v>
      </c>
      <c r="K1655" s="20" t="s">
        <v>114</v>
      </c>
      <c r="L1655" s="21"/>
      <c r="M1655" s="21" t="s">
        <v>30</v>
      </c>
      <c r="N1655" s="20"/>
      <c r="O1655" s="20"/>
    </row>
    <row r="1656" spans="1:15" ht="13.5" customHeight="1" x14ac:dyDescent="0.25">
      <c r="A1656" s="1"/>
      <c r="B1656" s="22">
        <v>1644</v>
      </c>
      <c r="C1656" s="22">
        <v>2023</v>
      </c>
      <c r="D1656" s="22">
        <v>11069</v>
      </c>
      <c r="E1656" s="22" t="s">
        <v>6417</v>
      </c>
      <c r="F1656" s="22" t="s">
        <v>6418</v>
      </c>
      <c r="G1656" s="22" t="s">
        <v>6419</v>
      </c>
      <c r="H1656" s="22" t="s">
        <v>6420</v>
      </c>
      <c r="I1656" s="22" t="s">
        <v>23</v>
      </c>
      <c r="J1656" s="23">
        <v>2000</v>
      </c>
      <c r="K1656" s="22" t="s">
        <v>95</v>
      </c>
      <c r="L1656" s="23" t="s">
        <v>30</v>
      </c>
      <c r="M1656" s="23" t="s">
        <v>30</v>
      </c>
      <c r="N1656" s="22"/>
      <c r="O1656" s="22"/>
    </row>
    <row r="1657" spans="1:15" ht="13.5" customHeight="1" x14ac:dyDescent="0.25">
      <c r="A1657" s="1"/>
      <c r="B1657" s="20">
        <v>1645</v>
      </c>
      <c r="C1657" s="20">
        <v>2023</v>
      </c>
      <c r="D1657" s="20">
        <v>11049</v>
      </c>
      <c r="E1657" s="20" t="s">
        <v>6421</v>
      </c>
      <c r="F1657" s="20" t="s">
        <v>6422</v>
      </c>
      <c r="G1657" s="20" t="s">
        <v>6423</v>
      </c>
      <c r="H1657" s="20" t="s">
        <v>6424</v>
      </c>
      <c r="I1657" s="20" t="s">
        <v>23</v>
      </c>
      <c r="J1657" s="21">
        <v>2000</v>
      </c>
      <c r="K1657" s="20" t="s">
        <v>184</v>
      </c>
      <c r="L1657" s="21" t="s">
        <v>30</v>
      </c>
      <c r="M1657" s="21" t="s">
        <v>30</v>
      </c>
      <c r="N1657" s="20"/>
      <c r="O1657" s="20"/>
    </row>
    <row r="1658" spans="1:15" ht="13.5" customHeight="1" x14ac:dyDescent="0.25">
      <c r="A1658" s="1"/>
      <c r="B1658" s="22">
        <v>1646</v>
      </c>
      <c r="C1658" s="22">
        <v>2023</v>
      </c>
      <c r="D1658" s="22">
        <v>11050</v>
      </c>
      <c r="E1658" s="22" t="s">
        <v>6425</v>
      </c>
      <c r="F1658" s="22" t="s">
        <v>6426</v>
      </c>
      <c r="G1658" s="22" t="s">
        <v>6427</v>
      </c>
      <c r="H1658" s="22" t="s">
        <v>6428</v>
      </c>
      <c r="I1658" s="22" t="s">
        <v>23</v>
      </c>
      <c r="J1658" s="23">
        <v>2000</v>
      </c>
      <c r="K1658" s="22" t="s">
        <v>184</v>
      </c>
      <c r="L1658" s="23" t="s">
        <v>30</v>
      </c>
      <c r="M1658" s="23" t="s">
        <v>30</v>
      </c>
      <c r="N1658" s="22"/>
      <c r="O1658" s="22"/>
    </row>
    <row r="1659" spans="1:15" ht="13.5" customHeight="1" x14ac:dyDescent="0.25">
      <c r="A1659" s="1"/>
      <c r="B1659" s="20">
        <v>1647</v>
      </c>
      <c r="C1659" s="20">
        <v>2023</v>
      </c>
      <c r="D1659" s="20">
        <v>11053</v>
      </c>
      <c r="E1659" s="20" t="s">
        <v>6429</v>
      </c>
      <c r="F1659" s="20" t="s">
        <v>6430</v>
      </c>
      <c r="G1659" s="20" t="s">
        <v>6431</v>
      </c>
      <c r="H1659" s="20" t="s">
        <v>6432</v>
      </c>
      <c r="I1659" s="20" t="s">
        <v>23</v>
      </c>
      <c r="J1659" s="21">
        <v>2000</v>
      </c>
      <c r="K1659" s="20" t="s">
        <v>95</v>
      </c>
      <c r="L1659" s="21" t="s">
        <v>30</v>
      </c>
      <c r="M1659" s="21" t="s">
        <v>30</v>
      </c>
      <c r="N1659" s="20"/>
      <c r="O1659" s="20"/>
    </row>
    <row r="1660" spans="1:15" ht="13.5" customHeight="1" x14ac:dyDescent="0.25">
      <c r="A1660" s="1"/>
      <c r="B1660" s="22">
        <v>1648</v>
      </c>
      <c r="C1660" s="22">
        <v>2023</v>
      </c>
      <c r="D1660" s="22">
        <v>210</v>
      </c>
      <c r="E1660" s="22" t="s">
        <v>6433</v>
      </c>
      <c r="F1660" s="22" t="s">
        <v>6434</v>
      </c>
      <c r="G1660" s="22" t="s">
        <v>6435</v>
      </c>
      <c r="H1660" s="22" t="s">
        <v>6436</v>
      </c>
      <c r="I1660" s="22" t="s">
        <v>23</v>
      </c>
      <c r="J1660" s="23">
        <v>2000</v>
      </c>
      <c r="K1660" s="22" t="s">
        <v>34</v>
      </c>
      <c r="L1660" s="23" t="s">
        <v>30</v>
      </c>
      <c r="M1660" s="23" t="s">
        <v>30</v>
      </c>
      <c r="N1660" s="22"/>
      <c r="O1660" s="22"/>
    </row>
    <row r="1661" spans="1:15" ht="13.5" customHeight="1" x14ac:dyDescent="0.25">
      <c r="A1661" s="1"/>
      <c r="B1661" s="20">
        <v>1649</v>
      </c>
      <c r="C1661" s="20">
        <v>2023</v>
      </c>
      <c r="D1661" s="20">
        <v>11059</v>
      </c>
      <c r="E1661" s="20" t="s">
        <v>6437</v>
      </c>
      <c r="F1661" s="20" t="s">
        <v>6438</v>
      </c>
      <c r="G1661" s="20" t="s">
        <v>6439</v>
      </c>
      <c r="H1661" s="20" t="s">
        <v>6440</v>
      </c>
      <c r="I1661" s="20" t="s">
        <v>100</v>
      </c>
      <c r="J1661" s="21">
        <v>2000</v>
      </c>
      <c r="K1661" s="20" t="s">
        <v>664</v>
      </c>
      <c r="L1661" s="21" t="s">
        <v>30</v>
      </c>
      <c r="M1661" s="21" t="s">
        <v>30</v>
      </c>
      <c r="N1661" s="20"/>
      <c r="O1661" s="20"/>
    </row>
    <row r="1662" spans="1:15" ht="13.5" customHeight="1" x14ac:dyDescent="0.25">
      <c r="A1662" s="1"/>
      <c r="B1662" s="22">
        <v>1650</v>
      </c>
      <c r="C1662" s="22">
        <v>2023</v>
      </c>
      <c r="D1662" s="22">
        <v>11061</v>
      </c>
      <c r="E1662" s="22" t="s">
        <v>6441</v>
      </c>
      <c r="F1662" s="22" t="s">
        <v>6442</v>
      </c>
      <c r="G1662" s="22" t="s">
        <v>6443</v>
      </c>
      <c r="H1662" s="22" t="s">
        <v>6444</v>
      </c>
      <c r="I1662" s="22" t="s">
        <v>23</v>
      </c>
      <c r="J1662" s="23">
        <v>2000</v>
      </c>
      <c r="K1662" s="22" t="s">
        <v>184</v>
      </c>
      <c r="L1662" s="23" t="s">
        <v>30</v>
      </c>
      <c r="M1662" s="23" t="s">
        <v>30</v>
      </c>
      <c r="N1662" s="22"/>
      <c r="O1662" s="22"/>
    </row>
    <row r="1663" spans="1:15" ht="13.5" customHeight="1" x14ac:dyDescent="0.25">
      <c r="A1663" s="1"/>
      <c r="B1663" s="20">
        <v>1651</v>
      </c>
      <c r="C1663" s="20">
        <v>2023</v>
      </c>
      <c r="D1663" s="20">
        <v>13744</v>
      </c>
      <c r="E1663" s="20" t="s">
        <v>6445</v>
      </c>
      <c r="F1663" s="20" t="s">
        <v>6446</v>
      </c>
      <c r="G1663" s="20"/>
      <c r="H1663" s="20" t="s">
        <v>6447</v>
      </c>
      <c r="I1663" s="20" t="s">
        <v>23</v>
      </c>
      <c r="J1663" s="21">
        <v>2012</v>
      </c>
      <c r="K1663" s="20" t="s">
        <v>34</v>
      </c>
      <c r="L1663" s="21"/>
      <c r="M1663" s="21"/>
      <c r="N1663" s="20" t="s">
        <v>163</v>
      </c>
      <c r="O1663" s="20"/>
    </row>
    <row r="1664" spans="1:15" ht="13.5" customHeight="1" x14ac:dyDescent="0.25">
      <c r="A1664" s="1"/>
      <c r="B1664" s="22">
        <v>1652</v>
      </c>
      <c r="C1664" s="22">
        <v>2023</v>
      </c>
      <c r="D1664" s="22">
        <v>40802</v>
      </c>
      <c r="E1664" s="22" t="s">
        <v>6448</v>
      </c>
      <c r="F1664" s="22" t="s">
        <v>6449</v>
      </c>
      <c r="G1664" s="22" t="s">
        <v>6450</v>
      </c>
      <c r="H1664" s="22" t="s">
        <v>6451</v>
      </c>
      <c r="I1664" s="22" t="s">
        <v>23</v>
      </c>
      <c r="J1664" s="23">
        <v>2000</v>
      </c>
      <c r="K1664" s="22" t="s">
        <v>394</v>
      </c>
      <c r="L1664" s="23" t="s">
        <v>30</v>
      </c>
      <c r="M1664" s="23"/>
      <c r="N1664" s="22" t="s">
        <v>68</v>
      </c>
      <c r="O1664" s="22"/>
    </row>
    <row r="1665" spans="1:15" ht="13.5" customHeight="1" x14ac:dyDescent="0.25">
      <c r="A1665" s="1"/>
      <c r="B1665" s="20">
        <v>1653</v>
      </c>
      <c r="C1665" s="20">
        <v>2023</v>
      </c>
      <c r="D1665" s="20">
        <v>13721</v>
      </c>
      <c r="E1665" s="20" t="s">
        <v>6452</v>
      </c>
      <c r="F1665" s="20" t="s">
        <v>6453</v>
      </c>
      <c r="G1665" s="20"/>
      <c r="H1665" s="20" t="s">
        <v>6454</v>
      </c>
      <c r="I1665" s="20" t="s">
        <v>23</v>
      </c>
      <c r="J1665" s="21">
        <v>2012</v>
      </c>
      <c r="K1665" s="20" t="s">
        <v>114</v>
      </c>
      <c r="L1665" s="21"/>
      <c r="M1665" s="21"/>
      <c r="N1665" s="20" t="s">
        <v>324</v>
      </c>
      <c r="O1665" s="20"/>
    </row>
    <row r="1666" spans="1:15" ht="13.5" customHeight="1" x14ac:dyDescent="0.25">
      <c r="A1666" s="1"/>
      <c r="B1666" s="22">
        <v>1654</v>
      </c>
      <c r="C1666" s="22">
        <v>2023</v>
      </c>
      <c r="D1666" s="22">
        <v>11067</v>
      </c>
      <c r="E1666" s="22" t="s">
        <v>6455</v>
      </c>
      <c r="F1666" s="22" t="s">
        <v>6456</v>
      </c>
      <c r="G1666" s="22" t="s">
        <v>6457</v>
      </c>
      <c r="H1666" s="22" t="s">
        <v>6458</v>
      </c>
      <c r="I1666" s="22" t="s">
        <v>23</v>
      </c>
      <c r="J1666" s="23">
        <v>2001</v>
      </c>
      <c r="K1666" s="22" t="s">
        <v>475</v>
      </c>
      <c r="L1666" s="23" t="s">
        <v>30</v>
      </c>
      <c r="M1666" s="23" t="s">
        <v>30</v>
      </c>
      <c r="N1666" s="22"/>
      <c r="O1666" s="22"/>
    </row>
    <row r="1667" spans="1:15" ht="13.5" customHeight="1" x14ac:dyDescent="0.25">
      <c r="A1667" s="1"/>
      <c r="B1667" s="20">
        <v>1655</v>
      </c>
      <c r="C1667" s="20">
        <v>2023</v>
      </c>
      <c r="D1667" s="20">
        <v>42520</v>
      </c>
      <c r="E1667" s="20" t="s">
        <v>6459</v>
      </c>
      <c r="F1667" s="20" t="s">
        <v>6460</v>
      </c>
      <c r="G1667" s="20" t="s">
        <v>6461</v>
      </c>
      <c r="H1667" s="20" t="s">
        <v>6462</v>
      </c>
      <c r="I1667" s="20" t="s">
        <v>960</v>
      </c>
      <c r="J1667" s="21">
        <v>2019</v>
      </c>
      <c r="K1667" s="20" t="s">
        <v>4193</v>
      </c>
      <c r="L1667" s="21" t="s">
        <v>30</v>
      </c>
      <c r="M1667" s="21"/>
      <c r="N1667" s="20" t="s">
        <v>123</v>
      </c>
      <c r="O1667" s="20"/>
    </row>
    <row r="1668" spans="1:15" ht="13.5" customHeight="1" x14ac:dyDescent="0.25">
      <c r="A1668" s="1"/>
      <c r="B1668" s="22">
        <v>1656</v>
      </c>
      <c r="C1668" s="22">
        <v>2023</v>
      </c>
      <c r="D1668" s="22">
        <v>521</v>
      </c>
      <c r="E1668" s="22" t="s">
        <v>6463</v>
      </c>
      <c r="F1668" s="22" t="s">
        <v>6464</v>
      </c>
      <c r="G1668" s="22" t="s">
        <v>6465</v>
      </c>
      <c r="H1668" s="22" t="s">
        <v>6466</v>
      </c>
      <c r="I1668" s="22" t="s">
        <v>23</v>
      </c>
      <c r="J1668" s="23">
        <v>2000</v>
      </c>
      <c r="K1668" s="22" t="s">
        <v>114</v>
      </c>
      <c r="L1668" s="23" t="s">
        <v>30</v>
      </c>
      <c r="M1668" s="23" t="s">
        <v>30</v>
      </c>
      <c r="N1668" s="22"/>
      <c r="O1668" s="22"/>
    </row>
    <row r="1669" spans="1:15" ht="13.5" customHeight="1" x14ac:dyDescent="0.25">
      <c r="A1669" s="1"/>
      <c r="B1669" s="20">
        <v>1657</v>
      </c>
      <c r="C1669" s="20">
        <v>2023</v>
      </c>
      <c r="D1669" s="20">
        <v>11063</v>
      </c>
      <c r="E1669" s="20" t="s">
        <v>6467</v>
      </c>
      <c r="F1669" s="20" t="s">
        <v>6468</v>
      </c>
      <c r="G1669" s="20" t="s">
        <v>6469</v>
      </c>
      <c r="H1669" s="20" t="s">
        <v>6470</v>
      </c>
      <c r="I1669" s="20" t="s">
        <v>23</v>
      </c>
      <c r="J1669" s="21">
        <v>2000</v>
      </c>
      <c r="K1669" s="20" t="s">
        <v>114</v>
      </c>
      <c r="L1669" s="21" t="s">
        <v>30</v>
      </c>
      <c r="M1669" s="21" t="s">
        <v>30</v>
      </c>
      <c r="N1669" s="20"/>
      <c r="O1669" s="20"/>
    </row>
    <row r="1670" spans="1:15" ht="13.5" customHeight="1" x14ac:dyDescent="0.25">
      <c r="A1670" s="1"/>
      <c r="B1670" s="22">
        <v>1658</v>
      </c>
      <c r="C1670" s="22">
        <v>2023</v>
      </c>
      <c r="D1670" s="22">
        <v>11710</v>
      </c>
      <c r="E1670" s="22" t="s">
        <v>6471</v>
      </c>
      <c r="F1670" s="22" t="s">
        <v>6472</v>
      </c>
      <c r="G1670" s="22" t="s">
        <v>6473</v>
      </c>
      <c r="H1670" s="22" t="s">
        <v>6474</v>
      </c>
      <c r="I1670" s="22" t="s">
        <v>62</v>
      </c>
      <c r="J1670" s="23">
        <v>2007</v>
      </c>
      <c r="K1670" s="22" t="s">
        <v>34</v>
      </c>
      <c r="L1670" s="23" t="s">
        <v>30</v>
      </c>
      <c r="M1670" s="23" t="s">
        <v>30</v>
      </c>
      <c r="N1670" s="22" t="s">
        <v>245</v>
      </c>
      <c r="O1670" s="22"/>
    </row>
    <row r="1671" spans="1:15" ht="13.5" customHeight="1" x14ac:dyDescent="0.25">
      <c r="A1671" s="1"/>
      <c r="B1671" s="20">
        <v>1659</v>
      </c>
      <c r="C1671" s="20">
        <v>2023</v>
      </c>
      <c r="D1671" s="20">
        <v>11064</v>
      </c>
      <c r="E1671" s="20" t="s">
        <v>6475</v>
      </c>
      <c r="F1671" s="20" t="s">
        <v>6476</v>
      </c>
      <c r="G1671" s="20" t="s">
        <v>6477</v>
      </c>
      <c r="H1671" s="20" t="s">
        <v>6478</v>
      </c>
      <c r="I1671" s="20" t="s">
        <v>23</v>
      </c>
      <c r="J1671" s="21">
        <v>2000</v>
      </c>
      <c r="K1671" s="20" t="s">
        <v>34</v>
      </c>
      <c r="L1671" s="21" t="s">
        <v>30</v>
      </c>
      <c r="M1671" s="21" t="s">
        <v>30</v>
      </c>
      <c r="N1671" s="20"/>
      <c r="O1671" s="20"/>
    </row>
    <row r="1672" spans="1:15" ht="13.5" customHeight="1" x14ac:dyDescent="0.25">
      <c r="A1672" s="1"/>
      <c r="B1672" s="22">
        <v>1660</v>
      </c>
      <c r="C1672" s="22">
        <v>2023</v>
      </c>
      <c r="D1672" s="22">
        <v>12028</v>
      </c>
      <c r="E1672" s="22" t="s">
        <v>6479</v>
      </c>
      <c r="F1672" s="22" t="s">
        <v>6480</v>
      </c>
      <c r="G1672" s="22" t="s">
        <v>6481</v>
      </c>
      <c r="H1672" s="22" t="s">
        <v>6482</v>
      </c>
      <c r="I1672" s="22" t="s">
        <v>23</v>
      </c>
      <c r="J1672" s="23">
        <v>2004</v>
      </c>
      <c r="K1672" s="22" t="s">
        <v>39</v>
      </c>
      <c r="L1672" s="23" t="s">
        <v>30</v>
      </c>
      <c r="M1672" s="23" t="s">
        <v>30</v>
      </c>
      <c r="N1672" s="22" t="s">
        <v>74</v>
      </c>
      <c r="O1672" s="22"/>
    </row>
    <row r="1673" spans="1:15" ht="13.5" customHeight="1" x14ac:dyDescent="0.25">
      <c r="A1673" s="1"/>
      <c r="B1673" s="20">
        <v>1661</v>
      </c>
      <c r="C1673" s="20">
        <v>2023</v>
      </c>
      <c r="D1673" s="20">
        <v>12152</v>
      </c>
      <c r="E1673" s="20" t="s">
        <v>6483</v>
      </c>
      <c r="F1673" s="20" t="s">
        <v>6484</v>
      </c>
      <c r="G1673" s="20"/>
      <c r="H1673" s="20" t="s">
        <v>6485</v>
      </c>
      <c r="I1673" s="20" t="s">
        <v>23</v>
      </c>
      <c r="J1673" s="21">
        <v>2008</v>
      </c>
      <c r="K1673" s="20" t="s">
        <v>73</v>
      </c>
      <c r="L1673" s="21"/>
      <c r="M1673" s="21" t="s">
        <v>30</v>
      </c>
      <c r="N1673" s="20" t="s">
        <v>352</v>
      </c>
      <c r="O1673" s="20"/>
    </row>
    <row r="1674" spans="1:15" ht="13.5" customHeight="1" x14ac:dyDescent="0.25">
      <c r="A1674" s="1"/>
      <c r="B1674" s="22">
        <v>1662</v>
      </c>
      <c r="C1674" s="22">
        <v>2023</v>
      </c>
      <c r="D1674" s="22">
        <v>10048</v>
      </c>
      <c r="E1674" s="22" t="s">
        <v>6486</v>
      </c>
      <c r="F1674" s="22" t="s">
        <v>6487</v>
      </c>
      <c r="G1674" s="22"/>
      <c r="H1674" s="22" t="s">
        <v>6488</v>
      </c>
      <c r="I1674" s="22" t="s">
        <v>23</v>
      </c>
      <c r="J1674" s="23">
        <v>2000</v>
      </c>
      <c r="K1674" s="22" t="s">
        <v>39</v>
      </c>
      <c r="L1674" s="23"/>
      <c r="M1674" s="23" t="s">
        <v>30</v>
      </c>
      <c r="N1674" s="22"/>
      <c r="O1674" s="22"/>
    </row>
    <row r="1675" spans="1:15" ht="13.5" customHeight="1" x14ac:dyDescent="0.25">
      <c r="A1675" s="1"/>
      <c r="B1675" s="20">
        <v>1663</v>
      </c>
      <c r="C1675" s="20">
        <v>2023</v>
      </c>
      <c r="D1675" s="20">
        <v>12021</v>
      </c>
      <c r="E1675" s="20" t="s">
        <v>6489</v>
      </c>
      <c r="F1675" s="20" t="s">
        <v>6490</v>
      </c>
      <c r="G1675" s="20" t="s">
        <v>6491</v>
      </c>
      <c r="H1675" s="20" t="s">
        <v>6492</v>
      </c>
      <c r="I1675" s="20" t="s">
        <v>23</v>
      </c>
      <c r="J1675" s="21">
        <v>2003</v>
      </c>
      <c r="K1675" s="20" t="s">
        <v>34</v>
      </c>
      <c r="L1675" s="21" t="s">
        <v>30</v>
      </c>
      <c r="M1675" s="21" t="s">
        <v>30</v>
      </c>
      <c r="N1675" s="20" t="s">
        <v>74</v>
      </c>
      <c r="O1675" s="20"/>
    </row>
    <row r="1676" spans="1:15" ht="13.5" customHeight="1" x14ac:dyDescent="0.25">
      <c r="A1676" s="1"/>
      <c r="B1676" s="22">
        <v>1664</v>
      </c>
      <c r="C1676" s="22">
        <v>2023</v>
      </c>
      <c r="D1676" s="22">
        <v>10072</v>
      </c>
      <c r="E1676" s="22" t="s">
        <v>6493</v>
      </c>
      <c r="F1676" s="22" t="s">
        <v>6494</v>
      </c>
      <c r="G1676" s="22"/>
      <c r="H1676" s="22" t="s">
        <v>6495</v>
      </c>
      <c r="I1676" s="22" t="s">
        <v>23</v>
      </c>
      <c r="J1676" s="23">
        <v>2000</v>
      </c>
      <c r="K1676" s="22" t="s">
        <v>39</v>
      </c>
      <c r="L1676" s="23"/>
      <c r="M1676" s="23" t="s">
        <v>30</v>
      </c>
      <c r="N1676" s="22"/>
      <c r="O1676" s="22"/>
    </row>
    <row r="1677" spans="1:15" ht="13.5" customHeight="1" x14ac:dyDescent="0.25">
      <c r="A1677" s="1"/>
      <c r="B1677" s="20">
        <v>1665</v>
      </c>
      <c r="C1677" s="20">
        <v>2023</v>
      </c>
      <c r="D1677" s="20">
        <v>12017</v>
      </c>
      <c r="E1677" s="20" t="s">
        <v>6496</v>
      </c>
      <c r="F1677" s="20" t="s">
        <v>6497</v>
      </c>
      <c r="G1677" s="20" t="s">
        <v>6498</v>
      </c>
      <c r="H1677" s="20" t="s">
        <v>6499</v>
      </c>
      <c r="I1677" s="20" t="s">
        <v>23</v>
      </c>
      <c r="J1677" s="21">
        <v>2002</v>
      </c>
      <c r="K1677" s="20" t="s">
        <v>34</v>
      </c>
      <c r="L1677" s="21" t="s">
        <v>30</v>
      </c>
      <c r="M1677" s="21" t="s">
        <v>30</v>
      </c>
      <c r="N1677" s="20" t="s">
        <v>74</v>
      </c>
      <c r="O1677" s="20"/>
    </row>
    <row r="1678" spans="1:15" ht="13.5" customHeight="1" x14ac:dyDescent="0.25">
      <c r="A1678" s="1"/>
      <c r="B1678" s="22">
        <v>1666</v>
      </c>
      <c r="C1678" s="22">
        <v>2023</v>
      </c>
      <c r="D1678" s="22">
        <v>11062</v>
      </c>
      <c r="E1678" s="22" t="s">
        <v>6500</v>
      </c>
      <c r="F1678" s="22" t="s">
        <v>6501</v>
      </c>
      <c r="G1678" s="22" t="s">
        <v>6502</v>
      </c>
      <c r="H1678" s="22" t="s">
        <v>6503</v>
      </c>
      <c r="I1678" s="22" t="s">
        <v>23</v>
      </c>
      <c r="J1678" s="23">
        <v>2000</v>
      </c>
      <c r="K1678" s="22" t="s">
        <v>34</v>
      </c>
      <c r="L1678" s="23" t="s">
        <v>30</v>
      </c>
      <c r="M1678" s="23" t="s">
        <v>30</v>
      </c>
      <c r="N1678" s="22"/>
      <c r="O1678" s="22"/>
    </row>
    <row r="1679" spans="1:15" ht="13.5" customHeight="1" x14ac:dyDescent="0.25">
      <c r="A1679" s="1"/>
      <c r="B1679" s="20">
        <v>1667</v>
      </c>
      <c r="C1679" s="20">
        <v>2023</v>
      </c>
      <c r="D1679" s="20">
        <v>40211</v>
      </c>
      <c r="E1679" s="20" t="s">
        <v>6504</v>
      </c>
      <c r="F1679" s="20" t="s">
        <v>6505</v>
      </c>
      <c r="G1679" s="20" t="s">
        <v>6506</v>
      </c>
      <c r="H1679" s="20" t="s">
        <v>6507</v>
      </c>
      <c r="I1679" s="20" t="s">
        <v>357</v>
      </c>
      <c r="J1679" s="21">
        <v>2012</v>
      </c>
      <c r="K1679" s="20" t="s">
        <v>39</v>
      </c>
      <c r="L1679" s="21" t="s">
        <v>30</v>
      </c>
      <c r="M1679" s="21"/>
      <c r="N1679" s="20" t="s">
        <v>163</v>
      </c>
      <c r="O1679" s="20"/>
    </row>
    <row r="1680" spans="1:15" ht="13.5" customHeight="1" x14ac:dyDescent="0.25">
      <c r="A1680" s="1"/>
      <c r="B1680" s="22">
        <v>1668</v>
      </c>
      <c r="C1680" s="22">
        <v>2023</v>
      </c>
      <c r="D1680" s="22">
        <v>11065</v>
      </c>
      <c r="E1680" s="22" t="s">
        <v>6508</v>
      </c>
      <c r="F1680" s="22" t="s">
        <v>6509</v>
      </c>
      <c r="G1680" s="22" t="s">
        <v>6510</v>
      </c>
      <c r="H1680" s="22" t="s">
        <v>6511</v>
      </c>
      <c r="I1680" s="22" t="s">
        <v>23</v>
      </c>
      <c r="J1680" s="23">
        <v>2000</v>
      </c>
      <c r="K1680" s="22" t="s">
        <v>34</v>
      </c>
      <c r="L1680" s="23" t="s">
        <v>30</v>
      </c>
      <c r="M1680" s="23" t="s">
        <v>30</v>
      </c>
      <c r="N1680" s="22"/>
      <c r="O1680" s="22"/>
    </row>
    <row r="1681" spans="1:15" ht="13.5" customHeight="1" x14ac:dyDescent="0.25">
      <c r="A1681" s="1"/>
      <c r="B1681" s="20">
        <v>1669</v>
      </c>
      <c r="C1681" s="20">
        <v>2023</v>
      </c>
      <c r="D1681" s="20">
        <v>234</v>
      </c>
      <c r="E1681" s="20" t="s">
        <v>6512</v>
      </c>
      <c r="F1681" s="20" t="s">
        <v>6513</v>
      </c>
      <c r="G1681" s="20" t="s">
        <v>6514</v>
      </c>
      <c r="H1681" s="20" t="s">
        <v>6515</v>
      </c>
      <c r="I1681" s="20" t="s">
        <v>23</v>
      </c>
      <c r="J1681" s="21">
        <v>2000</v>
      </c>
      <c r="K1681" s="20" t="s">
        <v>39</v>
      </c>
      <c r="L1681" s="21" t="s">
        <v>30</v>
      </c>
      <c r="M1681" s="21" t="s">
        <v>30</v>
      </c>
      <c r="N1681" s="20"/>
      <c r="O1681" s="20"/>
    </row>
    <row r="1682" spans="1:15" ht="13.5" customHeight="1" x14ac:dyDescent="0.25">
      <c r="A1682" s="1"/>
      <c r="B1682" s="22">
        <v>1670</v>
      </c>
      <c r="C1682" s="22">
        <v>2023</v>
      </c>
      <c r="D1682" s="22">
        <v>11055</v>
      </c>
      <c r="E1682" s="22" t="s">
        <v>6516</v>
      </c>
      <c r="F1682" s="22" t="s">
        <v>6517</v>
      </c>
      <c r="G1682" s="22" t="s">
        <v>6518</v>
      </c>
      <c r="H1682" s="22" t="s">
        <v>6519</v>
      </c>
      <c r="I1682" s="22" t="s">
        <v>23</v>
      </c>
      <c r="J1682" s="23">
        <v>2000</v>
      </c>
      <c r="K1682" s="22" t="s">
        <v>34</v>
      </c>
      <c r="L1682" s="23" t="s">
        <v>30</v>
      </c>
      <c r="M1682" s="23" t="s">
        <v>30</v>
      </c>
      <c r="N1682" s="22"/>
      <c r="O1682" s="22"/>
    </row>
    <row r="1683" spans="1:15" ht="13.5" customHeight="1" x14ac:dyDescent="0.25">
      <c r="A1683" s="1"/>
      <c r="B1683" s="20">
        <v>1671</v>
      </c>
      <c r="C1683" s="20">
        <v>2023</v>
      </c>
      <c r="D1683" s="20">
        <v>12264</v>
      </c>
      <c r="E1683" s="20" t="s">
        <v>6520</v>
      </c>
      <c r="F1683" s="20" t="s">
        <v>6521</v>
      </c>
      <c r="G1683" s="20" t="s">
        <v>6522</v>
      </c>
      <c r="H1683" s="20" t="s">
        <v>6523</v>
      </c>
      <c r="I1683" s="20" t="s">
        <v>23</v>
      </c>
      <c r="J1683" s="21">
        <v>2007</v>
      </c>
      <c r="K1683" s="20" t="s">
        <v>34</v>
      </c>
      <c r="L1683" s="21" t="s">
        <v>30</v>
      </c>
      <c r="M1683" s="21" t="s">
        <v>30</v>
      </c>
      <c r="N1683" s="20" t="s">
        <v>35</v>
      </c>
      <c r="O1683" s="20"/>
    </row>
    <row r="1684" spans="1:15" ht="13.5" customHeight="1" x14ac:dyDescent="0.25">
      <c r="A1684" s="1"/>
      <c r="B1684" s="22">
        <v>1672</v>
      </c>
      <c r="C1684" s="22">
        <v>2023</v>
      </c>
      <c r="D1684" s="22">
        <v>10143</v>
      </c>
      <c r="E1684" s="22" t="s">
        <v>6524</v>
      </c>
      <c r="F1684" s="22" t="s">
        <v>6525</v>
      </c>
      <c r="G1684" s="22"/>
      <c r="H1684" s="22" t="s">
        <v>6526</v>
      </c>
      <c r="I1684" s="22" t="s">
        <v>23</v>
      </c>
      <c r="J1684" s="23">
        <v>2000</v>
      </c>
      <c r="K1684" s="22" t="s">
        <v>39</v>
      </c>
      <c r="L1684" s="23"/>
      <c r="M1684" s="23" t="s">
        <v>30</v>
      </c>
      <c r="N1684" s="22"/>
      <c r="O1684" s="22"/>
    </row>
    <row r="1685" spans="1:15" ht="13.5" customHeight="1" x14ac:dyDescent="0.25">
      <c r="A1685" s="1"/>
      <c r="B1685" s="20">
        <v>1673</v>
      </c>
      <c r="C1685" s="20">
        <v>2023</v>
      </c>
      <c r="D1685" s="20">
        <v>13311</v>
      </c>
      <c r="E1685" s="20" t="s">
        <v>6527</v>
      </c>
      <c r="F1685" s="20" t="s">
        <v>6528</v>
      </c>
      <c r="G1685" s="20"/>
      <c r="H1685" s="20" t="s">
        <v>6529</v>
      </c>
      <c r="I1685" s="20" t="s">
        <v>23</v>
      </c>
      <c r="J1685" s="21">
        <v>2004</v>
      </c>
      <c r="K1685" s="20" t="s">
        <v>34</v>
      </c>
      <c r="L1685" s="21"/>
      <c r="M1685" s="21"/>
      <c r="N1685" s="20" t="s">
        <v>275</v>
      </c>
      <c r="O1685" s="20"/>
    </row>
    <row r="1686" spans="1:15" ht="13.5" customHeight="1" x14ac:dyDescent="0.25">
      <c r="A1686" s="1"/>
      <c r="B1686" s="22">
        <v>1674</v>
      </c>
      <c r="C1686" s="22">
        <v>2023</v>
      </c>
      <c r="D1686" s="22">
        <v>12640</v>
      </c>
      <c r="E1686" s="22" t="s">
        <v>6530</v>
      </c>
      <c r="F1686" s="22" t="s">
        <v>6531</v>
      </c>
      <c r="G1686" s="22" t="s">
        <v>6532</v>
      </c>
      <c r="H1686" s="22" t="s">
        <v>6533</v>
      </c>
      <c r="I1686" s="22" t="s">
        <v>23</v>
      </c>
      <c r="J1686" s="23">
        <v>2000</v>
      </c>
      <c r="K1686" s="22" t="s">
        <v>34</v>
      </c>
      <c r="L1686" s="23" t="s">
        <v>30</v>
      </c>
      <c r="M1686" s="23"/>
      <c r="N1686" s="22" t="s">
        <v>431</v>
      </c>
      <c r="O1686" s="22"/>
    </row>
    <row r="1687" spans="1:15" ht="13.5" customHeight="1" x14ac:dyDescent="0.25">
      <c r="A1687" s="1"/>
      <c r="B1687" s="20">
        <v>1675</v>
      </c>
      <c r="C1687" s="20">
        <v>2023</v>
      </c>
      <c r="D1687" s="20">
        <v>11056</v>
      </c>
      <c r="E1687" s="20" t="s">
        <v>6534</v>
      </c>
      <c r="F1687" s="20" t="s">
        <v>6535</v>
      </c>
      <c r="G1687" s="20" t="s">
        <v>6536</v>
      </c>
      <c r="H1687" s="20" t="s">
        <v>6537</v>
      </c>
      <c r="I1687" s="20" t="s">
        <v>23</v>
      </c>
      <c r="J1687" s="21">
        <v>2000</v>
      </c>
      <c r="K1687" s="20" t="s">
        <v>34</v>
      </c>
      <c r="L1687" s="21" t="s">
        <v>30</v>
      </c>
      <c r="M1687" s="21" t="s">
        <v>30</v>
      </c>
      <c r="N1687" s="20"/>
      <c r="O1687" s="20"/>
    </row>
    <row r="1688" spans="1:15" ht="13.5" customHeight="1" x14ac:dyDescent="0.25">
      <c r="A1688" s="1"/>
      <c r="B1688" s="22">
        <v>1676</v>
      </c>
      <c r="C1688" s="22">
        <v>2023</v>
      </c>
      <c r="D1688" s="22">
        <v>354</v>
      </c>
      <c r="E1688" s="22" t="s">
        <v>6538</v>
      </c>
      <c r="F1688" s="22" t="s">
        <v>6539</v>
      </c>
      <c r="G1688" s="22" t="s">
        <v>6540</v>
      </c>
      <c r="H1688" s="22" t="s">
        <v>6541</v>
      </c>
      <c r="I1688" s="22" t="s">
        <v>6542</v>
      </c>
      <c r="J1688" s="23">
        <v>2000</v>
      </c>
      <c r="K1688" s="22" t="s">
        <v>114</v>
      </c>
      <c r="L1688" s="23" t="s">
        <v>30</v>
      </c>
      <c r="M1688" s="23" t="s">
        <v>30</v>
      </c>
      <c r="N1688" s="22"/>
      <c r="O1688" s="22"/>
    </row>
    <row r="1689" spans="1:15" ht="13.5" customHeight="1" x14ac:dyDescent="0.25">
      <c r="A1689" s="1"/>
      <c r="B1689" s="20">
        <v>1677</v>
      </c>
      <c r="C1689" s="20">
        <v>2023</v>
      </c>
      <c r="D1689" s="20">
        <v>40841</v>
      </c>
      <c r="E1689" s="20" t="s">
        <v>6543</v>
      </c>
      <c r="F1689" s="20" t="s">
        <v>6544</v>
      </c>
      <c r="G1689" s="20" t="s">
        <v>6545</v>
      </c>
      <c r="H1689" s="20" t="s">
        <v>6546</v>
      </c>
      <c r="I1689" s="20" t="s">
        <v>23</v>
      </c>
      <c r="J1689" s="21">
        <v>2015</v>
      </c>
      <c r="K1689" s="20" t="s">
        <v>73</v>
      </c>
      <c r="L1689" s="21" t="s">
        <v>30</v>
      </c>
      <c r="M1689" s="21"/>
      <c r="N1689" s="20" t="s">
        <v>68</v>
      </c>
      <c r="O1689" s="20"/>
    </row>
    <row r="1690" spans="1:15" ht="13.5" customHeight="1" x14ac:dyDescent="0.25">
      <c r="A1690" s="1"/>
      <c r="B1690" s="22">
        <v>1678</v>
      </c>
      <c r="C1690" s="22">
        <v>2023</v>
      </c>
      <c r="D1690" s="22">
        <v>4</v>
      </c>
      <c r="E1690" s="22" t="s">
        <v>6547</v>
      </c>
      <c r="F1690" s="22" t="s">
        <v>6548</v>
      </c>
      <c r="G1690" s="22" t="s">
        <v>6549</v>
      </c>
      <c r="H1690" s="22" t="s">
        <v>6550</v>
      </c>
      <c r="I1690" s="22" t="s">
        <v>223</v>
      </c>
      <c r="J1690" s="23">
        <v>2000</v>
      </c>
      <c r="K1690" s="22" t="s">
        <v>44</v>
      </c>
      <c r="L1690" s="23" t="s">
        <v>30</v>
      </c>
      <c r="M1690" s="23" t="s">
        <v>30</v>
      </c>
      <c r="N1690" s="22"/>
      <c r="O1690" s="22"/>
    </row>
    <row r="1691" spans="1:15" ht="13.5" customHeight="1" x14ac:dyDescent="0.25">
      <c r="A1691" s="1"/>
      <c r="B1691" s="20">
        <v>1679</v>
      </c>
      <c r="C1691" s="20">
        <v>2023</v>
      </c>
      <c r="D1691" s="20">
        <v>30</v>
      </c>
      <c r="E1691" s="20" t="s">
        <v>6551</v>
      </c>
      <c r="F1691" s="20" t="s">
        <v>6552</v>
      </c>
      <c r="G1691" s="20" t="s">
        <v>6553</v>
      </c>
      <c r="H1691" s="20" t="s">
        <v>6554</v>
      </c>
      <c r="I1691" s="20" t="s">
        <v>223</v>
      </c>
      <c r="J1691" s="21">
        <v>2000</v>
      </c>
      <c r="K1691" s="20" t="s">
        <v>44</v>
      </c>
      <c r="L1691" s="21" t="s">
        <v>30</v>
      </c>
      <c r="M1691" s="21" t="s">
        <v>30</v>
      </c>
      <c r="N1691" s="20"/>
      <c r="O1691" s="20"/>
    </row>
    <row r="1692" spans="1:15" ht="13.5" customHeight="1" x14ac:dyDescent="0.25">
      <c r="A1692" s="1"/>
      <c r="B1692" s="22">
        <v>1680</v>
      </c>
      <c r="C1692" s="22">
        <v>2023</v>
      </c>
      <c r="D1692" s="22">
        <v>11071</v>
      </c>
      <c r="E1692" s="22" t="s">
        <v>6555</v>
      </c>
      <c r="F1692" s="22" t="s">
        <v>6556</v>
      </c>
      <c r="G1692" s="22" t="s">
        <v>6557</v>
      </c>
      <c r="H1692" s="22" t="s">
        <v>6558</v>
      </c>
      <c r="I1692" s="22" t="s">
        <v>23</v>
      </c>
      <c r="J1692" s="23">
        <v>2000</v>
      </c>
      <c r="K1692" s="22" t="s">
        <v>67</v>
      </c>
      <c r="L1692" s="23" t="s">
        <v>30</v>
      </c>
      <c r="M1692" s="23" t="s">
        <v>30</v>
      </c>
      <c r="N1692" s="22"/>
      <c r="O1692" s="22"/>
    </row>
    <row r="1693" spans="1:15" ht="13.5" customHeight="1" x14ac:dyDescent="0.25">
      <c r="A1693" s="1"/>
      <c r="B1693" s="20">
        <v>1681</v>
      </c>
      <c r="C1693" s="20">
        <v>2023</v>
      </c>
      <c r="D1693" s="20">
        <v>10049</v>
      </c>
      <c r="E1693" s="20" t="s">
        <v>6559</v>
      </c>
      <c r="F1693" s="20" t="s">
        <v>6560</v>
      </c>
      <c r="G1693" s="20" t="s">
        <v>6561</v>
      </c>
      <c r="H1693" s="20" t="s">
        <v>6562</v>
      </c>
      <c r="I1693" s="20" t="s">
        <v>357</v>
      </c>
      <c r="J1693" s="21">
        <v>2000</v>
      </c>
      <c r="K1693" s="20" t="s">
        <v>39</v>
      </c>
      <c r="L1693" s="21" t="s">
        <v>30</v>
      </c>
      <c r="M1693" s="21" t="s">
        <v>30</v>
      </c>
      <c r="N1693" s="20"/>
      <c r="O1693" s="20"/>
    </row>
    <row r="1694" spans="1:15" ht="13.5" customHeight="1" x14ac:dyDescent="0.25">
      <c r="A1694" s="1"/>
      <c r="B1694" s="22">
        <v>1682</v>
      </c>
      <c r="C1694" s="22">
        <v>2023</v>
      </c>
      <c r="D1694" s="22">
        <v>13139</v>
      </c>
      <c r="E1694" s="22" t="s">
        <v>6563</v>
      </c>
      <c r="F1694" s="22" t="s">
        <v>6564</v>
      </c>
      <c r="G1694" s="22" t="s">
        <v>6565</v>
      </c>
      <c r="H1694" s="22" t="s">
        <v>6566</v>
      </c>
      <c r="I1694" s="22" t="s">
        <v>23</v>
      </c>
      <c r="J1694" s="23">
        <v>2010</v>
      </c>
      <c r="K1694" s="22" t="s">
        <v>39</v>
      </c>
      <c r="L1694" s="23" t="s">
        <v>30</v>
      </c>
      <c r="M1694" s="23"/>
      <c r="N1694" s="22" t="s">
        <v>173</v>
      </c>
      <c r="O1694" s="22"/>
    </row>
    <row r="1695" spans="1:15" ht="13.5" customHeight="1" x14ac:dyDescent="0.25">
      <c r="A1695" s="1"/>
      <c r="B1695" s="20">
        <v>1683</v>
      </c>
      <c r="C1695" s="20">
        <v>2023</v>
      </c>
      <c r="D1695" s="20">
        <v>41365</v>
      </c>
      <c r="E1695" s="20" t="s">
        <v>6567</v>
      </c>
      <c r="F1695" s="20" t="s">
        <v>6568</v>
      </c>
      <c r="G1695" s="20" t="s">
        <v>6569</v>
      </c>
      <c r="H1695" s="20" t="s">
        <v>6570</v>
      </c>
      <c r="I1695" s="20" t="s">
        <v>94</v>
      </c>
      <c r="J1695" s="21">
        <v>2016</v>
      </c>
      <c r="K1695" s="20" t="s">
        <v>63</v>
      </c>
      <c r="L1695" s="21" t="s">
        <v>30</v>
      </c>
      <c r="M1695" s="21"/>
      <c r="N1695" s="20" t="s">
        <v>1470</v>
      </c>
      <c r="O1695" s="20"/>
    </row>
    <row r="1696" spans="1:15" ht="13.5" customHeight="1" x14ac:dyDescent="0.25">
      <c r="A1696" s="1"/>
      <c r="B1696" s="22">
        <v>1684</v>
      </c>
      <c r="C1696" s="22">
        <v>2023</v>
      </c>
      <c r="D1696" s="22">
        <v>11075</v>
      </c>
      <c r="E1696" s="22" t="s">
        <v>6571</v>
      </c>
      <c r="F1696" s="22" t="s">
        <v>6572</v>
      </c>
      <c r="G1696" s="22" t="s">
        <v>6573</v>
      </c>
      <c r="H1696" s="22" t="s">
        <v>6574</v>
      </c>
      <c r="I1696" s="22" t="s">
        <v>23</v>
      </c>
      <c r="J1696" s="23">
        <v>2000</v>
      </c>
      <c r="K1696" s="22" t="s">
        <v>114</v>
      </c>
      <c r="L1696" s="23" t="s">
        <v>30</v>
      </c>
      <c r="M1696" s="23" t="s">
        <v>30</v>
      </c>
      <c r="N1696" s="22"/>
      <c r="O1696" s="22"/>
    </row>
    <row r="1697" spans="1:15" ht="13.5" customHeight="1" x14ac:dyDescent="0.25">
      <c r="A1697" s="1"/>
      <c r="B1697" s="20">
        <v>1685</v>
      </c>
      <c r="C1697" s="20">
        <v>2023</v>
      </c>
      <c r="D1697" s="20">
        <v>12258</v>
      </c>
      <c r="E1697" s="20" t="s">
        <v>6575</v>
      </c>
      <c r="F1697" s="20" t="s">
        <v>6576</v>
      </c>
      <c r="G1697" s="20" t="s">
        <v>6577</v>
      </c>
      <c r="H1697" s="20" t="s">
        <v>6578</v>
      </c>
      <c r="I1697" s="20" t="s">
        <v>62</v>
      </c>
      <c r="J1697" s="21">
        <v>2008</v>
      </c>
      <c r="K1697" s="20" t="s">
        <v>44</v>
      </c>
      <c r="L1697" s="21" t="s">
        <v>30</v>
      </c>
      <c r="M1697" s="21" t="s">
        <v>30</v>
      </c>
      <c r="N1697" s="20" t="s">
        <v>352</v>
      </c>
      <c r="O1697" s="20"/>
    </row>
    <row r="1698" spans="1:15" ht="13.5" customHeight="1" x14ac:dyDescent="0.25">
      <c r="A1698" s="1"/>
      <c r="B1698" s="22">
        <v>1686</v>
      </c>
      <c r="C1698" s="22">
        <v>2023</v>
      </c>
      <c r="D1698" s="22">
        <v>211</v>
      </c>
      <c r="E1698" s="22" t="s">
        <v>6579</v>
      </c>
      <c r="F1698" s="22" t="s">
        <v>6580</v>
      </c>
      <c r="G1698" s="22" t="s">
        <v>6581</v>
      </c>
      <c r="H1698" s="22" t="s">
        <v>6582</v>
      </c>
      <c r="I1698" s="22" t="s">
        <v>23</v>
      </c>
      <c r="J1698" s="23">
        <v>2000</v>
      </c>
      <c r="K1698" s="22" t="s">
        <v>44</v>
      </c>
      <c r="L1698" s="23" t="s">
        <v>30</v>
      </c>
      <c r="M1698" s="23" t="s">
        <v>30</v>
      </c>
      <c r="N1698" s="22"/>
      <c r="O1698" s="22"/>
    </row>
    <row r="1699" spans="1:15" ht="13.5" customHeight="1" x14ac:dyDescent="0.25">
      <c r="A1699" s="1"/>
      <c r="B1699" s="20">
        <v>1687</v>
      </c>
      <c r="C1699" s="20">
        <v>2023</v>
      </c>
      <c r="D1699" s="20">
        <v>10705</v>
      </c>
      <c r="E1699" s="20" t="s">
        <v>6583</v>
      </c>
      <c r="F1699" s="20" t="s">
        <v>6584</v>
      </c>
      <c r="G1699" s="20" t="s">
        <v>6585</v>
      </c>
      <c r="H1699" s="20" t="s">
        <v>6586</v>
      </c>
      <c r="I1699" s="20" t="s">
        <v>23</v>
      </c>
      <c r="J1699" s="21">
        <v>2000</v>
      </c>
      <c r="K1699" s="20" t="s">
        <v>34</v>
      </c>
      <c r="L1699" s="21" t="s">
        <v>30</v>
      </c>
      <c r="M1699" s="21" t="s">
        <v>30</v>
      </c>
      <c r="N1699" s="20"/>
      <c r="O1699" s="20"/>
    </row>
    <row r="1700" spans="1:15" ht="13.5" customHeight="1" x14ac:dyDescent="0.25">
      <c r="A1700" s="1"/>
      <c r="B1700" s="22">
        <v>1688</v>
      </c>
      <c r="C1700" s="22">
        <v>2023</v>
      </c>
      <c r="D1700" s="22">
        <v>41110</v>
      </c>
      <c r="E1700" s="22" t="s">
        <v>6587</v>
      </c>
      <c r="F1700" s="22" t="s">
        <v>6588</v>
      </c>
      <c r="G1700" s="22"/>
      <c r="H1700" s="22" t="s">
        <v>6589</v>
      </c>
      <c r="I1700" s="22" t="s">
        <v>23</v>
      </c>
      <c r="J1700" s="23">
        <v>2016</v>
      </c>
      <c r="K1700" s="22" t="s">
        <v>39</v>
      </c>
      <c r="L1700" s="23"/>
      <c r="M1700" s="23"/>
      <c r="N1700" s="22"/>
      <c r="O1700" s="22"/>
    </row>
    <row r="1701" spans="1:15" ht="13.5" customHeight="1" x14ac:dyDescent="0.25">
      <c r="A1701" s="1"/>
      <c r="B1701" s="20">
        <v>1689</v>
      </c>
      <c r="C1701" s="20">
        <v>2023</v>
      </c>
      <c r="D1701" s="20">
        <v>11678</v>
      </c>
      <c r="E1701" s="20" t="s">
        <v>6590</v>
      </c>
      <c r="F1701" s="20" t="s">
        <v>6591</v>
      </c>
      <c r="G1701" s="20" t="s">
        <v>6592</v>
      </c>
      <c r="H1701" s="20" t="s">
        <v>6593</v>
      </c>
      <c r="I1701" s="20" t="s">
        <v>357</v>
      </c>
      <c r="J1701" s="21">
        <v>2006</v>
      </c>
      <c r="K1701" s="20" t="s">
        <v>39</v>
      </c>
      <c r="L1701" s="21" t="s">
        <v>30</v>
      </c>
      <c r="M1701" s="21" t="s">
        <v>30</v>
      </c>
      <c r="N1701" s="20" t="s">
        <v>245</v>
      </c>
      <c r="O1701" s="20"/>
    </row>
    <row r="1702" spans="1:15" ht="13.5" customHeight="1" x14ac:dyDescent="0.25">
      <c r="A1702" s="1"/>
      <c r="B1702" s="22">
        <v>1690</v>
      </c>
      <c r="C1702" s="22">
        <v>2023</v>
      </c>
      <c r="D1702" s="22">
        <v>11695</v>
      </c>
      <c r="E1702" s="22" t="s">
        <v>6594</v>
      </c>
      <c r="F1702" s="22" t="s">
        <v>6595</v>
      </c>
      <c r="G1702" s="22" t="s">
        <v>6596</v>
      </c>
      <c r="H1702" s="22" t="s">
        <v>6597</v>
      </c>
      <c r="I1702" s="22" t="s">
        <v>23</v>
      </c>
      <c r="J1702" s="23">
        <v>2000</v>
      </c>
      <c r="K1702" s="22" t="s">
        <v>39</v>
      </c>
      <c r="L1702" s="23" t="s">
        <v>30</v>
      </c>
      <c r="M1702" s="23" t="s">
        <v>30</v>
      </c>
      <c r="N1702" s="22" t="s">
        <v>74</v>
      </c>
      <c r="O1702" s="22"/>
    </row>
    <row r="1703" spans="1:15" ht="13.5" customHeight="1" x14ac:dyDescent="0.25">
      <c r="A1703" s="1"/>
      <c r="B1703" s="20">
        <v>1691</v>
      </c>
      <c r="C1703" s="20">
        <v>2023</v>
      </c>
      <c r="D1703" s="20">
        <v>41542</v>
      </c>
      <c r="E1703" s="20" t="s">
        <v>6598</v>
      </c>
      <c r="F1703" s="20" t="s">
        <v>6599</v>
      </c>
      <c r="G1703" s="20" t="s">
        <v>6600</v>
      </c>
      <c r="H1703" s="20" t="s">
        <v>6601</v>
      </c>
      <c r="I1703" s="20" t="s">
        <v>23</v>
      </c>
      <c r="J1703" s="21">
        <v>2017</v>
      </c>
      <c r="K1703" s="20" t="s">
        <v>203</v>
      </c>
      <c r="L1703" s="21" t="s">
        <v>30</v>
      </c>
      <c r="M1703" s="21"/>
      <c r="N1703" s="20" t="s">
        <v>265</v>
      </c>
      <c r="O1703" s="20"/>
    </row>
    <row r="1704" spans="1:15" ht="13.5" customHeight="1" x14ac:dyDescent="0.25">
      <c r="A1704" s="1"/>
      <c r="B1704" s="22">
        <v>1692</v>
      </c>
      <c r="C1704" s="22">
        <v>2023</v>
      </c>
      <c r="D1704" s="22">
        <v>10236</v>
      </c>
      <c r="E1704" s="22" t="s">
        <v>6602</v>
      </c>
      <c r="F1704" s="22" t="s">
        <v>6603</v>
      </c>
      <c r="G1704" s="22" t="s">
        <v>6604</v>
      </c>
      <c r="H1704" s="22" t="s">
        <v>6605</v>
      </c>
      <c r="I1704" s="22" t="s">
        <v>23</v>
      </c>
      <c r="J1704" s="23">
        <v>2000</v>
      </c>
      <c r="K1704" s="22" t="s">
        <v>95</v>
      </c>
      <c r="L1704" s="23" t="s">
        <v>30</v>
      </c>
      <c r="M1704" s="23" t="s">
        <v>30</v>
      </c>
      <c r="N1704" s="22"/>
      <c r="O1704" s="22"/>
    </row>
    <row r="1705" spans="1:15" ht="13.5" customHeight="1" x14ac:dyDescent="0.25">
      <c r="A1705" s="1"/>
      <c r="B1705" s="20">
        <v>1693</v>
      </c>
      <c r="C1705" s="20">
        <v>2023</v>
      </c>
      <c r="D1705" s="20">
        <v>12601</v>
      </c>
      <c r="E1705" s="20" t="s">
        <v>6606</v>
      </c>
      <c r="F1705" s="20" t="s">
        <v>6607</v>
      </c>
      <c r="G1705" s="20" t="s">
        <v>6608</v>
      </c>
      <c r="H1705" s="20" t="s">
        <v>6609</v>
      </c>
      <c r="I1705" s="20" t="s">
        <v>6610</v>
      </c>
      <c r="J1705" s="21">
        <v>2005</v>
      </c>
      <c r="K1705" s="20" t="s">
        <v>95</v>
      </c>
      <c r="L1705" s="21" t="s">
        <v>30</v>
      </c>
      <c r="M1705" s="21"/>
      <c r="N1705" s="20" t="s">
        <v>431</v>
      </c>
      <c r="O1705" s="20"/>
    </row>
    <row r="1706" spans="1:15" ht="13.5" customHeight="1" x14ac:dyDescent="0.25">
      <c r="A1706" s="1"/>
      <c r="B1706" s="22">
        <v>1694</v>
      </c>
      <c r="C1706" s="22">
        <v>2023</v>
      </c>
      <c r="D1706" s="22">
        <v>11491</v>
      </c>
      <c r="E1706" s="22" t="s">
        <v>6611</v>
      </c>
      <c r="F1706" s="22" t="s">
        <v>6612</v>
      </c>
      <c r="G1706" s="22" t="s">
        <v>6613</v>
      </c>
      <c r="H1706" s="22" t="s">
        <v>6614</v>
      </c>
      <c r="I1706" s="22" t="s">
        <v>62</v>
      </c>
      <c r="J1706" s="23">
        <v>2006</v>
      </c>
      <c r="K1706" s="22" t="s">
        <v>95</v>
      </c>
      <c r="L1706" s="23" t="s">
        <v>30</v>
      </c>
      <c r="M1706" s="23" t="s">
        <v>30</v>
      </c>
      <c r="N1706" s="22"/>
      <c r="O1706" s="22"/>
    </row>
    <row r="1707" spans="1:15" ht="13.5" customHeight="1" x14ac:dyDescent="0.25">
      <c r="A1707" s="1"/>
      <c r="B1707" s="20">
        <v>1695</v>
      </c>
      <c r="C1707" s="20">
        <v>2023</v>
      </c>
      <c r="D1707" s="20">
        <v>10266</v>
      </c>
      <c r="E1707" s="20" t="s">
        <v>6615</v>
      </c>
      <c r="F1707" s="20" t="s">
        <v>6616</v>
      </c>
      <c r="G1707" s="20" t="s">
        <v>6617</v>
      </c>
      <c r="H1707" s="20" t="s">
        <v>6618</v>
      </c>
      <c r="I1707" s="20" t="s">
        <v>23</v>
      </c>
      <c r="J1707" s="21">
        <v>2000</v>
      </c>
      <c r="K1707" s="20" t="s">
        <v>39</v>
      </c>
      <c r="L1707" s="21" t="s">
        <v>30</v>
      </c>
      <c r="M1707" s="21" t="s">
        <v>30</v>
      </c>
      <c r="N1707" s="20"/>
      <c r="O1707" s="20"/>
    </row>
    <row r="1708" spans="1:15" ht="13.5" customHeight="1" x14ac:dyDescent="0.25">
      <c r="A1708" s="1"/>
      <c r="B1708" s="22">
        <v>1696</v>
      </c>
      <c r="C1708" s="22">
        <v>2023</v>
      </c>
      <c r="D1708" s="22">
        <v>442</v>
      </c>
      <c r="E1708" s="22" t="s">
        <v>6619</v>
      </c>
      <c r="F1708" s="22" t="s">
        <v>6620</v>
      </c>
      <c r="G1708" s="22" t="s">
        <v>6621</v>
      </c>
      <c r="H1708" s="22" t="s">
        <v>6622</v>
      </c>
      <c r="I1708" s="22" t="s">
        <v>23</v>
      </c>
      <c r="J1708" s="23">
        <v>2000</v>
      </c>
      <c r="K1708" s="22" t="s">
        <v>34</v>
      </c>
      <c r="L1708" s="23" t="s">
        <v>30</v>
      </c>
      <c r="M1708" s="23" t="s">
        <v>30</v>
      </c>
      <c r="N1708" s="22"/>
      <c r="O1708" s="22"/>
    </row>
    <row r="1709" spans="1:15" ht="13.5" customHeight="1" x14ac:dyDescent="0.25">
      <c r="A1709" s="1"/>
      <c r="B1709" s="20">
        <v>1697</v>
      </c>
      <c r="C1709" s="20">
        <v>2023</v>
      </c>
      <c r="D1709" s="20">
        <v>11079</v>
      </c>
      <c r="E1709" s="20" t="s">
        <v>6623</v>
      </c>
      <c r="F1709" s="20" t="s">
        <v>6624</v>
      </c>
      <c r="G1709" s="20" t="s">
        <v>6625</v>
      </c>
      <c r="H1709" s="20" t="s">
        <v>6626</v>
      </c>
      <c r="I1709" s="20" t="s">
        <v>23</v>
      </c>
      <c r="J1709" s="21">
        <v>2000</v>
      </c>
      <c r="K1709" s="20" t="s">
        <v>475</v>
      </c>
      <c r="L1709" s="21" t="s">
        <v>30</v>
      </c>
      <c r="M1709" s="21" t="s">
        <v>30</v>
      </c>
      <c r="N1709" s="20"/>
      <c r="O1709" s="20"/>
    </row>
    <row r="1710" spans="1:15" ht="13.5" customHeight="1" x14ac:dyDescent="0.25">
      <c r="A1710" s="1"/>
      <c r="B1710" s="22">
        <v>1698</v>
      </c>
      <c r="C1710" s="22">
        <v>2023</v>
      </c>
      <c r="D1710" s="22">
        <v>12351</v>
      </c>
      <c r="E1710" s="22" t="s">
        <v>6627</v>
      </c>
      <c r="F1710" s="22" t="s">
        <v>6628</v>
      </c>
      <c r="G1710" s="22"/>
      <c r="H1710" s="22" t="s">
        <v>6629</v>
      </c>
      <c r="I1710" s="22" t="s">
        <v>23</v>
      </c>
      <c r="J1710" s="23">
        <v>2001</v>
      </c>
      <c r="K1710" s="22" t="s">
        <v>29</v>
      </c>
      <c r="L1710" s="23"/>
      <c r="M1710" s="23" t="s">
        <v>30</v>
      </c>
      <c r="N1710" s="22" t="s">
        <v>35</v>
      </c>
      <c r="O1710" s="22"/>
    </row>
    <row r="1711" spans="1:15" ht="13.5" customHeight="1" x14ac:dyDescent="0.25">
      <c r="A1711" s="1"/>
      <c r="B1711" s="20">
        <v>1699</v>
      </c>
      <c r="C1711" s="20">
        <v>2023</v>
      </c>
      <c r="D1711" s="20">
        <v>12063</v>
      </c>
      <c r="E1711" s="20" t="s">
        <v>6630</v>
      </c>
      <c r="F1711" s="20" t="s">
        <v>6631</v>
      </c>
      <c r="G1711" s="20"/>
      <c r="H1711" s="20" t="s">
        <v>6632</v>
      </c>
      <c r="I1711" s="20" t="s">
        <v>23</v>
      </c>
      <c r="J1711" s="21">
        <v>2008</v>
      </c>
      <c r="K1711" s="20" t="s">
        <v>29</v>
      </c>
      <c r="L1711" s="21"/>
      <c r="M1711" s="21" t="s">
        <v>30</v>
      </c>
      <c r="N1711" s="20" t="s">
        <v>352</v>
      </c>
      <c r="O1711" s="20"/>
    </row>
    <row r="1712" spans="1:15" ht="13.5" customHeight="1" x14ac:dyDescent="0.25">
      <c r="A1712" s="1"/>
      <c r="B1712" s="22">
        <v>1700</v>
      </c>
      <c r="C1712" s="22">
        <v>2023</v>
      </c>
      <c r="D1712" s="22">
        <v>43069</v>
      </c>
      <c r="E1712" s="22" t="s">
        <v>6633</v>
      </c>
      <c r="F1712" s="22" t="s">
        <v>6634</v>
      </c>
      <c r="G1712" s="22"/>
      <c r="H1712" s="22" t="s">
        <v>6635</v>
      </c>
      <c r="I1712" s="22" t="s">
        <v>2040</v>
      </c>
      <c r="J1712" s="23">
        <v>2020</v>
      </c>
      <c r="K1712" s="22" t="s">
        <v>29</v>
      </c>
      <c r="L1712" s="23"/>
      <c r="M1712" s="23" t="s">
        <v>30</v>
      </c>
      <c r="N1712" s="22" t="s">
        <v>48</v>
      </c>
      <c r="O1712" s="22"/>
    </row>
    <row r="1713" spans="1:15" ht="13.5" customHeight="1" x14ac:dyDescent="0.25">
      <c r="A1713" s="1"/>
      <c r="B1713" s="20">
        <v>1701</v>
      </c>
      <c r="C1713" s="20">
        <v>2023</v>
      </c>
      <c r="D1713" s="20">
        <v>64</v>
      </c>
      <c r="E1713" s="20" t="s">
        <v>6636</v>
      </c>
      <c r="F1713" s="20" t="s">
        <v>6637</v>
      </c>
      <c r="G1713" s="20" t="s">
        <v>6638</v>
      </c>
      <c r="H1713" s="20" t="s">
        <v>6639</v>
      </c>
      <c r="I1713" s="20" t="s">
        <v>357</v>
      </c>
      <c r="J1713" s="21">
        <v>2000</v>
      </c>
      <c r="K1713" s="20" t="s">
        <v>39</v>
      </c>
      <c r="L1713" s="21" t="s">
        <v>30</v>
      </c>
      <c r="M1713" s="21" t="s">
        <v>30</v>
      </c>
      <c r="N1713" s="20"/>
      <c r="O1713" s="20"/>
    </row>
    <row r="1714" spans="1:15" ht="13.5" customHeight="1" x14ac:dyDescent="0.25">
      <c r="A1714" s="1"/>
      <c r="B1714" s="22">
        <v>1702</v>
      </c>
      <c r="C1714" s="22">
        <v>2023</v>
      </c>
      <c r="D1714" s="22">
        <v>12597</v>
      </c>
      <c r="E1714" s="22" t="s">
        <v>6640</v>
      </c>
      <c r="F1714" s="22" t="s">
        <v>6641</v>
      </c>
      <c r="G1714" s="22" t="s">
        <v>6642</v>
      </c>
      <c r="H1714" s="22" t="s">
        <v>6643</v>
      </c>
      <c r="I1714" s="22" t="s">
        <v>23</v>
      </c>
      <c r="J1714" s="23">
        <v>2000</v>
      </c>
      <c r="K1714" s="22" t="s">
        <v>29</v>
      </c>
      <c r="L1714" s="23" t="s">
        <v>30</v>
      </c>
      <c r="M1714" s="23"/>
      <c r="N1714" s="22" t="s">
        <v>431</v>
      </c>
      <c r="O1714" s="22"/>
    </row>
    <row r="1715" spans="1:15" ht="13.5" customHeight="1" x14ac:dyDescent="0.25">
      <c r="A1715" s="1"/>
      <c r="B1715" s="20">
        <v>1703</v>
      </c>
      <c r="C1715" s="20">
        <v>2023</v>
      </c>
      <c r="D1715" s="20">
        <v>11082</v>
      </c>
      <c r="E1715" s="20" t="s">
        <v>6644</v>
      </c>
      <c r="F1715" s="20" t="s">
        <v>6645</v>
      </c>
      <c r="G1715" s="20" t="s">
        <v>6646</v>
      </c>
      <c r="H1715" s="20" t="s">
        <v>6647</v>
      </c>
      <c r="I1715" s="20" t="s">
        <v>23</v>
      </c>
      <c r="J1715" s="21">
        <v>2000</v>
      </c>
      <c r="K1715" s="20" t="s">
        <v>63</v>
      </c>
      <c r="L1715" s="21" t="s">
        <v>30</v>
      </c>
      <c r="M1715" s="21" t="s">
        <v>30</v>
      </c>
      <c r="N1715" s="20"/>
      <c r="O1715" s="20"/>
    </row>
    <row r="1716" spans="1:15" ht="13.5" customHeight="1" x14ac:dyDescent="0.25">
      <c r="A1716" s="1"/>
      <c r="B1716" s="22">
        <v>1704</v>
      </c>
      <c r="C1716" s="22">
        <v>2023</v>
      </c>
      <c r="D1716" s="22">
        <v>12005</v>
      </c>
      <c r="E1716" s="22" t="s">
        <v>6648</v>
      </c>
      <c r="F1716" s="22" t="s">
        <v>6649</v>
      </c>
      <c r="G1716" s="22" t="s">
        <v>6650</v>
      </c>
      <c r="H1716" s="22" t="s">
        <v>6651</v>
      </c>
      <c r="I1716" s="22" t="s">
        <v>62</v>
      </c>
      <c r="J1716" s="23">
        <v>2007</v>
      </c>
      <c r="K1716" s="22" t="s">
        <v>114</v>
      </c>
      <c r="L1716" s="23" t="s">
        <v>30</v>
      </c>
      <c r="M1716" s="23" t="s">
        <v>30</v>
      </c>
      <c r="N1716" s="22" t="s">
        <v>74</v>
      </c>
      <c r="O1716" s="22"/>
    </row>
    <row r="1717" spans="1:15" ht="13.5" customHeight="1" x14ac:dyDescent="0.25">
      <c r="A1717" s="1"/>
      <c r="B1717" s="20">
        <v>1705</v>
      </c>
      <c r="C1717" s="20">
        <v>2023</v>
      </c>
      <c r="D1717" s="20">
        <v>10043</v>
      </c>
      <c r="E1717" s="20" t="s">
        <v>6652</v>
      </c>
      <c r="F1717" s="20" t="s">
        <v>6653</v>
      </c>
      <c r="G1717" s="20"/>
      <c r="H1717" s="20" t="s">
        <v>6654</v>
      </c>
      <c r="I1717" s="20" t="s">
        <v>23</v>
      </c>
      <c r="J1717" s="21">
        <v>2000</v>
      </c>
      <c r="K1717" s="20" t="s">
        <v>63</v>
      </c>
      <c r="L1717" s="21"/>
      <c r="M1717" s="21" t="s">
        <v>30</v>
      </c>
      <c r="N1717" s="20"/>
      <c r="O1717" s="20"/>
    </row>
    <row r="1718" spans="1:15" ht="13.5" customHeight="1" x14ac:dyDescent="0.25">
      <c r="A1718" s="1"/>
      <c r="B1718" s="22">
        <v>1706</v>
      </c>
      <c r="C1718" s="22">
        <v>2023</v>
      </c>
      <c r="D1718" s="22">
        <v>11449</v>
      </c>
      <c r="E1718" s="22" t="s">
        <v>6655</v>
      </c>
      <c r="F1718" s="22" t="s">
        <v>6656</v>
      </c>
      <c r="G1718" s="22" t="s">
        <v>6657</v>
      </c>
      <c r="H1718" s="22" t="s">
        <v>6658</v>
      </c>
      <c r="I1718" s="22" t="s">
        <v>62</v>
      </c>
      <c r="J1718" s="23">
        <v>2000</v>
      </c>
      <c r="K1718" s="22" t="s">
        <v>63</v>
      </c>
      <c r="L1718" s="23" t="s">
        <v>30</v>
      </c>
      <c r="M1718" s="23" t="s">
        <v>30</v>
      </c>
      <c r="N1718" s="22"/>
      <c r="O1718" s="22"/>
    </row>
    <row r="1719" spans="1:15" ht="13.5" customHeight="1" x14ac:dyDescent="0.25">
      <c r="A1719" s="1"/>
      <c r="B1719" s="20">
        <v>1707</v>
      </c>
      <c r="C1719" s="20">
        <v>2023</v>
      </c>
      <c r="D1719" s="20">
        <v>11081</v>
      </c>
      <c r="E1719" s="20" t="s">
        <v>6659</v>
      </c>
      <c r="F1719" s="20" t="s">
        <v>6660</v>
      </c>
      <c r="G1719" s="20" t="s">
        <v>6661</v>
      </c>
      <c r="H1719" s="20" t="s">
        <v>6662</v>
      </c>
      <c r="I1719" s="20" t="s">
        <v>23</v>
      </c>
      <c r="J1719" s="21">
        <v>2000</v>
      </c>
      <c r="K1719" s="20" t="s">
        <v>44</v>
      </c>
      <c r="L1719" s="21" t="s">
        <v>30</v>
      </c>
      <c r="M1719" s="21" t="s">
        <v>30</v>
      </c>
      <c r="N1719" s="20"/>
      <c r="O1719" s="20"/>
    </row>
    <row r="1720" spans="1:15" ht="13.5" customHeight="1" x14ac:dyDescent="0.25">
      <c r="A1720" s="1"/>
      <c r="B1720" s="22">
        <v>1708</v>
      </c>
      <c r="C1720" s="22">
        <v>2023</v>
      </c>
      <c r="D1720" s="22">
        <v>11590</v>
      </c>
      <c r="E1720" s="22" t="s">
        <v>6663</v>
      </c>
      <c r="F1720" s="22" t="s">
        <v>6664</v>
      </c>
      <c r="G1720" s="22" t="s">
        <v>6665</v>
      </c>
      <c r="H1720" s="22" t="s">
        <v>6666</v>
      </c>
      <c r="I1720" s="22" t="s">
        <v>23</v>
      </c>
      <c r="J1720" s="23">
        <v>2007</v>
      </c>
      <c r="K1720" s="22" t="s">
        <v>44</v>
      </c>
      <c r="L1720" s="23" t="s">
        <v>30</v>
      </c>
      <c r="M1720" s="23" t="s">
        <v>30</v>
      </c>
      <c r="N1720" s="22" t="s">
        <v>245</v>
      </c>
      <c r="O1720" s="22"/>
    </row>
    <row r="1721" spans="1:15" ht="13.5" customHeight="1" x14ac:dyDescent="0.25">
      <c r="A1721" s="1"/>
      <c r="B1721" s="20">
        <v>1709</v>
      </c>
      <c r="C1721" s="20">
        <v>2023</v>
      </c>
      <c r="D1721" s="20">
        <v>11801</v>
      </c>
      <c r="E1721" s="20" t="s">
        <v>6667</v>
      </c>
      <c r="F1721" s="20" t="s">
        <v>6668</v>
      </c>
      <c r="G1721" s="20" t="s">
        <v>6669</v>
      </c>
      <c r="H1721" s="20" t="s">
        <v>6670</v>
      </c>
      <c r="I1721" s="20" t="s">
        <v>6671</v>
      </c>
      <c r="J1721" s="21">
        <v>2005</v>
      </c>
      <c r="K1721" s="20" t="s">
        <v>63</v>
      </c>
      <c r="L1721" s="21" t="s">
        <v>30</v>
      </c>
      <c r="M1721" s="21" t="s">
        <v>30</v>
      </c>
      <c r="N1721" s="20" t="s">
        <v>74</v>
      </c>
      <c r="O1721" s="20"/>
    </row>
    <row r="1722" spans="1:15" ht="13.5" customHeight="1" x14ac:dyDescent="0.25">
      <c r="A1722" s="1"/>
      <c r="B1722" s="22">
        <v>1710</v>
      </c>
      <c r="C1722" s="22">
        <v>2023</v>
      </c>
      <c r="D1722" s="22">
        <v>11974</v>
      </c>
      <c r="E1722" s="22" t="s">
        <v>6672</v>
      </c>
      <c r="F1722" s="22" t="s">
        <v>6673</v>
      </c>
      <c r="G1722" s="22" t="s">
        <v>6674</v>
      </c>
      <c r="H1722" s="22" t="s">
        <v>6675</v>
      </c>
      <c r="I1722" s="22" t="s">
        <v>62</v>
      </c>
      <c r="J1722" s="23">
        <v>2007</v>
      </c>
      <c r="K1722" s="22" t="s">
        <v>63</v>
      </c>
      <c r="L1722" s="23" t="s">
        <v>30</v>
      </c>
      <c r="M1722" s="23" t="s">
        <v>30</v>
      </c>
      <c r="N1722" s="22" t="s">
        <v>74</v>
      </c>
      <c r="O1722" s="22"/>
    </row>
    <row r="1723" spans="1:15" ht="13.5" customHeight="1" x14ac:dyDescent="0.25">
      <c r="A1723" s="1"/>
      <c r="B1723" s="20">
        <v>1711</v>
      </c>
      <c r="C1723" s="20">
        <v>2023</v>
      </c>
      <c r="D1723" s="20">
        <v>291</v>
      </c>
      <c r="E1723" s="20" t="s">
        <v>6676</v>
      </c>
      <c r="F1723" s="20" t="s">
        <v>6677</v>
      </c>
      <c r="G1723" s="20" t="s">
        <v>6678</v>
      </c>
      <c r="H1723" s="20" t="s">
        <v>6679</v>
      </c>
      <c r="I1723" s="20" t="s">
        <v>23</v>
      </c>
      <c r="J1723" s="21">
        <v>2000</v>
      </c>
      <c r="K1723" s="20" t="s">
        <v>29</v>
      </c>
      <c r="L1723" s="21" t="s">
        <v>30</v>
      </c>
      <c r="M1723" s="21" t="s">
        <v>30</v>
      </c>
      <c r="N1723" s="20"/>
      <c r="O1723" s="20"/>
    </row>
    <row r="1724" spans="1:15" ht="13.5" customHeight="1" x14ac:dyDescent="0.25">
      <c r="A1724" s="1"/>
      <c r="B1724" s="22">
        <v>1712</v>
      </c>
      <c r="C1724" s="22">
        <v>2023</v>
      </c>
      <c r="D1724" s="22">
        <v>10006</v>
      </c>
      <c r="E1724" s="22" t="s">
        <v>6680</v>
      </c>
      <c r="F1724" s="22" t="s">
        <v>6681</v>
      </c>
      <c r="G1724" s="22"/>
      <c r="H1724" s="22" t="s">
        <v>6682</v>
      </c>
      <c r="I1724" s="22" t="s">
        <v>23</v>
      </c>
      <c r="J1724" s="23">
        <v>2000</v>
      </c>
      <c r="K1724" s="22" t="s">
        <v>39</v>
      </c>
      <c r="L1724" s="23"/>
      <c r="M1724" s="23" t="s">
        <v>30</v>
      </c>
      <c r="N1724" s="22"/>
      <c r="O1724" s="22"/>
    </row>
    <row r="1725" spans="1:15" ht="13.5" customHeight="1" x14ac:dyDescent="0.25">
      <c r="A1725" s="1"/>
      <c r="B1725" s="20">
        <v>1713</v>
      </c>
      <c r="C1725" s="20">
        <v>2023</v>
      </c>
      <c r="D1725" s="20">
        <v>11282</v>
      </c>
      <c r="E1725" s="20" t="s">
        <v>6683</v>
      </c>
      <c r="F1725" s="20" t="s">
        <v>6684</v>
      </c>
      <c r="G1725" s="20" t="s">
        <v>6685</v>
      </c>
      <c r="H1725" s="20" t="s">
        <v>6686</v>
      </c>
      <c r="I1725" s="20" t="s">
        <v>23</v>
      </c>
      <c r="J1725" s="21">
        <v>2000</v>
      </c>
      <c r="K1725" s="20" t="s">
        <v>39</v>
      </c>
      <c r="L1725" s="21" t="s">
        <v>30</v>
      </c>
      <c r="M1725" s="21" t="s">
        <v>30</v>
      </c>
      <c r="N1725" s="20"/>
      <c r="O1725" s="20"/>
    </row>
    <row r="1726" spans="1:15" ht="13.5" customHeight="1" x14ac:dyDescent="0.25">
      <c r="A1726" s="1"/>
      <c r="B1726" s="22">
        <v>1714</v>
      </c>
      <c r="C1726" s="22">
        <v>2023</v>
      </c>
      <c r="D1726" s="22">
        <v>11083</v>
      </c>
      <c r="E1726" s="22" t="s">
        <v>6687</v>
      </c>
      <c r="F1726" s="22" t="s">
        <v>6688</v>
      </c>
      <c r="G1726" s="22" t="s">
        <v>6689</v>
      </c>
      <c r="H1726" s="22" t="s">
        <v>6690</v>
      </c>
      <c r="I1726" s="22" t="s">
        <v>23</v>
      </c>
      <c r="J1726" s="23">
        <v>2000</v>
      </c>
      <c r="K1726" s="22" t="s">
        <v>44</v>
      </c>
      <c r="L1726" s="23" t="s">
        <v>30</v>
      </c>
      <c r="M1726" s="23" t="s">
        <v>30</v>
      </c>
      <c r="N1726" s="22"/>
      <c r="O1726" s="22"/>
    </row>
    <row r="1727" spans="1:15" ht="13.5" customHeight="1" x14ac:dyDescent="0.25">
      <c r="A1727" s="1"/>
      <c r="B1727" s="20">
        <v>1715</v>
      </c>
      <c r="C1727" s="20">
        <v>2023</v>
      </c>
      <c r="D1727" s="20">
        <v>13165</v>
      </c>
      <c r="E1727" s="20" t="s">
        <v>6691</v>
      </c>
      <c r="F1727" s="20" t="s">
        <v>6692</v>
      </c>
      <c r="G1727" s="20" t="s">
        <v>6693</v>
      </c>
      <c r="H1727" s="20" t="s">
        <v>6694</v>
      </c>
      <c r="I1727" s="20" t="s">
        <v>23</v>
      </c>
      <c r="J1727" s="21">
        <v>2011</v>
      </c>
      <c r="K1727" s="20" t="s">
        <v>34</v>
      </c>
      <c r="L1727" s="21" t="s">
        <v>30</v>
      </c>
      <c r="M1727" s="21"/>
      <c r="N1727" s="20" t="s">
        <v>250</v>
      </c>
      <c r="O1727" s="20"/>
    </row>
    <row r="1728" spans="1:15" ht="13.5" customHeight="1" x14ac:dyDescent="0.25">
      <c r="A1728" s="1"/>
      <c r="B1728" s="22">
        <v>1716</v>
      </c>
      <c r="C1728" s="22">
        <v>2023</v>
      </c>
      <c r="D1728" s="22">
        <v>11613</v>
      </c>
      <c r="E1728" s="22" t="s">
        <v>6695</v>
      </c>
      <c r="F1728" s="22" t="s">
        <v>6696</v>
      </c>
      <c r="G1728" s="22" t="s">
        <v>6697</v>
      </c>
      <c r="H1728" s="22" t="s">
        <v>6698</v>
      </c>
      <c r="I1728" s="22" t="s">
        <v>23</v>
      </c>
      <c r="J1728" s="23">
        <v>2000</v>
      </c>
      <c r="K1728" s="22" t="s">
        <v>203</v>
      </c>
      <c r="L1728" s="23" t="s">
        <v>30</v>
      </c>
      <c r="M1728" s="23" t="s">
        <v>30</v>
      </c>
      <c r="N1728" s="22" t="s">
        <v>245</v>
      </c>
      <c r="O1728" s="22"/>
    </row>
    <row r="1729" spans="1:15" ht="13.5" customHeight="1" x14ac:dyDescent="0.25">
      <c r="A1729" s="1"/>
      <c r="B1729" s="20">
        <v>1717</v>
      </c>
      <c r="C1729" s="20">
        <v>2023</v>
      </c>
      <c r="D1729" s="20">
        <v>13127</v>
      </c>
      <c r="E1729" s="20" t="s">
        <v>6699</v>
      </c>
      <c r="F1729" s="20" t="s">
        <v>6700</v>
      </c>
      <c r="G1729" s="20" t="s">
        <v>6701</v>
      </c>
      <c r="H1729" s="20" t="s">
        <v>6702</v>
      </c>
      <c r="I1729" s="20" t="s">
        <v>23</v>
      </c>
      <c r="J1729" s="21">
        <v>2010</v>
      </c>
      <c r="K1729" s="20" t="s">
        <v>34</v>
      </c>
      <c r="L1729" s="21" t="s">
        <v>30</v>
      </c>
      <c r="M1729" s="21"/>
      <c r="N1729" s="20" t="s">
        <v>173</v>
      </c>
      <c r="O1729" s="20"/>
    </row>
    <row r="1730" spans="1:15" ht="13.5" customHeight="1" x14ac:dyDescent="0.25">
      <c r="A1730" s="1"/>
      <c r="B1730" s="22">
        <v>1718</v>
      </c>
      <c r="C1730" s="22">
        <v>2023</v>
      </c>
      <c r="D1730" s="22">
        <v>11084</v>
      </c>
      <c r="E1730" s="22" t="s">
        <v>6703</v>
      </c>
      <c r="F1730" s="22" t="s">
        <v>6704</v>
      </c>
      <c r="G1730" s="22" t="s">
        <v>6705</v>
      </c>
      <c r="H1730" s="22" t="s">
        <v>6706</v>
      </c>
      <c r="I1730" s="22" t="s">
        <v>23</v>
      </c>
      <c r="J1730" s="23">
        <v>2000</v>
      </c>
      <c r="K1730" s="22" t="s">
        <v>34</v>
      </c>
      <c r="L1730" s="23" t="s">
        <v>30</v>
      </c>
      <c r="M1730" s="23" t="s">
        <v>30</v>
      </c>
      <c r="N1730" s="22"/>
      <c r="O1730" s="22"/>
    </row>
    <row r="1731" spans="1:15" ht="13.5" customHeight="1" x14ac:dyDescent="0.25">
      <c r="A1731" s="1"/>
      <c r="B1731" s="20">
        <v>1719</v>
      </c>
      <c r="C1731" s="20">
        <v>2023</v>
      </c>
      <c r="D1731" s="20">
        <v>43388</v>
      </c>
      <c r="E1731" s="20" t="s">
        <v>6707</v>
      </c>
      <c r="F1731" s="20" t="s">
        <v>6708</v>
      </c>
      <c r="G1731" s="20"/>
      <c r="H1731" s="20" t="s">
        <v>6709</v>
      </c>
      <c r="I1731" s="20" t="s">
        <v>23</v>
      </c>
      <c r="J1731" s="21">
        <v>2014</v>
      </c>
      <c r="K1731" s="20" t="s">
        <v>34</v>
      </c>
      <c r="L1731" s="21"/>
      <c r="M1731" s="21"/>
      <c r="N1731" s="20" t="s">
        <v>270</v>
      </c>
      <c r="O1731" s="20"/>
    </row>
    <row r="1732" spans="1:15" ht="13.5" customHeight="1" x14ac:dyDescent="0.25">
      <c r="A1732" s="1"/>
      <c r="B1732" s="22">
        <v>1720</v>
      </c>
      <c r="C1732" s="22">
        <v>2023</v>
      </c>
      <c r="D1732" s="22">
        <v>15002</v>
      </c>
      <c r="E1732" s="22" t="s">
        <v>6710</v>
      </c>
      <c r="F1732" s="22" t="s">
        <v>6711</v>
      </c>
      <c r="G1732" s="22" t="s">
        <v>6712</v>
      </c>
      <c r="H1732" s="22" t="s">
        <v>6713</v>
      </c>
      <c r="I1732" s="22" t="s">
        <v>357</v>
      </c>
      <c r="J1732" s="23">
        <v>2012</v>
      </c>
      <c r="K1732" s="22" t="s">
        <v>39</v>
      </c>
      <c r="L1732" s="23" t="s">
        <v>30</v>
      </c>
      <c r="M1732" s="23"/>
      <c r="N1732" s="22"/>
      <c r="O1732" s="22"/>
    </row>
    <row r="1733" spans="1:15" ht="13.5" customHeight="1" x14ac:dyDescent="0.25">
      <c r="A1733" s="1"/>
      <c r="B1733" s="20">
        <v>1721</v>
      </c>
      <c r="C1733" s="20">
        <v>2023</v>
      </c>
      <c r="D1733" s="20">
        <v>198</v>
      </c>
      <c r="E1733" s="20" t="s">
        <v>6714</v>
      </c>
      <c r="F1733" s="20" t="s">
        <v>6715</v>
      </c>
      <c r="G1733" s="20" t="s">
        <v>6716</v>
      </c>
      <c r="H1733" s="20" t="s">
        <v>6717</v>
      </c>
      <c r="I1733" s="20" t="s">
        <v>23</v>
      </c>
      <c r="J1733" s="21">
        <v>2000</v>
      </c>
      <c r="K1733" s="20" t="s">
        <v>39</v>
      </c>
      <c r="L1733" s="21" t="s">
        <v>30</v>
      </c>
      <c r="M1733" s="21" t="s">
        <v>30</v>
      </c>
      <c r="N1733" s="20"/>
      <c r="O1733" s="20"/>
    </row>
    <row r="1734" spans="1:15" ht="13.5" customHeight="1" x14ac:dyDescent="0.25">
      <c r="A1734" s="1"/>
      <c r="B1734" s="22">
        <v>1722</v>
      </c>
      <c r="C1734" s="22">
        <v>2023</v>
      </c>
      <c r="D1734" s="22">
        <v>506</v>
      </c>
      <c r="E1734" s="22" t="s">
        <v>6718</v>
      </c>
      <c r="F1734" s="22" t="s">
        <v>6719</v>
      </c>
      <c r="G1734" s="22" t="s">
        <v>6720</v>
      </c>
      <c r="H1734" s="22" t="s">
        <v>6721</v>
      </c>
      <c r="I1734" s="22" t="s">
        <v>23</v>
      </c>
      <c r="J1734" s="23">
        <v>2005</v>
      </c>
      <c r="K1734" s="22" t="s">
        <v>67</v>
      </c>
      <c r="L1734" s="23" t="s">
        <v>30</v>
      </c>
      <c r="M1734" s="23" t="s">
        <v>30</v>
      </c>
      <c r="N1734" s="22"/>
      <c r="O1734" s="22"/>
    </row>
    <row r="1735" spans="1:15" ht="13.5" customHeight="1" x14ac:dyDescent="0.25">
      <c r="A1735" s="1"/>
      <c r="B1735" s="20">
        <v>1723</v>
      </c>
      <c r="C1735" s="20">
        <v>2023</v>
      </c>
      <c r="D1735" s="20">
        <v>11614</v>
      </c>
      <c r="E1735" s="20" t="s">
        <v>6722</v>
      </c>
      <c r="F1735" s="20" t="s">
        <v>6723</v>
      </c>
      <c r="G1735" s="20" t="s">
        <v>6724</v>
      </c>
      <c r="H1735" s="20" t="s">
        <v>6725</v>
      </c>
      <c r="I1735" s="20" t="s">
        <v>960</v>
      </c>
      <c r="J1735" s="21">
        <v>2001</v>
      </c>
      <c r="K1735" s="20" t="s">
        <v>184</v>
      </c>
      <c r="L1735" s="21" t="s">
        <v>30</v>
      </c>
      <c r="M1735" s="21" t="s">
        <v>30</v>
      </c>
      <c r="N1735" s="20" t="s">
        <v>245</v>
      </c>
      <c r="O1735" s="20"/>
    </row>
    <row r="1736" spans="1:15" ht="13.5" customHeight="1" x14ac:dyDescent="0.25">
      <c r="A1736" s="1"/>
      <c r="B1736" s="22">
        <v>1724</v>
      </c>
      <c r="C1736" s="22">
        <v>2023</v>
      </c>
      <c r="D1736" s="22">
        <v>11085</v>
      </c>
      <c r="E1736" s="22" t="s">
        <v>6726</v>
      </c>
      <c r="F1736" s="22" t="s">
        <v>6727</v>
      </c>
      <c r="G1736" s="22" t="s">
        <v>6728</v>
      </c>
      <c r="H1736" s="22" t="s">
        <v>6729</v>
      </c>
      <c r="I1736" s="22" t="s">
        <v>23</v>
      </c>
      <c r="J1736" s="23">
        <v>2000</v>
      </c>
      <c r="K1736" s="22" t="s">
        <v>24</v>
      </c>
      <c r="L1736" s="23" t="s">
        <v>30</v>
      </c>
      <c r="M1736" s="23" t="s">
        <v>30</v>
      </c>
      <c r="N1736" s="22"/>
      <c r="O1736" s="22"/>
    </row>
    <row r="1737" spans="1:15" ht="13.5" customHeight="1" x14ac:dyDescent="0.25">
      <c r="A1737" s="1"/>
      <c r="B1737" s="20">
        <v>1725</v>
      </c>
      <c r="C1737" s="20">
        <v>2023</v>
      </c>
      <c r="D1737" s="20">
        <v>10333</v>
      </c>
      <c r="E1737" s="20" t="s">
        <v>6730</v>
      </c>
      <c r="F1737" s="20" t="s">
        <v>6731</v>
      </c>
      <c r="G1737" s="20" t="s">
        <v>6732</v>
      </c>
      <c r="H1737" s="20" t="s">
        <v>6733</v>
      </c>
      <c r="I1737" s="20" t="s">
        <v>23</v>
      </c>
      <c r="J1737" s="21">
        <v>2003</v>
      </c>
      <c r="K1737" s="20" t="s">
        <v>34</v>
      </c>
      <c r="L1737" s="21" t="s">
        <v>30</v>
      </c>
      <c r="M1737" s="21" t="s">
        <v>30</v>
      </c>
      <c r="N1737" s="20"/>
      <c r="O1737" s="20"/>
    </row>
    <row r="1738" spans="1:15" ht="13.5" customHeight="1" x14ac:dyDescent="0.25">
      <c r="A1738" s="1"/>
      <c r="B1738" s="22">
        <v>1726</v>
      </c>
      <c r="C1738" s="22">
        <v>2023</v>
      </c>
      <c r="D1738" s="22">
        <v>15014</v>
      </c>
      <c r="E1738" s="22" t="s">
        <v>6734</v>
      </c>
      <c r="F1738" s="22" t="s">
        <v>6735</v>
      </c>
      <c r="G1738" s="22" t="s">
        <v>6736</v>
      </c>
      <c r="H1738" s="22" t="s">
        <v>6737</v>
      </c>
      <c r="I1738" s="22" t="s">
        <v>357</v>
      </c>
      <c r="J1738" s="23">
        <v>2009</v>
      </c>
      <c r="K1738" s="22" t="s">
        <v>39</v>
      </c>
      <c r="L1738" s="23" t="s">
        <v>30</v>
      </c>
      <c r="M1738" s="23"/>
      <c r="N1738" s="22"/>
      <c r="O1738" s="22"/>
    </row>
    <row r="1739" spans="1:15" ht="13.5" customHeight="1" x14ac:dyDescent="0.25">
      <c r="A1739" s="1"/>
      <c r="B1739" s="20">
        <v>1727</v>
      </c>
      <c r="C1739" s="20">
        <v>2023</v>
      </c>
      <c r="D1739" s="20">
        <v>608</v>
      </c>
      <c r="E1739" s="20" t="s">
        <v>6738</v>
      </c>
      <c r="F1739" s="20" t="s">
        <v>6739</v>
      </c>
      <c r="G1739" s="20" t="s">
        <v>6740</v>
      </c>
      <c r="H1739" s="20" t="s">
        <v>6741</v>
      </c>
      <c r="I1739" s="20" t="s">
        <v>357</v>
      </c>
      <c r="J1739" s="21">
        <v>2007</v>
      </c>
      <c r="K1739" s="20" t="s">
        <v>39</v>
      </c>
      <c r="L1739" s="21" t="s">
        <v>30</v>
      </c>
      <c r="M1739" s="21" t="s">
        <v>30</v>
      </c>
      <c r="N1739" s="20"/>
      <c r="O1739" s="20"/>
    </row>
    <row r="1740" spans="1:15" ht="13.5" customHeight="1" x14ac:dyDescent="0.25">
      <c r="A1740" s="1"/>
      <c r="B1740" s="22">
        <v>1728</v>
      </c>
      <c r="C1740" s="22">
        <v>2023</v>
      </c>
      <c r="D1740" s="22">
        <v>12607</v>
      </c>
      <c r="E1740" s="22" t="s">
        <v>6742</v>
      </c>
      <c r="F1740" s="22" t="s">
        <v>6743</v>
      </c>
      <c r="G1740" s="22" t="s">
        <v>6744</v>
      </c>
      <c r="H1740" s="22" t="s">
        <v>6745</v>
      </c>
      <c r="I1740" s="22" t="s">
        <v>62</v>
      </c>
      <c r="J1740" s="23">
        <v>2009</v>
      </c>
      <c r="K1740" s="22" t="s">
        <v>44</v>
      </c>
      <c r="L1740" s="23" t="s">
        <v>30</v>
      </c>
      <c r="M1740" s="23" t="s">
        <v>30</v>
      </c>
      <c r="N1740" s="22" t="s">
        <v>1103</v>
      </c>
      <c r="O1740" s="22"/>
    </row>
    <row r="1741" spans="1:15" ht="13.5" customHeight="1" x14ac:dyDescent="0.25">
      <c r="A1741" s="1"/>
      <c r="B1741" s="20">
        <v>1729</v>
      </c>
      <c r="C1741" s="20">
        <v>2023</v>
      </c>
      <c r="D1741" s="20">
        <v>12549</v>
      </c>
      <c r="E1741" s="20" t="s">
        <v>6746</v>
      </c>
      <c r="F1741" s="20" t="s">
        <v>6747</v>
      </c>
      <c r="G1741" s="20" t="s">
        <v>6748</v>
      </c>
      <c r="H1741" s="20" t="s">
        <v>6749</v>
      </c>
      <c r="I1741" s="20" t="s">
        <v>23</v>
      </c>
      <c r="J1741" s="21">
        <v>2000</v>
      </c>
      <c r="K1741" s="20" t="s">
        <v>95</v>
      </c>
      <c r="L1741" s="21" t="s">
        <v>30</v>
      </c>
      <c r="M1741" s="21"/>
      <c r="N1741" s="20" t="s">
        <v>431</v>
      </c>
      <c r="O1741" s="20"/>
    </row>
    <row r="1742" spans="1:15" ht="13.5" customHeight="1" x14ac:dyDescent="0.25">
      <c r="A1742" s="1"/>
      <c r="B1742" s="22">
        <v>1730</v>
      </c>
      <c r="C1742" s="22">
        <v>2023</v>
      </c>
      <c r="D1742" s="22">
        <v>11492</v>
      </c>
      <c r="E1742" s="22" t="s">
        <v>6750</v>
      </c>
      <c r="F1742" s="22" t="s">
        <v>6751</v>
      </c>
      <c r="G1742" s="22" t="s">
        <v>6752</v>
      </c>
      <c r="H1742" s="22" t="s">
        <v>6753</v>
      </c>
      <c r="I1742" s="22" t="s">
        <v>62</v>
      </c>
      <c r="J1742" s="23">
        <v>2006</v>
      </c>
      <c r="K1742" s="22" t="s">
        <v>95</v>
      </c>
      <c r="L1742" s="23" t="s">
        <v>30</v>
      </c>
      <c r="M1742" s="23" t="s">
        <v>30</v>
      </c>
      <c r="N1742" s="22"/>
      <c r="O1742" s="22"/>
    </row>
    <row r="1743" spans="1:15" ht="13.5" customHeight="1" x14ac:dyDescent="0.25">
      <c r="A1743" s="1"/>
      <c r="B1743" s="20">
        <v>1731</v>
      </c>
      <c r="C1743" s="20">
        <v>2023</v>
      </c>
      <c r="D1743" s="20">
        <v>12542</v>
      </c>
      <c r="E1743" s="20" t="s">
        <v>6754</v>
      </c>
      <c r="F1743" s="20" t="s">
        <v>6755</v>
      </c>
      <c r="G1743" s="20" t="s">
        <v>6756</v>
      </c>
      <c r="H1743" s="20" t="s">
        <v>6757</v>
      </c>
      <c r="I1743" s="20" t="s">
        <v>23</v>
      </c>
      <c r="J1743" s="21">
        <v>2000</v>
      </c>
      <c r="K1743" s="20" t="s">
        <v>95</v>
      </c>
      <c r="L1743" s="21" t="s">
        <v>30</v>
      </c>
      <c r="M1743" s="21"/>
      <c r="N1743" s="20" t="s">
        <v>431</v>
      </c>
      <c r="O1743" s="20"/>
    </row>
    <row r="1744" spans="1:15" ht="13.5" customHeight="1" x14ac:dyDescent="0.25">
      <c r="A1744" s="1"/>
      <c r="B1744" s="22">
        <v>1732</v>
      </c>
      <c r="C1744" s="22">
        <v>2023</v>
      </c>
      <c r="D1744" s="22">
        <v>436</v>
      </c>
      <c r="E1744" s="22" t="s">
        <v>6758</v>
      </c>
      <c r="F1744" s="22" t="s">
        <v>6759</v>
      </c>
      <c r="G1744" s="22" t="s">
        <v>6760</v>
      </c>
      <c r="H1744" s="22" t="s">
        <v>6761</v>
      </c>
      <c r="I1744" s="22" t="s">
        <v>23</v>
      </c>
      <c r="J1744" s="23">
        <v>2000</v>
      </c>
      <c r="K1744" s="22" t="s">
        <v>34</v>
      </c>
      <c r="L1744" s="23" t="s">
        <v>30</v>
      </c>
      <c r="M1744" s="23" t="s">
        <v>30</v>
      </c>
      <c r="N1744" s="22"/>
      <c r="O1744" s="22"/>
    </row>
    <row r="1745" spans="1:15" ht="13.5" customHeight="1" x14ac:dyDescent="0.25">
      <c r="A1745" s="1"/>
      <c r="B1745" s="20">
        <v>1733</v>
      </c>
      <c r="C1745" s="20">
        <v>2023</v>
      </c>
      <c r="D1745" s="20">
        <v>42985</v>
      </c>
      <c r="E1745" s="20" t="s">
        <v>6762</v>
      </c>
      <c r="F1745" s="20" t="s">
        <v>6763</v>
      </c>
      <c r="G1745" s="20" t="s">
        <v>6764</v>
      </c>
      <c r="H1745" s="20" t="s">
        <v>6765</v>
      </c>
      <c r="I1745" s="20" t="s">
        <v>2040</v>
      </c>
      <c r="J1745" s="21">
        <v>2020</v>
      </c>
      <c r="K1745" s="20" t="s">
        <v>44</v>
      </c>
      <c r="L1745" s="21" t="s">
        <v>30</v>
      </c>
      <c r="M1745" s="21" t="s">
        <v>30</v>
      </c>
      <c r="N1745" s="20" t="s">
        <v>48</v>
      </c>
      <c r="O1745" s="20"/>
    </row>
    <row r="1746" spans="1:15" ht="13.5" customHeight="1" x14ac:dyDescent="0.25">
      <c r="A1746" s="1"/>
      <c r="B1746" s="22">
        <v>1734</v>
      </c>
      <c r="C1746" s="22">
        <v>2023</v>
      </c>
      <c r="D1746" s="22">
        <v>11089</v>
      </c>
      <c r="E1746" s="22" t="s">
        <v>6766</v>
      </c>
      <c r="F1746" s="22" t="s">
        <v>6767</v>
      </c>
      <c r="G1746" s="22" t="s">
        <v>6768</v>
      </c>
      <c r="H1746" s="22" t="s">
        <v>6769</v>
      </c>
      <c r="I1746" s="22" t="s">
        <v>23</v>
      </c>
      <c r="J1746" s="23">
        <v>2000</v>
      </c>
      <c r="K1746" s="22" t="s">
        <v>203</v>
      </c>
      <c r="L1746" s="23" t="s">
        <v>30</v>
      </c>
      <c r="M1746" s="23" t="s">
        <v>30</v>
      </c>
      <c r="N1746" s="22"/>
      <c r="O1746" s="22"/>
    </row>
    <row r="1747" spans="1:15" ht="13.5" customHeight="1" x14ac:dyDescent="0.25">
      <c r="A1747" s="1"/>
      <c r="B1747" s="20">
        <v>1735</v>
      </c>
      <c r="C1747" s="20">
        <v>2023</v>
      </c>
      <c r="D1747" s="20">
        <v>10044</v>
      </c>
      <c r="E1747" s="20" t="s">
        <v>6770</v>
      </c>
      <c r="F1747" s="20" t="s">
        <v>6771</v>
      </c>
      <c r="G1747" s="20" t="s">
        <v>6772</v>
      </c>
      <c r="H1747" s="20" t="s">
        <v>6773</v>
      </c>
      <c r="I1747" s="20" t="s">
        <v>23</v>
      </c>
      <c r="J1747" s="21">
        <v>2000</v>
      </c>
      <c r="K1747" s="20" t="s">
        <v>114</v>
      </c>
      <c r="L1747" s="21" t="s">
        <v>30</v>
      </c>
      <c r="M1747" s="21" t="s">
        <v>30</v>
      </c>
      <c r="N1747" s="20"/>
      <c r="O1747" s="20"/>
    </row>
    <row r="1748" spans="1:15" ht="13.5" customHeight="1" x14ac:dyDescent="0.25">
      <c r="A1748" s="1"/>
      <c r="B1748" s="22">
        <v>1736</v>
      </c>
      <c r="C1748" s="22">
        <v>2023</v>
      </c>
      <c r="D1748" s="22">
        <v>11493</v>
      </c>
      <c r="E1748" s="22" t="s">
        <v>6774</v>
      </c>
      <c r="F1748" s="22" t="s">
        <v>6775</v>
      </c>
      <c r="G1748" s="22" t="s">
        <v>6776</v>
      </c>
      <c r="H1748" s="22" t="s">
        <v>6777</v>
      </c>
      <c r="I1748" s="22" t="s">
        <v>62</v>
      </c>
      <c r="J1748" s="23">
        <v>2006</v>
      </c>
      <c r="K1748" s="22" t="s">
        <v>114</v>
      </c>
      <c r="L1748" s="23" t="s">
        <v>30</v>
      </c>
      <c r="M1748" s="23" t="s">
        <v>30</v>
      </c>
      <c r="N1748" s="22"/>
      <c r="O1748" s="22"/>
    </row>
    <row r="1749" spans="1:15" ht="13.5" customHeight="1" x14ac:dyDescent="0.25">
      <c r="A1749" s="1"/>
      <c r="B1749" s="20">
        <v>1737</v>
      </c>
      <c r="C1749" s="20">
        <v>2023</v>
      </c>
      <c r="D1749" s="20">
        <v>246</v>
      </c>
      <c r="E1749" s="20" t="s">
        <v>6778</v>
      </c>
      <c r="F1749" s="20" t="s">
        <v>6779</v>
      </c>
      <c r="G1749" s="20" t="s">
        <v>6780</v>
      </c>
      <c r="H1749" s="20" t="s">
        <v>6781</v>
      </c>
      <c r="I1749" s="20" t="s">
        <v>23</v>
      </c>
      <c r="J1749" s="21">
        <v>2000</v>
      </c>
      <c r="K1749" s="20" t="s">
        <v>39</v>
      </c>
      <c r="L1749" s="21" t="s">
        <v>30</v>
      </c>
      <c r="M1749" s="21" t="s">
        <v>30</v>
      </c>
      <c r="N1749" s="20"/>
      <c r="O1749" s="20"/>
    </row>
    <row r="1750" spans="1:15" ht="13.5" customHeight="1" x14ac:dyDescent="0.25">
      <c r="A1750" s="1"/>
      <c r="B1750" s="22">
        <v>1738</v>
      </c>
      <c r="C1750" s="22">
        <v>2023</v>
      </c>
      <c r="D1750" s="22">
        <v>467</v>
      </c>
      <c r="E1750" s="22" t="s">
        <v>6782</v>
      </c>
      <c r="F1750" s="22" t="s">
        <v>6783</v>
      </c>
      <c r="G1750" s="22" t="s">
        <v>6784</v>
      </c>
      <c r="H1750" s="22" t="s">
        <v>6785</v>
      </c>
      <c r="I1750" s="22" t="s">
        <v>23</v>
      </c>
      <c r="J1750" s="23">
        <v>2000</v>
      </c>
      <c r="K1750" s="22" t="s">
        <v>39</v>
      </c>
      <c r="L1750" s="23" t="s">
        <v>30</v>
      </c>
      <c r="M1750" s="23" t="s">
        <v>30</v>
      </c>
      <c r="N1750" s="22"/>
      <c r="O1750" s="22"/>
    </row>
    <row r="1751" spans="1:15" ht="13.5" customHeight="1" x14ac:dyDescent="0.25">
      <c r="A1751" s="1"/>
      <c r="B1751" s="20">
        <v>1739</v>
      </c>
      <c r="C1751" s="20">
        <v>2023</v>
      </c>
      <c r="D1751" s="20">
        <v>247</v>
      </c>
      <c r="E1751" s="20" t="s">
        <v>6786</v>
      </c>
      <c r="F1751" s="20" t="s">
        <v>6787</v>
      </c>
      <c r="G1751" s="20"/>
      <c r="H1751" s="20" t="s">
        <v>6788</v>
      </c>
      <c r="I1751" s="20" t="s">
        <v>23</v>
      </c>
      <c r="J1751" s="21">
        <v>2000</v>
      </c>
      <c r="K1751" s="20" t="s">
        <v>39</v>
      </c>
      <c r="L1751" s="21"/>
      <c r="M1751" s="21" t="s">
        <v>30</v>
      </c>
      <c r="N1751" s="20"/>
      <c r="O1751" s="20"/>
    </row>
    <row r="1752" spans="1:15" ht="13.5" customHeight="1" x14ac:dyDescent="0.25">
      <c r="A1752" s="1"/>
      <c r="B1752" s="22">
        <v>1740</v>
      </c>
      <c r="C1752" s="22">
        <v>2023</v>
      </c>
      <c r="D1752" s="22">
        <v>383</v>
      </c>
      <c r="E1752" s="22" t="s">
        <v>6789</v>
      </c>
      <c r="F1752" s="22" t="s">
        <v>6790</v>
      </c>
      <c r="G1752" s="22"/>
      <c r="H1752" s="22" t="s">
        <v>6791</v>
      </c>
      <c r="I1752" s="22" t="s">
        <v>23</v>
      </c>
      <c r="J1752" s="23">
        <v>2000</v>
      </c>
      <c r="K1752" s="22" t="s">
        <v>39</v>
      </c>
      <c r="L1752" s="23"/>
      <c r="M1752" s="23" t="s">
        <v>30</v>
      </c>
      <c r="N1752" s="22"/>
      <c r="O1752" s="22"/>
    </row>
    <row r="1753" spans="1:15" ht="13.5" customHeight="1" x14ac:dyDescent="0.25">
      <c r="A1753" s="1"/>
      <c r="B1753" s="20">
        <v>1741</v>
      </c>
      <c r="C1753" s="20">
        <v>2023</v>
      </c>
      <c r="D1753" s="20">
        <v>12083</v>
      </c>
      <c r="E1753" s="20" t="s">
        <v>6792</v>
      </c>
      <c r="F1753" s="20" t="s">
        <v>6793</v>
      </c>
      <c r="G1753" s="20"/>
      <c r="H1753" s="20" t="s">
        <v>6794</v>
      </c>
      <c r="I1753" s="20" t="s">
        <v>23</v>
      </c>
      <c r="J1753" s="21">
        <v>2008</v>
      </c>
      <c r="K1753" s="20" t="s">
        <v>67</v>
      </c>
      <c r="L1753" s="21"/>
      <c r="M1753" s="21" t="s">
        <v>30</v>
      </c>
      <c r="N1753" s="20" t="s">
        <v>352</v>
      </c>
      <c r="O1753" s="20"/>
    </row>
    <row r="1754" spans="1:15" ht="13.5" customHeight="1" x14ac:dyDescent="0.25">
      <c r="A1754" s="1"/>
      <c r="B1754" s="22">
        <v>1742</v>
      </c>
      <c r="C1754" s="22">
        <v>2023</v>
      </c>
      <c r="D1754" s="22">
        <v>42543</v>
      </c>
      <c r="E1754" s="22" t="s">
        <v>6795</v>
      </c>
      <c r="F1754" s="22" t="s">
        <v>6796</v>
      </c>
      <c r="G1754" s="22" t="s">
        <v>6797</v>
      </c>
      <c r="H1754" s="22" t="s">
        <v>6798</v>
      </c>
      <c r="I1754" s="22" t="s">
        <v>23</v>
      </c>
      <c r="J1754" s="23">
        <v>2018</v>
      </c>
      <c r="K1754" s="22" t="s">
        <v>44</v>
      </c>
      <c r="L1754" s="23" t="s">
        <v>30</v>
      </c>
      <c r="M1754" s="23"/>
      <c r="N1754" s="22" t="s">
        <v>213</v>
      </c>
      <c r="O1754" s="22"/>
    </row>
    <row r="1755" spans="1:15" ht="13.5" customHeight="1" x14ac:dyDescent="0.25">
      <c r="A1755" s="1"/>
      <c r="B1755" s="20">
        <v>1743</v>
      </c>
      <c r="C1755" s="20">
        <v>2023</v>
      </c>
      <c r="D1755" s="20">
        <v>10998</v>
      </c>
      <c r="E1755" s="20" t="s">
        <v>6799</v>
      </c>
      <c r="F1755" s="20" t="s">
        <v>6800</v>
      </c>
      <c r="G1755" s="20" t="s">
        <v>6801</v>
      </c>
      <c r="H1755" s="20" t="s">
        <v>6802</v>
      </c>
      <c r="I1755" s="20" t="s">
        <v>100</v>
      </c>
      <c r="J1755" s="21">
        <v>2000</v>
      </c>
      <c r="K1755" s="20" t="s">
        <v>44</v>
      </c>
      <c r="L1755" s="21" t="s">
        <v>30</v>
      </c>
      <c r="M1755" s="21" t="s">
        <v>30</v>
      </c>
      <c r="N1755" s="20"/>
      <c r="O1755" s="20"/>
    </row>
    <row r="1756" spans="1:15" ht="13.5" customHeight="1" x14ac:dyDescent="0.25">
      <c r="A1756" s="1"/>
      <c r="B1756" s="22">
        <v>1744</v>
      </c>
      <c r="C1756" s="22">
        <v>2023</v>
      </c>
      <c r="D1756" s="22">
        <v>779</v>
      </c>
      <c r="E1756" s="22" t="s">
        <v>6803</v>
      </c>
      <c r="F1756" s="22" t="s">
        <v>6804</v>
      </c>
      <c r="G1756" s="22" t="s">
        <v>6805</v>
      </c>
      <c r="H1756" s="22" t="s">
        <v>6806</v>
      </c>
      <c r="I1756" s="22" t="s">
        <v>23</v>
      </c>
      <c r="J1756" s="23">
        <v>2000</v>
      </c>
      <c r="K1756" s="22" t="s">
        <v>114</v>
      </c>
      <c r="L1756" s="23" t="s">
        <v>30</v>
      </c>
      <c r="M1756" s="23" t="s">
        <v>30</v>
      </c>
      <c r="N1756" s="22"/>
      <c r="O1756" s="22"/>
    </row>
    <row r="1757" spans="1:15" ht="13.5" customHeight="1" x14ac:dyDescent="0.25">
      <c r="A1757" s="1"/>
      <c r="B1757" s="20">
        <v>1745</v>
      </c>
      <c r="C1757" s="20">
        <v>2023</v>
      </c>
      <c r="D1757" s="20">
        <v>40614</v>
      </c>
      <c r="E1757" s="20" t="s">
        <v>6807</v>
      </c>
      <c r="F1757" s="20" t="s">
        <v>6808</v>
      </c>
      <c r="G1757" s="20" t="s">
        <v>6809</v>
      </c>
      <c r="H1757" s="20" t="s">
        <v>6810</v>
      </c>
      <c r="I1757" s="20" t="s">
        <v>23</v>
      </c>
      <c r="J1757" s="21">
        <v>2000</v>
      </c>
      <c r="K1757" s="20" t="s">
        <v>203</v>
      </c>
      <c r="L1757" s="21" t="s">
        <v>30</v>
      </c>
      <c r="M1757" s="21"/>
      <c r="N1757" s="20" t="s">
        <v>53</v>
      </c>
      <c r="O1757" s="20"/>
    </row>
    <row r="1758" spans="1:15" ht="13.5" customHeight="1" x14ac:dyDescent="0.25">
      <c r="A1758" s="1"/>
      <c r="B1758" s="22">
        <v>1746</v>
      </c>
      <c r="C1758" s="22">
        <v>2023</v>
      </c>
      <c r="D1758" s="22">
        <v>11494</v>
      </c>
      <c r="E1758" s="22" t="s">
        <v>6811</v>
      </c>
      <c r="F1758" s="22" t="s">
        <v>6812</v>
      </c>
      <c r="G1758" s="22" t="s">
        <v>6813</v>
      </c>
      <c r="H1758" s="22" t="s">
        <v>6814</v>
      </c>
      <c r="I1758" s="22" t="s">
        <v>62</v>
      </c>
      <c r="J1758" s="23">
        <v>2006</v>
      </c>
      <c r="K1758" s="22" t="s">
        <v>24</v>
      </c>
      <c r="L1758" s="23" t="s">
        <v>30</v>
      </c>
      <c r="M1758" s="23" t="s">
        <v>30</v>
      </c>
      <c r="N1758" s="22"/>
      <c r="O1758" s="22"/>
    </row>
    <row r="1759" spans="1:15" ht="13.5" customHeight="1" x14ac:dyDescent="0.25">
      <c r="A1759" s="1"/>
      <c r="B1759" s="20">
        <v>1747</v>
      </c>
      <c r="C1759" s="20">
        <v>2023</v>
      </c>
      <c r="D1759" s="20">
        <v>11495</v>
      </c>
      <c r="E1759" s="20" t="s">
        <v>6815</v>
      </c>
      <c r="F1759" s="20" t="s">
        <v>6816</v>
      </c>
      <c r="G1759" s="20" t="s">
        <v>6817</v>
      </c>
      <c r="H1759" s="20" t="s">
        <v>6818</v>
      </c>
      <c r="I1759" s="20" t="s">
        <v>62</v>
      </c>
      <c r="J1759" s="21">
        <v>2006</v>
      </c>
      <c r="K1759" s="20" t="s">
        <v>95</v>
      </c>
      <c r="L1759" s="21" t="s">
        <v>30</v>
      </c>
      <c r="M1759" s="21" t="s">
        <v>30</v>
      </c>
      <c r="N1759" s="20"/>
      <c r="O1759" s="20"/>
    </row>
    <row r="1760" spans="1:15" ht="13.5" customHeight="1" x14ac:dyDescent="0.25">
      <c r="A1760" s="1"/>
      <c r="B1760" s="22">
        <v>1748</v>
      </c>
      <c r="C1760" s="22">
        <v>2023</v>
      </c>
      <c r="D1760" s="22">
        <v>41064</v>
      </c>
      <c r="E1760" s="22" t="s">
        <v>6819</v>
      </c>
      <c r="F1760" s="22" t="s">
        <v>6820</v>
      </c>
      <c r="G1760" s="22" t="s">
        <v>6821</v>
      </c>
      <c r="H1760" s="22" t="s">
        <v>6822</v>
      </c>
      <c r="I1760" s="22" t="s">
        <v>23</v>
      </c>
      <c r="J1760" s="23">
        <v>2017</v>
      </c>
      <c r="K1760" s="22" t="s">
        <v>95</v>
      </c>
      <c r="L1760" s="23" t="s">
        <v>30</v>
      </c>
      <c r="M1760" s="23"/>
      <c r="N1760" s="22" t="s">
        <v>105</v>
      </c>
      <c r="O1760" s="22"/>
    </row>
    <row r="1761" spans="1:15" ht="13.5" customHeight="1" x14ac:dyDescent="0.25">
      <c r="A1761" s="1"/>
      <c r="B1761" s="20">
        <v>1749</v>
      </c>
      <c r="C1761" s="20">
        <v>2023</v>
      </c>
      <c r="D1761" s="20">
        <v>41906</v>
      </c>
      <c r="E1761" s="20" t="s">
        <v>6823</v>
      </c>
      <c r="F1761" s="20" t="s">
        <v>6824</v>
      </c>
      <c r="G1761" s="20" t="s">
        <v>6825</v>
      </c>
      <c r="H1761" s="20" t="s">
        <v>6826</v>
      </c>
      <c r="I1761" s="20" t="s">
        <v>357</v>
      </c>
      <c r="J1761" s="21">
        <v>2017</v>
      </c>
      <c r="K1761" s="20" t="s">
        <v>39</v>
      </c>
      <c r="L1761" s="21" t="s">
        <v>30</v>
      </c>
      <c r="M1761" s="21"/>
      <c r="N1761" s="20" t="s">
        <v>105</v>
      </c>
      <c r="O1761" s="20"/>
    </row>
    <row r="1762" spans="1:15" ht="13.5" customHeight="1" x14ac:dyDescent="0.25">
      <c r="A1762" s="1"/>
      <c r="B1762" s="22">
        <v>1750</v>
      </c>
      <c r="C1762" s="22">
        <v>2023</v>
      </c>
      <c r="D1762" s="22">
        <v>424</v>
      </c>
      <c r="E1762" s="22" t="s">
        <v>6827</v>
      </c>
      <c r="F1762" s="22" t="s">
        <v>6828</v>
      </c>
      <c r="G1762" s="22" t="s">
        <v>6829</v>
      </c>
      <c r="H1762" s="22" t="s">
        <v>6830</v>
      </c>
      <c r="I1762" s="22" t="s">
        <v>23</v>
      </c>
      <c r="J1762" s="23">
        <v>2000</v>
      </c>
      <c r="K1762" s="22" t="s">
        <v>34</v>
      </c>
      <c r="L1762" s="23" t="s">
        <v>30</v>
      </c>
      <c r="M1762" s="23" t="s">
        <v>30</v>
      </c>
      <c r="N1762" s="22"/>
      <c r="O1762" s="22"/>
    </row>
    <row r="1763" spans="1:15" ht="13.5" customHeight="1" x14ac:dyDescent="0.25">
      <c r="A1763" s="1"/>
      <c r="B1763" s="20">
        <v>1751</v>
      </c>
      <c r="C1763" s="20">
        <v>2023</v>
      </c>
      <c r="D1763" s="20">
        <v>11094</v>
      </c>
      <c r="E1763" s="20" t="s">
        <v>6831</v>
      </c>
      <c r="F1763" s="20" t="s">
        <v>6832</v>
      </c>
      <c r="G1763" s="20" t="s">
        <v>6833</v>
      </c>
      <c r="H1763" s="20" t="s">
        <v>6834</v>
      </c>
      <c r="I1763" s="20" t="s">
        <v>23</v>
      </c>
      <c r="J1763" s="21">
        <v>2000</v>
      </c>
      <c r="K1763" s="20" t="s">
        <v>39</v>
      </c>
      <c r="L1763" s="21" t="s">
        <v>30</v>
      </c>
      <c r="M1763" s="21" t="s">
        <v>30</v>
      </c>
      <c r="N1763" s="20"/>
      <c r="O1763" s="20"/>
    </row>
    <row r="1764" spans="1:15" ht="13.5" customHeight="1" x14ac:dyDescent="0.25">
      <c r="A1764" s="1"/>
      <c r="B1764" s="22">
        <v>1752</v>
      </c>
      <c r="C1764" s="22">
        <v>2023</v>
      </c>
      <c r="D1764" s="22">
        <v>11095</v>
      </c>
      <c r="E1764" s="22" t="s">
        <v>6835</v>
      </c>
      <c r="F1764" s="22" t="s">
        <v>6836</v>
      </c>
      <c r="G1764" s="22" t="s">
        <v>6837</v>
      </c>
      <c r="H1764" s="22" t="s">
        <v>6838</v>
      </c>
      <c r="I1764" s="22" t="s">
        <v>23</v>
      </c>
      <c r="J1764" s="23">
        <v>2000</v>
      </c>
      <c r="K1764" s="22" t="s">
        <v>34</v>
      </c>
      <c r="L1764" s="23" t="s">
        <v>30</v>
      </c>
      <c r="M1764" s="23" t="s">
        <v>30</v>
      </c>
      <c r="N1764" s="22"/>
      <c r="O1764" s="22"/>
    </row>
    <row r="1765" spans="1:15" ht="13.5" customHeight="1" x14ac:dyDescent="0.25">
      <c r="A1765" s="1"/>
      <c r="B1765" s="20">
        <v>1753</v>
      </c>
      <c r="C1765" s="20">
        <v>2023</v>
      </c>
      <c r="D1765" s="20">
        <v>43440</v>
      </c>
      <c r="E1765" s="20" t="s">
        <v>6839</v>
      </c>
      <c r="F1765" s="20" t="s">
        <v>6840</v>
      </c>
      <c r="G1765" s="20"/>
      <c r="H1765" s="20" t="s">
        <v>6841</v>
      </c>
      <c r="I1765" s="20" t="s">
        <v>23</v>
      </c>
      <c r="J1765" s="21">
        <v>2009</v>
      </c>
      <c r="K1765" s="20" t="s">
        <v>39</v>
      </c>
      <c r="L1765" s="21"/>
      <c r="M1765" s="21"/>
      <c r="N1765" s="20" t="s">
        <v>270</v>
      </c>
      <c r="O1765" s="20"/>
    </row>
    <row r="1766" spans="1:15" ht="13.5" customHeight="1" x14ac:dyDescent="0.25">
      <c r="A1766" s="1"/>
      <c r="B1766" s="22">
        <v>1754</v>
      </c>
      <c r="C1766" s="22">
        <v>2023</v>
      </c>
      <c r="D1766" s="22">
        <v>11097</v>
      </c>
      <c r="E1766" s="22" t="s">
        <v>6842</v>
      </c>
      <c r="F1766" s="22" t="s">
        <v>6843</v>
      </c>
      <c r="G1766" s="22" t="s">
        <v>6844</v>
      </c>
      <c r="H1766" s="22" t="s">
        <v>6845</v>
      </c>
      <c r="I1766" s="22" t="s">
        <v>23</v>
      </c>
      <c r="J1766" s="23">
        <v>2002</v>
      </c>
      <c r="K1766" s="22" t="s">
        <v>73</v>
      </c>
      <c r="L1766" s="23" t="s">
        <v>30</v>
      </c>
      <c r="M1766" s="23" t="s">
        <v>30</v>
      </c>
      <c r="N1766" s="22"/>
      <c r="O1766" s="22"/>
    </row>
    <row r="1767" spans="1:15" ht="13.5" customHeight="1" x14ac:dyDescent="0.25">
      <c r="A1767" s="1"/>
      <c r="B1767" s="20">
        <v>1755</v>
      </c>
      <c r="C1767" s="20">
        <v>2023</v>
      </c>
      <c r="D1767" s="20">
        <v>43657</v>
      </c>
      <c r="E1767" s="20" t="s">
        <v>6846</v>
      </c>
      <c r="F1767" s="20" t="s">
        <v>6847</v>
      </c>
      <c r="G1767" s="20" t="s">
        <v>6848</v>
      </c>
      <c r="H1767" s="20" t="s">
        <v>6849</v>
      </c>
      <c r="I1767" s="20" t="s">
        <v>23</v>
      </c>
      <c r="J1767" s="21">
        <v>2021</v>
      </c>
      <c r="K1767" s="20" t="s">
        <v>34</v>
      </c>
      <c r="L1767" s="21" t="s">
        <v>30</v>
      </c>
      <c r="M1767" s="21"/>
      <c r="N1767" s="20" t="s">
        <v>236</v>
      </c>
      <c r="O1767" s="20"/>
    </row>
    <row r="1768" spans="1:15" ht="13.5" customHeight="1" x14ac:dyDescent="0.25">
      <c r="A1768" s="1"/>
      <c r="B1768" s="22">
        <v>1756</v>
      </c>
      <c r="C1768" s="22">
        <v>2023</v>
      </c>
      <c r="D1768" s="22">
        <v>11406</v>
      </c>
      <c r="E1768" s="22" t="s">
        <v>6850</v>
      </c>
      <c r="F1768" s="22" t="s">
        <v>6851</v>
      </c>
      <c r="G1768" s="22" t="s">
        <v>6852</v>
      </c>
      <c r="H1768" s="22" t="s">
        <v>6853</v>
      </c>
      <c r="I1768" s="22" t="s">
        <v>23</v>
      </c>
      <c r="J1768" s="23">
        <v>2000</v>
      </c>
      <c r="K1768" s="22" t="s">
        <v>73</v>
      </c>
      <c r="L1768" s="23" t="s">
        <v>30</v>
      </c>
      <c r="M1768" s="23" t="s">
        <v>30</v>
      </c>
      <c r="N1768" s="22"/>
      <c r="O1768" s="22"/>
    </row>
    <row r="1769" spans="1:15" ht="13.5" customHeight="1" x14ac:dyDescent="0.25">
      <c r="A1769" s="1"/>
      <c r="B1769" s="20">
        <v>1757</v>
      </c>
      <c r="C1769" s="20">
        <v>2023</v>
      </c>
      <c r="D1769" s="20">
        <v>11098</v>
      </c>
      <c r="E1769" s="20" t="s">
        <v>6854</v>
      </c>
      <c r="F1769" s="20" t="s">
        <v>6855</v>
      </c>
      <c r="G1769" s="20" t="s">
        <v>6856</v>
      </c>
      <c r="H1769" s="20" t="s">
        <v>6857</v>
      </c>
      <c r="I1769" s="20" t="s">
        <v>23</v>
      </c>
      <c r="J1769" s="21">
        <v>2000</v>
      </c>
      <c r="K1769" s="20" t="s">
        <v>73</v>
      </c>
      <c r="L1769" s="21" t="s">
        <v>30</v>
      </c>
      <c r="M1769" s="21" t="s">
        <v>30</v>
      </c>
      <c r="N1769" s="20"/>
      <c r="O1769" s="20"/>
    </row>
    <row r="1770" spans="1:15" ht="13.5" customHeight="1" x14ac:dyDescent="0.25">
      <c r="A1770" s="1"/>
      <c r="B1770" s="22">
        <v>1758</v>
      </c>
      <c r="C1770" s="22">
        <v>2023</v>
      </c>
      <c r="D1770" s="22">
        <v>13347</v>
      </c>
      <c r="E1770" s="22" t="s">
        <v>6858</v>
      </c>
      <c r="F1770" s="22" t="s">
        <v>6859</v>
      </c>
      <c r="G1770" s="22" t="s">
        <v>6860</v>
      </c>
      <c r="H1770" s="22" t="s">
        <v>6861</v>
      </c>
      <c r="I1770" s="22" t="s">
        <v>23</v>
      </c>
      <c r="J1770" s="23">
        <v>2011</v>
      </c>
      <c r="K1770" s="22" t="s">
        <v>73</v>
      </c>
      <c r="L1770" s="23" t="s">
        <v>30</v>
      </c>
      <c r="M1770" s="23" t="s">
        <v>30</v>
      </c>
      <c r="N1770" s="22"/>
      <c r="O1770" s="22"/>
    </row>
    <row r="1771" spans="1:15" ht="13.5" customHeight="1" x14ac:dyDescent="0.25">
      <c r="A1771" s="1"/>
      <c r="B1771" s="20">
        <v>1759</v>
      </c>
      <c r="C1771" s="20">
        <v>2023</v>
      </c>
      <c r="D1771" s="20">
        <v>40926</v>
      </c>
      <c r="E1771" s="20" t="s">
        <v>6862</v>
      </c>
      <c r="F1771" s="20" t="s">
        <v>6863</v>
      </c>
      <c r="G1771" s="20" t="s">
        <v>6864</v>
      </c>
      <c r="H1771" s="20" t="s">
        <v>6865</v>
      </c>
      <c r="I1771" s="20" t="s">
        <v>23</v>
      </c>
      <c r="J1771" s="21">
        <v>2001</v>
      </c>
      <c r="K1771" s="20" t="s">
        <v>73</v>
      </c>
      <c r="L1771" s="21" t="s">
        <v>30</v>
      </c>
      <c r="M1771" s="21"/>
      <c r="N1771" s="20" t="s">
        <v>68</v>
      </c>
      <c r="O1771" s="20"/>
    </row>
    <row r="1772" spans="1:15" ht="13.5" customHeight="1" x14ac:dyDescent="0.25">
      <c r="A1772" s="1"/>
      <c r="B1772" s="22">
        <v>1760</v>
      </c>
      <c r="C1772" s="22">
        <v>2023</v>
      </c>
      <c r="D1772" s="22">
        <v>11107</v>
      </c>
      <c r="E1772" s="22" t="s">
        <v>6866</v>
      </c>
      <c r="F1772" s="22" t="s">
        <v>6867</v>
      </c>
      <c r="G1772" s="22" t="s">
        <v>6868</v>
      </c>
      <c r="H1772" s="22" t="s">
        <v>6869</v>
      </c>
      <c r="I1772" s="22" t="s">
        <v>23</v>
      </c>
      <c r="J1772" s="23">
        <v>2000</v>
      </c>
      <c r="K1772" s="22" t="s">
        <v>114</v>
      </c>
      <c r="L1772" s="23" t="s">
        <v>30</v>
      </c>
      <c r="M1772" s="23" t="s">
        <v>30</v>
      </c>
      <c r="N1772" s="22"/>
      <c r="O1772" s="22"/>
    </row>
    <row r="1773" spans="1:15" ht="13.5" customHeight="1" x14ac:dyDescent="0.25">
      <c r="A1773" s="1"/>
      <c r="B1773" s="20">
        <v>1761</v>
      </c>
      <c r="C1773" s="20">
        <v>2023</v>
      </c>
      <c r="D1773" s="20">
        <v>11120</v>
      </c>
      <c r="E1773" s="20" t="s">
        <v>6870</v>
      </c>
      <c r="F1773" s="20" t="s">
        <v>6871</v>
      </c>
      <c r="G1773" s="20" t="s">
        <v>6872</v>
      </c>
      <c r="H1773" s="20" t="s">
        <v>6873</v>
      </c>
      <c r="I1773" s="20" t="s">
        <v>23</v>
      </c>
      <c r="J1773" s="21">
        <v>2000</v>
      </c>
      <c r="K1773" s="20" t="s">
        <v>34</v>
      </c>
      <c r="L1773" s="21" t="s">
        <v>30</v>
      </c>
      <c r="M1773" s="21" t="s">
        <v>30</v>
      </c>
      <c r="N1773" s="20"/>
      <c r="O1773" s="20"/>
    </row>
    <row r="1774" spans="1:15" ht="13.5" customHeight="1" x14ac:dyDescent="0.25">
      <c r="A1774" s="1"/>
      <c r="B1774" s="22">
        <v>1762</v>
      </c>
      <c r="C1774" s="22">
        <v>2023</v>
      </c>
      <c r="D1774" s="22">
        <v>13246</v>
      </c>
      <c r="E1774" s="22" t="s">
        <v>6874</v>
      </c>
      <c r="F1774" s="22" t="s">
        <v>6875</v>
      </c>
      <c r="G1774" s="22"/>
      <c r="H1774" s="22" t="s">
        <v>6876</v>
      </c>
      <c r="I1774" s="22" t="s">
        <v>23</v>
      </c>
      <c r="J1774" s="23">
        <v>2001</v>
      </c>
      <c r="K1774" s="22" t="s">
        <v>34</v>
      </c>
      <c r="L1774" s="23"/>
      <c r="M1774" s="23"/>
      <c r="N1774" s="22" t="s">
        <v>173</v>
      </c>
      <c r="O1774" s="22"/>
    </row>
    <row r="1775" spans="1:15" ht="13.5" customHeight="1" x14ac:dyDescent="0.25">
      <c r="A1775" s="1"/>
      <c r="B1775" s="20">
        <v>1763</v>
      </c>
      <c r="C1775" s="20">
        <v>2023</v>
      </c>
      <c r="D1775" s="20">
        <v>40334</v>
      </c>
      <c r="E1775" s="20" t="s">
        <v>6877</v>
      </c>
      <c r="F1775" s="20" t="s">
        <v>6878</v>
      </c>
      <c r="G1775" s="20" t="s">
        <v>6879</v>
      </c>
      <c r="H1775" s="20" t="s">
        <v>6880</v>
      </c>
      <c r="I1775" s="20" t="s">
        <v>62</v>
      </c>
      <c r="J1775" s="21">
        <v>2012</v>
      </c>
      <c r="K1775" s="20" t="s">
        <v>63</v>
      </c>
      <c r="L1775" s="21" t="s">
        <v>30</v>
      </c>
      <c r="M1775" s="21"/>
      <c r="N1775" s="20" t="s">
        <v>101</v>
      </c>
      <c r="O1775" s="20"/>
    </row>
    <row r="1776" spans="1:15" ht="13.5" customHeight="1" x14ac:dyDescent="0.25">
      <c r="A1776" s="1"/>
      <c r="B1776" s="22">
        <v>1764</v>
      </c>
      <c r="C1776" s="22">
        <v>2023</v>
      </c>
      <c r="D1776" s="22">
        <v>269</v>
      </c>
      <c r="E1776" s="22" t="s">
        <v>6881</v>
      </c>
      <c r="F1776" s="22" t="s">
        <v>6882</v>
      </c>
      <c r="G1776" s="22" t="s">
        <v>6883</v>
      </c>
      <c r="H1776" s="22" t="s">
        <v>6884</v>
      </c>
      <c r="I1776" s="22" t="s">
        <v>23</v>
      </c>
      <c r="J1776" s="23">
        <v>2000</v>
      </c>
      <c r="K1776" s="22" t="s">
        <v>95</v>
      </c>
      <c r="L1776" s="23" t="s">
        <v>30</v>
      </c>
      <c r="M1776" s="23" t="s">
        <v>30</v>
      </c>
      <c r="N1776" s="22"/>
      <c r="O1776" s="22"/>
    </row>
    <row r="1777" spans="1:15" ht="13.5" customHeight="1" x14ac:dyDescent="0.25">
      <c r="A1777" s="1"/>
      <c r="B1777" s="20">
        <v>1765</v>
      </c>
      <c r="C1777" s="20">
        <v>2023</v>
      </c>
      <c r="D1777" s="20">
        <v>16</v>
      </c>
      <c r="E1777" s="20" t="s">
        <v>6885</v>
      </c>
      <c r="F1777" s="20" t="s">
        <v>6886</v>
      </c>
      <c r="G1777" s="20" t="s">
        <v>6887</v>
      </c>
      <c r="H1777" s="20" t="s">
        <v>6888</v>
      </c>
      <c r="I1777" s="20" t="s">
        <v>223</v>
      </c>
      <c r="J1777" s="21">
        <v>2000</v>
      </c>
      <c r="K1777" s="20" t="s">
        <v>63</v>
      </c>
      <c r="L1777" s="21" t="s">
        <v>30</v>
      </c>
      <c r="M1777" s="21" t="s">
        <v>30</v>
      </c>
      <c r="N1777" s="20"/>
      <c r="O1777" s="20"/>
    </row>
    <row r="1778" spans="1:15" ht="13.5" customHeight="1" x14ac:dyDescent="0.25">
      <c r="A1778" s="1"/>
      <c r="B1778" s="22">
        <v>1766</v>
      </c>
      <c r="C1778" s="22">
        <v>2023</v>
      </c>
      <c r="D1778" s="22">
        <v>11450</v>
      </c>
      <c r="E1778" s="22" t="s">
        <v>6889</v>
      </c>
      <c r="F1778" s="22" t="s">
        <v>6890</v>
      </c>
      <c r="G1778" s="22" t="s">
        <v>6891</v>
      </c>
      <c r="H1778" s="22" t="s">
        <v>6892</v>
      </c>
      <c r="I1778" s="22" t="s">
        <v>62</v>
      </c>
      <c r="J1778" s="23">
        <v>2000</v>
      </c>
      <c r="K1778" s="22" t="s">
        <v>63</v>
      </c>
      <c r="L1778" s="23" t="s">
        <v>30</v>
      </c>
      <c r="M1778" s="23" t="s">
        <v>30</v>
      </c>
      <c r="N1778" s="22"/>
      <c r="O1778" s="22"/>
    </row>
    <row r="1779" spans="1:15" ht="13.5" customHeight="1" x14ac:dyDescent="0.25">
      <c r="A1779" s="1"/>
      <c r="B1779" s="20">
        <v>1767</v>
      </c>
      <c r="C1779" s="20">
        <v>2023</v>
      </c>
      <c r="D1779" s="20">
        <v>11508</v>
      </c>
      <c r="E1779" s="20" t="s">
        <v>6893</v>
      </c>
      <c r="F1779" s="20" t="s">
        <v>6894</v>
      </c>
      <c r="G1779" s="20" t="s">
        <v>6895</v>
      </c>
      <c r="H1779" s="20" t="s">
        <v>6896</v>
      </c>
      <c r="I1779" s="20" t="s">
        <v>62</v>
      </c>
      <c r="J1779" s="21">
        <v>2006</v>
      </c>
      <c r="K1779" s="20" t="s">
        <v>24</v>
      </c>
      <c r="L1779" s="21" t="s">
        <v>30</v>
      </c>
      <c r="M1779" s="21" t="s">
        <v>30</v>
      </c>
      <c r="N1779" s="20"/>
      <c r="O1779" s="20"/>
    </row>
    <row r="1780" spans="1:15" ht="13.5" customHeight="1" x14ac:dyDescent="0.25">
      <c r="A1780" s="1"/>
      <c r="B1780" s="22">
        <v>1768</v>
      </c>
      <c r="C1780" s="22">
        <v>2023</v>
      </c>
      <c r="D1780" s="22">
        <v>11567</v>
      </c>
      <c r="E1780" s="22" t="s">
        <v>6897</v>
      </c>
      <c r="F1780" s="22"/>
      <c r="G1780" s="22"/>
      <c r="H1780" s="22" t="s">
        <v>6898</v>
      </c>
      <c r="I1780" s="22" t="s">
        <v>62</v>
      </c>
      <c r="J1780" s="23">
        <v>2006</v>
      </c>
      <c r="K1780" s="22" t="s">
        <v>63</v>
      </c>
      <c r="L1780" s="23"/>
      <c r="M1780" s="23" t="s">
        <v>30</v>
      </c>
      <c r="N1780" s="22"/>
      <c r="O1780" s="22"/>
    </row>
    <row r="1781" spans="1:15" ht="13.5" customHeight="1" x14ac:dyDescent="0.25">
      <c r="A1781" s="1"/>
      <c r="B1781" s="20">
        <v>1769</v>
      </c>
      <c r="C1781" s="20">
        <v>2023</v>
      </c>
      <c r="D1781" s="20">
        <v>11451</v>
      </c>
      <c r="E1781" s="20" t="s">
        <v>6899</v>
      </c>
      <c r="F1781" s="20" t="s">
        <v>6900</v>
      </c>
      <c r="G1781" s="20" t="s">
        <v>6901</v>
      </c>
      <c r="H1781" s="20" t="s">
        <v>6902</v>
      </c>
      <c r="I1781" s="20" t="s">
        <v>62</v>
      </c>
      <c r="J1781" s="21">
        <v>2000</v>
      </c>
      <c r="K1781" s="20" t="s">
        <v>63</v>
      </c>
      <c r="L1781" s="21" t="s">
        <v>30</v>
      </c>
      <c r="M1781" s="21" t="s">
        <v>30</v>
      </c>
      <c r="N1781" s="20"/>
      <c r="O1781" s="20"/>
    </row>
    <row r="1782" spans="1:15" ht="13.5" customHeight="1" x14ac:dyDescent="0.25">
      <c r="A1782" s="1"/>
      <c r="B1782" s="22">
        <v>1770</v>
      </c>
      <c r="C1782" s="22">
        <v>2023</v>
      </c>
      <c r="D1782" s="22">
        <v>11975</v>
      </c>
      <c r="E1782" s="22" t="s">
        <v>6903</v>
      </c>
      <c r="F1782" s="22" t="s">
        <v>6904</v>
      </c>
      <c r="G1782" s="22" t="s">
        <v>6905</v>
      </c>
      <c r="H1782" s="22" t="s">
        <v>6906</v>
      </c>
      <c r="I1782" s="22" t="s">
        <v>62</v>
      </c>
      <c r="J1782" s="23">
        <v>2007</v>
      </c>
      <c r="K1782" s="22" t="s">
        <v>63</v>
      </c>
      <c r="L1782" s="23" t="s">
        <v>30</v>
      </c>
      <c r="M1782" s="23" t="s">
        <v>30</v>
      </c>
      <c r="N1782" s="22" t="s">
        <v>74</v>
      </c>
      <c r="O1782" s="22"/>
    </row>
    <row r="1783" spans="1:15" ht="13.5" customHeight="1" x14ac:dyDescent="0.25">
      <c r="A1783" s="1"/>
      <c r="B1783" s="20">
        <v>1771</v>
      </c>
      <c r="C1783" s="20">
        <v>2023</v>
      </c>
      <c r="D1783" s="20">
        <v>12298</v>
      </c>
      <c r="E1783" s="20" t="s">
        <v>6907</v>
      </c>
      <c r="F1783" s="20" t="s">
        <v>6908</v>
      </c>
      <c r="G1783" s="20" t="s">
        <v>6909</v>
      </c>
      <c r="H1783" s="20" t="s">
        <v>6910</v>
      </c>
      <c r="I1783" s="20" t="s">
        <v>23</v>
      </c>
      <c r="J1783" s="21">
        <v>2008</v>
      </c>
      <c r="K1783" s="20" t="s">
        <v>34</v>
      </c>
      <c r="L1783" s="21" t="s">
        <v>30</v>
      </c>
      <c r="M1783" s="21" t="s">
        <v>30</v>
      </c>
      <c r="N1783" s="20" t="s">
        <v>35</v>
      </c>
      <c r="O1783" s="20"/>
    </row>
    <row r="1784" spans="1:15" ht="13.5" customHeight="1" x14ac:dyDescent="0.25">
      <c r="A1784" s="1"/>
      <c r="B1784" s="22">
        <v>1772</v>
      </c>
      <c r="C1784" s="22">
        <v>2023</v>
      </c>
      <c r="D1784" s="22">
        <v>11101</v>
      </c>
      <c r="E1784" s="22" t="s">
        <v>6911</v>
      </c>
      <c r="F1784" s="22" t="s">
        <v>6912</v>
      </c>
      <c r="G1784" s="22" t="s">
        <v>6913</v>
      </c>
      <c r="H1784" s="22" t="s">
        <v>6914</v>
      </c>
      <c r="I1784" s="22" t="s">
        <v>23</v>
      </c>
      <c r="J1784" s="23">
        <v>2002</v>
      </c>
      <c r="K1784" s="22" t="s">
        <v>34</v>
      </c>
      <c r="L1784" s="23" t="s">
        <v>30</v>
      </c>
      <c r="M1784" s="23" t="s">
        <v>30</v>
      </c>
      <c r="N1784" s="22"/>
      <c r="O1784" s="22"/>
    </row>
    <row r="1785" spans="1:15" ht="13.5" customHeight="1" x14ac:dyDescent="0.25">
      <c r="A1785" s="1"/>
      <c r="B1785" s="20">
        <v>1773</v>
      </c>
      <c r="C1785" s="20">
        <v>2023</v>
      </c>
      <c r="D1785" s="20">
        <v>12600</v>
      </c>
      <c r="E1785" s="20" t="s">
        <v>6915</v>
      </c>
      <c r="F1785" s="20" t="s">
        <v>6916</v>
      </c>
      <c r="G1785" s="20" t="s">
        <v>6917</v>
      </c>
      <c r="H1785" s="20" t="s">
        <v>6918</v>
      </c>
      <c r="I1785" s="20" t="s">
        <v>23</v>
      </c>
      <c r="J1785" s="21">
        <v>2000</v>
      </c>
      <c r="K1785" s="20" t="s">
        <v>34</v>
      </c>
      <c r="L1785" s="21" t="s">
        <v>30</v>
      </c>
      <c r="M1785" s="21"/>
      <c r="N1785" s="20" t="s">
        <v>431</v>
      </c>
      <c r="O1785" s="20"/>
    </row>
    <row r="1786" spans="1:15" ht="13.5" customHeight="1" x14ac:dyDescent="0.25">
      <c r="A1786" s="1"/>
      <c r="B1786" s="22">
        <v>1774</v>
      </c>
      <c r="C1786" s="22">
        <v>2023</v>
      </c>
      <c r="D1786" s="22">
        <v>11102</v>
      </c>
      <c r="E1786" s="22" t="s">
        <v>6919</v>
      </c>
      <c r="F1786" s="22" t="s">
        <v>6920</v>
      </c>
      <c r="G1786" s="22" t="s">
        <v>6921</v>
      </c>
      <c r="H1786" s="22" t="s">
        <v>6922</v>
      </c>
      <c r="I1786" s="22" t="s">
        <v>23</v>
      </c>
      <c r="J1786" s="23">
        <v>2000</v>
      </c>
      <c r="K1786" s="22" t="s">
        <v>39</v>
      </c>
      <c r="L1786" s="23" t="s">
        <v>30</v>
      </c>
      <c r="M1786" s="23" t="s">
        <v>30</v>
      </c>
      <c r="N1786" s="22"/>
      <c r="O1786" s="22"/>
    </row>
    <row r="1787" spans="1:15" ht="13.5" customHeight="1" x14ac:dyDescent="0.25">
      <c r="A1787" s="1"/>
      <c r="B1787" s="20">
        <v>1775</v>
      </c>
      <c r="C1787" s="20">
        <v>2023</v>
      </c>
      <c r="D1787" s="20">
        <v>11104</v>
      </c>
      <c r="E1787" s="20" t="s">
        <v>6923</v>
      </c>
      <c r="F1787" s="20" t="s">
        <v>6924</v>
      </c>
      <c r="G1787" s="20" t="s">
        <v>6925</v>
      </c>
      <c r="H1787" s="20" t="s">
        <v>6926</v>
      </c>
      <c r="I1787" s="20" t="s">
        <v>23</v>
      </c>
      <c r="J1787" s="21">
        <v>2000</v>
      </c>
      <c r="K1787" s="20" t="s">
        <v>34</v>
      </c>
      <c r="L1787" s="21" t="s">
        <v>30</v>
      </c>
      <c r="M1787" s="21" t="s">
        <v>30</v>
      </c>
      <c r="N1787" s="20"/>
      <c r="O1787" s="20"/>
    </row>
    <row r="1788" spans="1:15" ht="13.5" customHeight="1" x14ac:dyDescent="0.25">
      <c r="A1788" s="1"/>
      <c r="B1788" s="22">
        <v>1776</v>
      </c>
      <c r="C1788" s="22">
        <v>2023</v>
      </c>
      <c r="D1788" s="22">
        <v>11816</v>
      </c>
      <c r="E1788" s="22" t="s">
        <v>6927</v>
      </c>
      <c r="F1788" s="22" t="s">
        <v>6928</v>
      </c>
      <c r="G1788" s="22"/>
      <c r="H1788" s="22" t="s">
        <v>6929</v>
      </c>
      <c r="I1788" s="22" t="s">
        <v>23</v>
      </c>
      <c r="J1788" s="23">
        <v>2007</v>
      </c>
      <c r="K1788" s="22" t="s">
        <v>34</v>
      </c>
      <c r="L1788" s="23"/>
      <c r="M1788" s="23" t="s">
        <v>30</v>
      </c>
      <c r="N1788" s="22" t="s">
        <v>245</v>
      </c>
      <c r="O1788" s="22"/>
    </row>
    <row r="1789" spans="1:15" ht="13.5" customHeight="1" x14ac:dyDescent="0.25">
      <c r="A1789" s="1"/>
      <c r="B1789" s="20">
        <v>1777</v>
      </c>
      <c r="C1789" s="20">
        <v>2023</v>
      </c>
      <c r="D1789" s="20">
        <v>299</v>
      </c>
      <c r="E1789" s="20" t="s">
        <v>6930</v>
      </c>
      <c r="F1789" s="20" t="s">
        <v>6931</v>
      </c>
      <c r="G1789" s="20" t="s">
        <v>6932</v>
      </c>
      <c r="H1789" s="20" t="s">
        <v>6933</v>
      </c>
      <c r="I1789" s="20" t="s">
        <v>23</v>
      </c>
      <c r="J1789" s="21">
        <v>2000</v>
      </c>
      <c r="K1789" s="20" t="s">
        <v>34</v>
      </c>
      <c r="L1789" s="21" t="s">
        <v>30</v>
      </c>
      <c r="M1789" s="21" t="s">
        <v>30</v>
      </c>
      <c r="N1789" s="20"/>
      <c r="O1789" s="20"/>
    </row>
    <row r="1790" spans="1:15" ht="13.5" customHeight="1" x14ac:dyDescent="0.25">
      <c r="A1790" s="1"/>
      <c r="B1790" s="22">
        <v>1778</v>
      </c>
      <c r="C1790" s="22">
        <v>2023</v>
      </c>
      <c r="D1790" s="22">
        <v>11240</v>
      </c>
      <c r="E1790" s="22" t="s">
        <v>6934</v>
      </c>
      <c r="F1790" s="22" t="s">
        <v>6935</v>
      </c>
      <c r="G1790" s="22" t="s">
        <v>6936</v>
      </c>
      <c r="H1790" s="22" t="s">
        <v>6937</v>
      </c>
      <c r="I1790" s="22" t="s">
        <v>23</v>
      </c>
      <c r="J1790" s="23">
        <v>2000</v>
      </c>
      <c r="K1790" s="22" t="s">
        <v>34</v>
      </c>
      <c r="L1790" s="23" t="s">
        <v>30</v>
      </c>
      <c r="M1790" s="23" t="s">
        <v>30</v>
      </c>
      <c r="N1790" s="22"/>
      <c r="O1790" s="22"/>
    </row>
    <row r="1791" spans="1:15" ht="13.5" customHeight="1" x14ac:dyDescent="0.25">
      <c r="A1791" s="1"/>
      <c r="B1791" s="20">
        <v>1779</v>
      </c>
      <c r="C1791" s="20">
        <v>2023</v>
      </c>
      <c r="D1791" s="20">
        <v>11258</v>
      </c>
      <c r="E1791" s="20" t="s">
        <v>6938</v>
      </c>
      <c r="F1791" s="20" t="s">
        <v>6939</v>
      </c>
      <c r="G1791" s="20" t="s">
        <v>6940</v>
      </c>
      <c r="H1791" s="20" t="s">
        <v>6941</v>
      </c>
      <c r="I1791" s="20" t="s">
        <v>23</v>
      </c>
      <c r="J1791" s="21">
        <v>2000</v>
      </c>
      <c r="K1791" s="20" t="s">
        <v>34</v>
      </c>
      <c r="L1791" s="21" t="s">
        <v>30</v>
      </c>
      <c r="M1791" s="21" t="s">
        <v>30</v>
      </c>
      <c r="N1791" s="20"/>
      <c r="O1791" s="20"/>
    </row>
    <row r="1792" spans="1:15" ht="13.5" customHeight="1" x14ac:dyDescent="0.25">
      <c r="A1792" s="1"/>
      <c r="B1792" s="22">
        <v>1780</v>
      </c>
      <c r="C1792" s="22">
        <v>2023</v>
      </c>
      <c r="D1792" s="22">
        <v>11130</v>
      </c>
      <c r="E1792" s="22" t="s">
        <v>6942</v>
      </c>
      <c r="F1792" s="22" t="s">
        <v>6943</v>
      </c>
      <c r="G1792" s="22" t="s">
        <v>6944</v>
      </c>
      <c r="H1792" s="22" t="s">
        <v>6945</v>
      </c>
      <c r="I1792" s="22" t="s">
        <v>23</v>
      </c>
      <c r="J1792" s="23">
        <v>2000</v>
      </c>
      <c r="K1792" s="22" t="s">
        <v>24</v>
      </c>
      <c r="L1792" s="23" t="s">
        <v>30</v>
      </c>
      <c r="M1792" s="23" t="s">
        <v>30</v>
      </c>
      <c r="N1792" s="22"/>
      <c r="O1792" s="22"/>
    </row>
    <row r="1793" spans="1:15" ht="13.5" customHeight="1" x14ac:dyDescent="0.25">
      <c r="A1793" s="1"/>
      <c r="B1793" s="20">
        <v>1781</v>
      </c>
      <c r="C1793" s="20">
        <v>2023</v>
      </c>
      <c r="D1793" s="20">
        <v>10725</v>
      </c>
      <c r="E1793" s="20" t="s">
        <v>6946</v>
      </c>
      <c r="F1793" s="20" t="s">
        <v>6947</v>
      </c>
      <c r="G1793" s="20" t="s">
        <v>6948</v>
      </c>
      <c r="H1793" s="20" t="s">
        <v>6949</v>
      </c>
      <c r="I1793" s="20" t="s">
        <v>23</v>
      </c>
      <c r="J1793" s="21">
        <v>2000</v>
      </c>
      <c r="K1793" s="20" t="s">
        <v>34</v>
      </c>
      <c r="L1793" s="21" t="s">
        <v>30</v>
      </c>
      <c r="M1793" s="21" t="s">
        <v>30</v>
      </c>
      <c r="N1793" s="20"/>
      <c r="O1793" s="20"/>
    </row>
    <row r="1794" spans="1:15" ht="13.5" customHeight="1" x14ac:dyDescent="0.25">
      <c r="A1794" s="1"/>
      <c r="B1794" s="22">
        <v>1782</v>
      </c>
      <c r="C1794" s="22">
        <v>2023</v>
      </c>
      <c r="D1794" s="22">
        <v>11103</v>
      </c>
      <c r="E1794" s="22" t="s">
        <v>6950</v>
      </c>
      <c r="F1794" s="22" t="s">
        <v>6951</v>
      </c>
      <c r="G1794" s="22" t="s">
        <v>6952</v>
      </c>
      <c r="H1794" s="22" t="s">
        <v>6953</v>
      </c>
      <c r="I1794" s="22" t="s">
        <v>23</v>
      </c>
      <c r="J1794" s="23">
        <v>2000</v>
      </c>
      <c r="K1794" s="22" t="s">
        <v>34</v>
      </c>
      <c r="L1794" s="23" t="s">
        <v>30</v>
      </c>
      <c r="M1794" s="23" t="s">
        <v>30</v>
      </c>
      <c r="N1794" s="22"/>
      <c r="O1794" s="22"/>
    </row>
    <row r="1795" spans="1:15" ht="13.5" customHeight="1" x14ac:dyDescent="0.25">
      <c r="A1795" s="1"/>
      <c r="B1795" s="20">
        <v>1783</v>
      </c>
      <c r="C1795" s="20">
        <v>2023</v>
      </c>
      <c r="D1795" s="20">
        <v>11105</v>
      </c>
      <c r="E1795" s="20" t="s">
        <v>6954</v>
      </c>
      <c r="F1795" s="20" t="s">
        <v>6955</v>
      </c>
      <c r="G1795" s="20" t="s">
        <v>6956</v>
      </c>
      <c r="H1795" s="20" t="s">
        <v>6957</v>
      </c>
      <c r="I1795" s="20" t="s">
        <v>23</v>
      </c>
      <c r="J1795" s="21">
        <v>2000</v>
      </c>
      <c r="K1795" s="20" t="s">
        <v>34</v>
      </c>
      <c r="L1795" s="21" t="s">
        <v>30</v>
      </c>
      <c r="M1795" s="21" t="s">
        <v>30</v>
      </c>
      <c r="N1795" s="20" t="s">
        <v>74</v>
      </c>
      <c r="O1795" s="20"/>
    </row>
    <row r="1796" spans="1:15" ht="13.5" customHeight="1" x14ac:dyDescent="0.25">
      <c r="A1796" s="1"/>
      <c r="B1796" s="22">
        <v>1784</v>
      </c>
      <c r="C1796" s="22">
        <v>2023</v>
      </c>
      <c r="D1796" s="22">
        <v>40502</v>
      </c>
      <c r="E1796" s="22" t="s">
        <v>6958</v>
      </c>
      <c r="F1796" s="22" t="s">
        <v>6959</v>
      </c>
      <c r="G1796" s="22" t="s">
        <v>6960</v>
      </c>
      <c r="H1796" s="22" t="s">
        <v>6961</v>
      </c>
      <c r="I1796" s="22" t="s">
        <v>23</v>
      </c>
      <c r="J1796" s="23">
        <v>2013</v>
      </c>
      <c r="K1796" s="22" t="s">
        <v>34</v>
      </c>
      <c r="L1796" s="23" t="s">
        <v>30</v>
      </c>
      <c r="M1796" s="23"/>
      <c r="N1796" s="22" t="s">
        <v>101</v>
      </c>
      <c r="O1796" s="22"/>
    </row>
    <row r="1797" spans="1:15" ht="13.5" customHeight="1" x14ac:dyDescent="0.25">
      <c r="A1797" s="1"/>
      <c r="B1797" s="20">
        <v>1785</v>
      </c>
      <c r="C1797" s="20">
        <v>2023</v>
      </c>
      <c r="D1797" s="20">
        <v>497</v>
      </c>
      <c r="E1797" s="20" t="s">
        <v>6962</v>
      </c>
      <c r="F1797" s="20" t="s">
        <v>6963</v>
      </c>
      <c r="G1797" s="20" t="s">
        <v>6964</v>
      </c>
      <c r="H1797" s="20" t="s">
        <v>6965</v>
      </c>
      <c r="I1797" s="20" t="s">
        <v>23</v>
      </c>
      <c r="J1797" s="21">
        <v>2000</v>
      </c>
      <c r="K1797" s="20" t="s">
        <v>34</v>
      </c>
      <c r="L1797" s="21" t="s">
        <v>30</v>
      </c>
      <c r="M1797" s="21" t="s">
        <v>30</v>
      </c>
      <c r="N1797" s="20"/>
      <c r="O1797" s="20"/>
    </row>
    <row r="1798" spans="1:15" ht="13.5" customHeight="1" x14ac:dyDescent="0.25">
      <c r="A1798" s="1"/>
      <c r="B1798" s="22">
        <v>1786</v>
      </c>
      <c r="C1798" s="22">
        <v>2023</v>
      </c>
      <c r="D1798" s="22">
        <v>606</v>
      </c>
      <c r="E1798" s="22" t="s">
        <v>6966</v>
      </c>
      <c r="F1798" s="22" t="s">
        <v>6967</v>
      </c>
      <c r="G1798" s="22" t="s">
        <v>6968</v>
      </c>
      <c r="H1798" s="22" t="s">
        <v>6969</v>
      </c>
      <c r="I1798" s="22" t="s">
        <v>23</v>
      </c>
      <c r="J1798" s="23">
        <v>2000</v>
      </c>
      <c r="K1798" s="22" t="s">
        <v>34</v>
      </c>
      <c r="L1798" s="23" t="s">
        <v>30</v>
      </c>
      <c r="M1798" s="23" t="s">
        <v>30</v>
      </c>
      <c r="N1798" s="22"/>
      <c r="O1798" s="22"/>
    </row>
    <row r="1799" spans="1:15" ht="13.5" customHeight="1" x14ac:dyDescent="0.25">
      <c r="A1799" s="1"/>
      <c r="B1799" s="20">
        <v>1787</v>
      </c>
      <c r="C1799" s="20">
        <v>2023</v>
      </c>
      <c r="D1799" s="20">
        <v>425</v>
      </c>
      <c r="E1799" s="20" t="s">
        <v>6970</v>
      </c>
      <c r="F1799" s="20" t="s">
        <v>6971</v>
      </c>
      <c r="G1799" s="20" t="s">
        <v>6972</v>
      </c>
      <c r="H1799" s="20" t="s">
        <v>6973</v>
      </c>
      <c r="I1799" s="20" t="s">
        <v>23</v>
      </c>
      <c r="J1799" s="21">
        <v>2000</v>
      </c>
      <c r="K1799" s="20" t="s">
        <v>34</v>
      </c>
      <c r="L1799" s="21" t="s">
        <v>30</v>
      </c>
      <c r="M1799" s="21" t="s">
        <v>30</v>
      </c>
      <c r="N1799" s="20"/>
      <c r="O1799" s="20"/>
    </row>
    <row r="1800" spans="1:15" ht="13.5" customHeight="1" x14ac:dyDescent="0.25">
      <c r="A1800" s="1"/>
      <c r="B1800" s="22">
        <v>1788</v>
      </c>
      <c r="C1800" s="22">
        <v>2023</v>
      </c>
      <c r="D1800" s="22">
        <v>11090</v>
      </c>
      <c r="E1800" s="22" t="s">
        <v>6974</v>
      </c>
      <c r="F1800" s="22" t="s">
        <v>6975</v>
      </c>
      <c r="G1800" s="22" t="s">
        <v>6976</v>
      </c>
      <c r="H1800" s="22" t="s">
        <v>6977</v>
      </c>
      <c r="I1800" s="22" t="s">
        <v>23</v>
      </c>
      <c r="J1800" s="23">
        <v>2000</v>
      </c>
      <c r="K1800" s="22" t="s">
        <v>24</v>
      </c>
      <c r="L1800" s="23" t="s">
        <v>30</v>
      </c>
      <c r="M1800" s="23" t="s">
        <v>30</v>
      </c>
      <c r="N1800" s="22"/>
      <c r="O1800" s="22"/>
    </row>
    <row r="1801" spans="1:15" ht="13.5" customHeight="1" x14ac:dyDescent="0.25">
      <c r="A1801" s="1"/>
      <c r="B1801" s="20">
        <v>1789</v>
      </c>
      <c r="C1801" s="20">
        <v>2023</v>
      </c>
      <c r="D1801" s="20">
        <v>11452</v>
      </c>
      <c r="E1801" s="20" t="s">
        <v>6978</v>
      </c>
      <c r="F1801" s="20" t="s">
        <v>6979</v>
      </c>
      <c r="G1801" s="20" t="s">
        <v>6980</v>
      </c>
      <c r="H1801" s="20" t="s">
        <v>6981</v>
      </c>
      <c r="I1801" s="20" t="s">
        <v>62</v>
      </c>
      <c r="J1801" s="21">
        <v>2000</v>
      </c>
      <c r="K1801" s="20" t="s">
        <v>63</v>
      </c>
      <c r="L1801" s="21" t="s">
        <v>30</v>
      </c>
      <c r="M1801" s="21" t="s">
        <v>30</v>
      </c>
      <c r="N1801" s="20"/>
      <c r="O1801" s="20"/>
    </row>
    <row r="1802" spans="1:15" ht="13.5" customHeight="1" x14ac:dyDescent="0.25">
      <c r="A1802" s="1"/>
      <c r="B1802" s="22">
        <v>1790</v>
      </c>
      <c r="C1802" s="22">
        <v>2023</v>
      </c>
      <c r="D1802" s="22">
        <v>11468</v>
      </c>
      <c r="E1802" s="22" t="s">
        <v>6982</v>
      </c>
      <c r="F1802" s="22" t="s">
        <v>6983</v>
      </c>
      <c r="G1802" s="22"/>
      <c r="H1802" s="22" t="s">
        <v>6984</v>
      </c>
      <c r="I1802" s="22" t="s">
        <v>23</v>
      </c>
      <c r="J1802" s="23">
        <v>2006</v>
      </c>
      <c r="K1802" s="22" t="s">
        <v>24</v>
      </c>
      <c r="L1802" s="23"/>
      <c r="M1802" s="23" t="s">
        <v>30</v>
      </c>
      <c r="N1802" s="22"/>
      <c r="O1802" s="22"/>
    </row>
    <row r="1803" spans="1:15" ht="13.5" customHeight="1" x14ac:dyDescent="0.25">
      <c r="A1803" s="1"/>
      <c r="B1803" s="20">
        <v>1791</v>
      </c>
      <c r="C1803" s="20">
        <v>2023</v>
      </c>
      <c r="D1803" s="20">
        <v>15033</v>
      </c>
      <c r="E1803" s="20" t="s">
        <v>6985</v>
      </c>
      <c r="F1803" s="20" t="s">
        <v>6986</v>
      </c>
      <c r="G1803" s="20" t="s">
        <v>6987</v>
      </c>
      <c r="H1803" s="20" t="s">
        <v>6988</v>
      </c>
      <c r="I1803" s="20" t="s">
        <v>357</v>
      </c>
      <c r="J1803" s="21">
        <v>2009</v>
      </c>
      <c r="K1803" s="20" t="s">
        <v>39</v>
      </c>
      <c r="L1803" s="21" t="s">
        <v>30</v>
      </c>
      <c r="M1803" s="21"/>
      <c r="N1803" s="20"/>
      <c r="O1803" s="20"/>
    </row>
    <row r="1804" spans="1:15" ht="13.5" customHeight="1" x14ac:dyDescent="0.25">
      <c r="A1804" s="1"/>
      <c r="B1804" s="22">
        <v>1792</v>
      </c>
      <c r="C1804" s="22">
        <v>2023</v>
      </c>
      <c r="D1804" s="22">
        <v>300</v>
      </c>
      <c r="E1804" s="22" t="s">
        <v>6989</v>
      </c>
      <c r="F1804" s="22" t="s">
        <v>6990</v>
      </c>
      <c r="G1804" s="22" t="s">
        <v>6991</v>
      </c>
      <c r="H1804" s="22" t="s">
        <v>6992</v>
      </c>
      <c r="I1804" s="22" t="s">
        <v>23</v>
      </c>
      <c r="J1804" s="23">
        <v>2000</v>
      </c>
      <c r="K1804" s="22" t="s">
        <v>34</v>
      </c>
      <c r="L1804" s="23" t="s">
        <v>30</v>
      </c>
      <c r="M1804" s="23" t="s">
        <v>30</v>
      </c>
      <c r="N1804" s="22"/>
      <c r="O1804" s="22"/>
    </row>
    <row r="1805" spans="1:15" ht="13.5" customHeight="1" x14ac:dyDescent="0.25">
      <c r="A1805" s="1"/>
      <c r="B1805" s="20">
        <v>1793</v>
      </c>
      <c r="C1805" s="20">
        <v>2023</v>
      </c>
      <c r="D1805" s="20">
        <v>11077</v>
      </c>
      <c r="E1805" s="20" t="s">
        <v>6993</v>
      </c>
      <c r="F1805" s="20" t="s">
        <v>6994</v>
      </c>
      <c r="G1805" s="20" t="s">
        <v>6995</v>
      </c>
      <c r="H1805" s="20" t="s">
        <v>6996</v>
      </c>
      <c r="I1805" s="20" t="s">
        <v>23</v>
      </c>
      <c r="J1805" s="21">
        <v>2000</v>
      </c>
      <c r="K1805" s="20" t="s">
        <v>1475</v>
      </c>
      <c r="L1805" s="21" t="s">
        <v>30</v>
      </c>
      <c r="M1805" s="21" t="s">
        <v>30</v>
      </c>
      <c r="N1805" s="20"/>
      <c r="O1805" s="20"/>
    </row>
    <row r="1806" spans="1:15" ht="13.5" customHeight="1" x14ac:dyDescent="0.25">
      <c r="A1806" s="1"/>
      <c r="B1806" s="22">
        <v>1794</v>
      </c>
      <c r="C1806" s="22">
        <v>2023</v>
      </c>
      <c r="D1806" s="22">
        <v>11109</v>
      </c>
      <c r="E1806" s="22" t="s">
        <v>6997</v>
      </c>
      <c r="F1806" s="22" t="s">
        <v>6998</v>
      </c>
      <c r="G1806" s="22" t="s">
        <v>6999</v>
      </c>
      <c r="H1806" s="22" t="s">
        <v>7000</v>
      </c>
      <c r="I1806" s="22" t="s">
        <v>23</v>
      </c>
      <c r="J1806" s="23">
        <v>2000</v>
      </c>
      <c r="K1806" s="22" t="s">
        <v>1475</v>
      </c>
      <c r="L1806" s="23" t="s">
        <v>30</v>
      </c>
      <c r="M1806" s="23" t="s">
        <v>30</v>
      </c>
      <c r="N1806" s="22"/>
      <c r="O1806" s="22"/>
    </row>
    <row r="1807" spans="1:15" ht="13.5" customHeight="1" x14ac:dyDescent="0.25">
      <c r="A1807" s="1"/>
      <c r="B1807" s="20">
        <v>1795</v>
      </c>
      <c r="C1807" s="20">
        <v>2023</v>
      </c>
      <c r="D1807" s="20">
        <v>11615</v>
      </c>
      <c r="E1807" s="20" t="s">
        <v>7001</v>
      </c>
      <c r="F1807" s="20" t="s">
        <v>7002</v>
      </c>
      <c r="G1807" s="20" t="s">
        <v>7003</v>
      </c>
      <c r="H1807" s="20" t="s">
        <v>7004</v>
      </c>
      <c r="I1807" s="20" t="s">
        <v>960</v>
      </c>
      <c r="J1807" s="21">
        <v>2000</v>
      </c>
      <c r="K1807" s="20" t="s">
        <v>1475</v>
      </c>
      <c r="L1807" s="21" t="s">
        <v>30</v>
      </c>
      <c r="M1807" s="21"/>
      <c r="N1807" s="20" t="s">
        <v>151</v>
      </c>
      <c r="O1807" s="20"/>
    </row>
    <row r="1808" spans="1:15" ht="13.5" customHeight="1" x14ac:dyDescent="0.25">
      <c r="A1808" s="1"/>
      <c r="B1808" s="22">
        <v>1796</v>
      </c>
      <c r="C1808" s="22">
        <v>2023</v>
      </c>
      <c r="D1808" s="22">
        <v>289</v>
      </c>
      <c r="E1808" s="22" t="s">
        <v>7005</v>
      </c>
      <c r="F1808" s="22" t="s">
        <v>7006</v>
      </c>
      <c r="G1808" s="22" t="s">
        <v>7007</v>
      </c>
      <c r="H1808" s="22" t="s">
        <v>7008</v>
      </c>
      <c r="I1808" s="22" t="s">
        <v>23</v>
      </c>
      <c r="J1808" s="23">
        <v>2000</v>
      </c>
      <c r="K1808" s="22" t="s">
        <v>24</v>
      </c>
      <c r="L1808" s="23" t="s">
        <v>30</v>
      </c>
      <c r="M1808" s="23" t="s">
        <v>30</v>
      </c>
      <c r="N1808" s="22"/>
      <c r="O1808" s="22"/>
    </row>
    <row r="1809" spans="1:15" ht="13.5" customHeight="1" x14ac:dyDescent="0.25">
      <c r="A1809" s="1"/>
      <c r="B1809" s="20">
        <v>1797</v>
      </c>
      <c r="C1809" s="20">
        <v>2023</v>
      </c>
      <c r="D1809" s="20">
        <v>11529</v>
      </c>
      <c r="E1809" s="20" t="s">
        <v>7009</v>
      </c>
      <c r="F1809" s="20"/>
      <c r="G1809" s="20"/>
      <c r="H1809" s="20" t="s">
        <v>7010</v>
      </c>
      <c r="I1809" s="20" t="s">
        <v>62</v>
      </c>
      <c r="J1809" s="21">
        <v>2008</v>
      </c>
      <c r="K1809" s="20" t="s">
        <v>24</v>
      </c>
      <c r="L1809" s="21"/>
      <c r="M1809" s="21" t="s">
        <v>30</v>
      </c>
      <c r="N1809" s="20" t="s">
        <v>352</v>
      </c>
      <c r="O1809" s="20"/>
    </row>
    <row r="1810" spans="1:15" ht="13.5" customHeight="1" x14ac:dyDescent="0.25">
      <c r="A1810" s="1"/>
      <c r="B1810" s="22">
        <v>1798</v>
      </c>
      <c r="C1810" s="22">
        <v>2023</v>
      </c>
      <c r="D1810" s="22">
        <v>41050</v>
      </c>
      <c r="E1810" s="22" t="s">
        <v>7011</v>
      </c>
      <c r="F1810" s="22" t="s">
        <v>7012</v>
      </c>
      <c r="G1810" s="22" t="s">
        <v>7013</v>
      </c>
      <c r="H1810" s="22" t="s">
        <v>7014</v>
      </c>
      <c r="I1810" s="22" t="s">
        <v>23</v>
      </c>
      <c r="J1810" s="23">
        <v>2018</v>
      </c>
      <c r="K1810" s="22" t="s">
        <v>67</v>
      </c>
      <c r="L1810" s="23" t="s">
        <v>30</v>
      </c>
      <c r="M1810" s="23"/>
      <c r="N1810" s="22" t="s">
        <v>213</v>
      </c>
      <c r="O1810" s="22"/>
    </row>
    <row r="1811" spans="1:15" ht="13.5" customHeight="1" x14ac:dyDescent="0.25">
      <c r="A1811" s="1"/>
      <c r="B1811" s="20">
        <v>1799</v>
      </c>
      <c r="C1811" s="20">
        <v>2023</v>
      </c>
      <c r="D1811" s="20">
        <v>11111</v>
      </c>
      <c r="E1811" s="20" t="s">
        <v>7015</v>
      </c>
      <c r="F1811" s="20" t="s">
        <v>7016</v>
      </c>
      <c r="G1811" s="20" t="s">
        <v>7017</v>
      </c>
      <c r="H1811" s="20" t="s">
        <v>7018</v>
      </c>
      <c r="I1811" s="20" t="s">
        <v>23</v>
      </c>
      <c r="J1811" s="21">
        <v>2000</v>
      </c>
      <c r="K1811" s="20" t="s">
        <v>184</v>
      </c>
      <c r="L1811" s="21" t="s">
        <v>30</v>
      </c>
      <c r="M1811" s="21" t="s">
        <v>30</v>
      </c>
      <c r="N1811" s="20"/>
      <c r="O1811" s="20"/>
    </row>
    <row r="1812" spans="1:15" ht="13.5" customHeight="1" x14ac:dyDescent="0.25">
      <c r="A1812" s="1"/>
      <c r="B1812" s="22">
        <v>1800</v>
      </c>
      <c r="C1812" s="22">
        <v>2023</v>
      </c>
      <c r="D1812" s="22">
        <v>11113</v>
      </c>
      <c r="E1812" s="22" t="s">
        <v>7019</v>
      </c>
      <c r="F1812" s="22" t="s">
        <v>7020</v>
      </c>
      <c r="G1812" s="22" t="s">
        <v>7021</v>
      </c>
      <c r="H1812" s="22" t="s">
        <v>7022</v>
      </c>
      <c r="I1812" s="22" t="s">
        <v>23</v>
      </c>
      <c r="J1812" s="23">
        <v>2000</v>
      </c>
      <c r="K1812" s="22" t="s">
        <v>184</v>
      </c>
      <c r="L1812" s="23" t="s">
        <v>30</v>
      </c>
      <c r="M1812" s="23" t="s">
        <v>30</v>
      </c>
      <c r="N1812" s="22"/>
      <c r="O1812" s="22"/>
    </row>
    <row r="1813" spans="1:15" ht="13.5" customHeight="1" x14ac:dyDescent="0.25">
      <c r="A1813" s="1"/>
      <c r="B1813" s="20">
        <v>1801</v>
      </c>
      <c r="C1813" s="20">
        <v>2023</v>
      </c>
      <c r="D1813" s="20">
        <v>10258</v>
      </c>
      <c r="E1813" s="20" t="s">
        <v>7023</v>
      </c>
      <c r="F1813" s="20" t="s">
        <v>7024</v>
      </c>
      <c r="G1813" s="20" t="s">
        <v>7025</v>
      </c>
      <c r="H1813" s="20" t="s">
        <v>7026</v>
      </c>
      <c r="I1813" s="20" t="s">
        <v>23</v>
      </c>
      <c r="J1813" s="21">
        <v>2002</v>
      </c>
      <c r="K1813" s="20" t="s">
        <v>475</v>
      </c>
      <c r="L1813" s="21" t="s">
        <v>30</v>
      </c>
      <c r="M1813" s="21" t="s">
        <v>30</v>
      </c>
      <c r="N1813" s="20"/>
      <c r="O1813" s="20"/>
    </row>
    <row r="1814" spans="1:15" ht="13.5" customHeight="1" x14ac:dyDescent="0.25">
      <c r="A1814" s="1"/>
      <c r="B1814" s="22">
        <v>1802</v>
      </c>
      <c r="C1814" s="22">
        <v>2023</v>
      </c>
      <c r="D1814" s="22">
        <v>11117</v>
      </c>
      <c r="E1814" s="22" t="s">
        <v>7027</v>
      </c>
      <c r="F1814" s="22" t="s">
        <v>7028</v>
      </c>
      <c r="G1814" s="22" t="s">
        <v>7029</v>
      </c>
      <c r="H1814" s="22" t="s">
        <v>7030</v>
      </c>
      <c r="I1814" s="22" t="s">
        <v>223</v>
      </c>
      <c r="J1814" s="23">
        <v>2000</v>
      </c>
      <c r="K1814" s="22" t="s">
        <v>44</v>
      </c>
      <c r="L1814" s="23" t="s">
        <v>30</v>
      </c>
      <c r="M1814" s="23" t="s">
        <v>30</v>
      </c>
      <c r="N1814" s="22"/>
      <c r="O1814" s="22"/>
    </row>
    <row r="1815" spans="1:15" ht="13.5" customHeight="1" x14ac:dyDescent="0.25">
      <c r="A1815" s="1"/>
      <c r="B1815" s="20">
        <v>1803</v>
      </c>
      <c r="C1815" s="20">
        <v>2023</v>
      </c>
      <c r="D1815" s="20">
        <v>42438</v>
      </c>
      <c r="E1815" s="20" t="s">
        <v>7031</v>
      </c>
      <c r="F1815" s="20" t="s">
        <v>7032</v>
      </c>
      <c r="G1815" s="20" t="s">
        <v>7033</v>
      </c>
      <c r="H1815" s="20" t="s">
        <v>7034</v>
      </c>
      <c r="I1815" s="20" t="s">
        <v>23</v>
      </c>
      <c r="J1815" s="21">
        <v>2019</v>
      </c>
      <c r="K1815" s="20" t="s">
        <v>73</v>
      </c>
      <c r="L1815" s="21" t="s">
        <v>30</v>
      </c>
      <c r="M1815" s="21"/>
      <c r="N1815" s="20" t="s">
        <v>218</v>
      </c>
      <c r="O1815" s="20"/>
    </row>
    <row r="1816" spans="1:15" ht="13.5" customHeight="1" x14ac:dyDescent="0.25">
      <c r="A1816" s="1"/>
      <c r="B1816" s="22">
        <v>1804</v>
      </c>
      <c r="C1816" s="22">
        <v>2023</v>
      </c>
      <c r="D1816" s="22">
        <v>11540</v>
      </c>
      <c r="E1816" s="22" t="s">
        <v>7035</v>
      </c>
      <c r="F1816" s="22" t="s">
        <v>7036</v>
      </c>
      <c r="G1816" s="22" t="s">
        <v>7037</v>
      </c>
      <c r="H1816" s="22" t="s">
        <v>7038</v>
      </c>
      <c r="I1816" s="22" t="s">
        <v>23</v>
      </c>
      <c r="J1816" s="23">
        <v>2000</v>
      </c>
      <c r="K1816" s="22" t="s">
        <v>34</v>
      </c>
      <c r="L1816" s="23" t="s">
        <v>30</v>
      </c>
      <c r="M1816" s="23" t="s">
        <v>30</v>
      </c>
      <c r="N1816" s="22"/>
      <c r="O1816" s="22"/>
    </row>
    <row r="1817" spans="1:15" ht="13.5" customHeight="1" x14ac:dyDescent="0.25">
      <c r="A1817" s="1"/>
      <c r="B1817" s="20">
        <v>1805</v>
      </c>
      <c r="C1817" s="20">
        <v>2023</v>
      </c>
      <c r="D1817" s="20">
        <v>11118</v>
      </c>
      <c r="E1817" s="20" t="s">
        <v>7039</v>
      </c>
      <c r="F1817" s="20" t="s">
        <v>7040</v>
      </c>
      <c r="G1817" s="20" t="s">
        <v>7041</v>
      </c>
      <c r="H1817" s="20" t="s">
        <v>7042</v>
      </c>
      <c r="I1817" s="20" t="s">
        <v>23</v>
      </c>
      <c r="J1817" s="21">
        <v>2000</v>
      </c>
      <c r="K1817" s="20" t="s">
        <v>44</v>
      </c>
      <c r="L1817" s="21" t="s">
        <v>30</v>
      </c>
      <c r="M1817" s="21" t="s">
        <v>30</v>
      </c>
      <c r="N1817" s="20"/>
      <c r="O1817" s="20"/>
    </row>
    <row r="1818" spans="1:15" ht="13.5" customHeight="1" x14ac:dyDescent="0.25">
      <c r="A1818" s="1"/>
      <c r="B1818" s="22">
        <v>1806</v>
      </c>
      <c r="C1818" s="22">
        <v>2023</v>
      </c>
      <c r="D1818" s="22">
        <v>11106</v>
      </c>
      <c r="E1818" s="22" t="s">
        <v>7043</v>
      </c>
      <c r="F1818" s="22" t="s">
        <v>7044</v>
      </c>
      <c r="G1818" s="22" t="s">
        <v>7045</v>
      </c>
      <c r="H1818" s="22" t="s">
        <v>7046</v>
      </c>
      <c r="I1818" s="22" t="s">
        <v>23</v>
      </c>
      <c r="J1818" s="23">
        <v>2000</v>
      </c>
      <c r="K1818" s="22" t="s">
        <v>24</v>
      </c>
      <c r="L1818" s="23" t="s">
        <v>30</v>
      </c>
      <c r="M1818" s="23" t="s">
        <v>30</v>
      </c>
      <c r="N1818" s="22"/>
      <c r="O1818" s="22"/>
    </row>
    <row r="1819" spans="1:15" ht="13.5" customHeight="1" x14ac:dyDescent="0.25">
      <c r="A1819" s="1"/>
      <c r="B1819" s="20">
        <v>1807</v>
      </c>
      <c r="C1819" s="20">
        <v>2023</v>
      </c>
      <c r="D1819" s="20">
        <v>10749</v>
      </c>
      <c r="E1819" s="20" t="s">
        <v>7047</v>
      </c>
      <c r="F1819" s="20" t="s">
        <v>7048</v>
      </c>
      <c r="G1819" s="20" t="s">
        <v>7049</v>
      </c>
      <c r="H1819" s="20" t="s">
        <v>7050</v>
      </c>
      <c r="I1819" s="20" t="s">
        <v>23</v>
      </c>
      <c r="J1819" s="21">
        <v>2000</v>
      </c>
      <c r="K1819" s="20" t="s">
        <v>1059</v>
      </c>
      <c r="L1819" s="21" t="s">
        <v>30</v>
      </c>
      <c r="M1819" s="21" t="s">
        <v>30</v>
      </c>
      <c r="N1819" s="20"/>
      <c r="O1819" s="20"/>
    </row>
    <row r="1820" spans="1:15" ht="13.5" customHeight="1" x14ac:dyDescent="0.25">
      <c r="A1820" s="1"/>
      <c r="B1820" s="22">
        <v>1808</v>
      </c>
      <c r="C1820" s="22">
        <v>2023</v>
      </c>
      <c r="D1820" s="22">
        <v>12043</v>
      </c>
      <c r="E1820" s="22" t="s">
        <v>7051</v>
      </c>
      <c r="F1820" s="22" t="s">
        <v>7052</v>
      </c>
      <c r="G1820" s="22"/>
      <c r="H1820" s="22" t="s">
        <v>7053</v>
      </c>
      <c r="I1820" s="22" t="s">
        <v>23</v>
      </c>
      <c r="J1820" s="23">
        <v>2000</v>
      </c>
      <c r="K1820" s="22" t="s">
        <v>63</v>
      </c>
      <c r="L1820" s="23"/>
      <c r="M1820" s="23" t="s">
        <v>30</v>
      </c>
      <c r="N1820" s="22" t="s">
        <v>245</v>
      </c>
      <c r="O1820" s="22"/>
    </row>
    <row r="1821" spans="1:15" ht="13.5" customHeight="1" x14ac:dyDescent="0.25">
      <c r="A1821" s="1"/>
      <c r="B1821" s="20">
        <v>1809</v>
      </c>
      <c r="C1821" s="20">
        <v>2023</v>
      </c>
      <c r="D1821" s="20">
        <v>11553</v>
      </c>
      <c r="E1821" s="20" t="s">
        <v>7054</v>
      </c>
      <c r="F1821" s="20" t="s">
        <v>7055</v>
      </c>
      <c r="G1821" s="20" t="s">
        <v>7056</v>
      </c>
      <c r="H1821" s="20" t="s">
        <v>7057</v>
      </c>
      <c r="I1821" s="20" t="s">
        <v>23</v>
      </c>
      <c r="J1821" s="21">
        <v>2006</v>
      </c>
      <c r="K1821" s="20" t="s">
        <v>39</v>
      </c>
      <c r="L1821" s="21" t="s">
        <v>30</v>
      </c>
      <c r="M1821" s="21" t="s">
        <v>30</v>
      </c>
      <c r="N1821" s="20"/>
      <c r="O1821" s="20"/>
    </row>
    <row r="1822" spans="1:15" ht="13.5" customHeight="1" x14ac:dyDescent="0.25">
      <c r="A1822" s="1"/>
      <c r="B1822" s="22">
        <v>1810</v>
      </c>
      <c r="C1822" s="22">
        <v>2023</v>
      </c>
      <c r="D1822" s="22">
        <v>11119</v>
      </c>
      <c r="E1822" s="22" t="s">
        <v>7058</v>
      </c>
      <c r="F1822" s="22" t="s">
        <v>7059</v>
      </c>
      <c r="G1822" s="22" t="s">
        <v>7060</v>
      </c>
      <c r="H1822" s="22" t="s">
        <v>7061</v>
      </c>
      <c r="I1822" s="22" t="s">
        <v>23</v>
      </c>
      <c r="J1822" s="23">
        <v>2000</v>
      </c>
      <c r="K1822" s="22" t="s">
        <v>34</v>
      </c>
      <c r="L1822" s="23" t="s">
        <v>30</v>
      </c>
      <c r="M1822" s="23" t="s">
        <v>30</v>
      </c>
      <c r="N1822" s="22"/>
      <c r="O1822" s="22"/>
    </row>
    <row r="1823" spans="1:15" ht="13.5" customHeight="1" x14ac:dyDescent="0.25">
      <c r="A1823" s="1"/>
      <c r="B1823" s="20">
        <v>1811</v>
      </c>
      <c r="C1823" s="20">
        <v>2023</v>
      </c>
      <c r="D1823" s="20">
        <v>11121</v>
      </c>
      <c r="E1823" s="20" t="s">
        <v>7062</v>
      </c>
      <c r="F1823" s="20" t="s">
        <v>7063</v>
      </c>
      <c r="G1823" s="20" t="s">
        <v>7064</v>
      </c>
      <c r="H1823" s="20" t="s">
        <v>7065</v>
      </c>
      <c r="I1823" s="20" t="s">
        <v>23</v>
      </c>
      <c r="J1823" s="21">
        <v>2000</v>
      </c>
      <c r="K1823" s="20" t="s">
        <v>39</v>
      </c>
      <c r="L1823" s="21" t="s">
        <v>30</v>
      </c>
      <c r="M1823" s="21" t="s">
        <v>30</v>
      </c>
      <c r="N1823" s="20"/>
      <c r="O1823" s="20"/>
    </row>
    <row r="1824" spans="1:15" ht="13.5" customHeight="1" x14ac:dyDescent="0.25">
      <c r="A1824" s="1"/>
      <c r="B1824" s="22">
        <v>1812</v>
      </c>
      <c r="C1824" s="22">
        <v>2023</v>
      </c>
      <c r="D1824" s="22">
        <v>10329</v>
      </c>
      <c r="E1824" s="22" t="s">
        <v>7066</v>
      </c>
      <c r="F1824" s="22" t="s">
        <v>7067</v>
      </c>
      <c r="G1824" s="22" t="s">
        <v>7068</v>
      </c>
      <c r="H1824" s="22" t="s">
        <v>7069</v>
      </c>
      <c r="I1824" s="22" t="s">
        <v>23</v>
      </c>
      <c r="J1824" s="23">
        <v>2000</v>
      </c>
      <c r="K1824" s="22" t="s">
        <v>34</v>
      </c>
      <c r="L1824" s="23" t="s">
        <v>30</v>
      </c>
      <c r="M1824" s="23" t="s">
        <v>30</v>
      </c>
      <c r="N1824" s="22"/>
      <c r="O1824" s="22"/>
    </row>
    <row r="1825" spans="1:15" ht="13.5" customHeight="1" x14ac:dyDescent="0.25">
      <c r="A1825" s="1"/>
      <c r="B1825" s="20">
        <v>1813</v>
      </c>
      <c r="C1825" s="20">
        <v>2023</v>
      </c>
      <c r="D1825" s="20">
        <v>440</v>
      </c>
      <c r="E1825" s="20" t="s">
        <v>7070</v>
      </c>
      <c r="F1825" s="20" t="s">
        <v>7071</v>
      </c>
      <c r="G1825" s="20" t="s">
        <v>7072</v>
      </c>
      <c r="H1825" s="20" t="s">
        <v>7073</v>
      </c>
      <c r="I1825" s="20" t="s">
        <v>23</v>
      </c>
      <c r="J1825" s="21">
        <v>2000</v>
      </c>
      <c r="K1825" s="20" t="s">
        <v>44</v>
      </c>
      <c r="L1825" s="21" t="s">
        <v>30</v>
      </c>
      <c r="M1825" s="21" t="s">
        <v>30</v>
      </c>
      <c r="N1825" s="20"/>
      <c r="O1825" s="20"/>
    </row>
    <row r="1826" spans="1:15" ht="13.5" customHeight="1" x14ac:dyDescent="0.25">
      <c r="A1826" s="1"/>
      <c r="B1826" s="22">
        <v>1814</v>
      </c>
      <c r="C1826" s="22">
        <v>2023</v>
      </c>
      <c r="D1826" s="22">
        <v>12602</v>
      </c>
      <c r="E1826" s="22" t="s">
        <v>7074</v>
      </c>
      <c r="F1826" s="22" t="s">
        <v>7075</v>
      </c>
      <c r="G1826" s="22"/>
      <c r="H1826" s="22" t="s">
        <v>7076</v>
      </c>
      <c r="I1826" s="22" t="s">
        <v>23</v>
      </c>
      <c r="J1826" s="23">
        <v>2009</v>
      </c>
      <c r="K1826" s="22" t="s">
        <v>24</v>
      </c>
      <c r="L1826" s="23"/>
      <c r="M1826" s="23" t="s">
        <v>30</v>
      </c>
      <c r="N1826" s="22" t="s">
        <v>1103</v>
      </c>
      <c r="O1826" s="22"/>
    </row>
    <row r="1827" spans="1:15" ht="13.5" customHeight="1" x14ac:dyDescent="0.25">
      <c r="A1827" s="1"/>
      <c r="B1827" s="20">
        <v>1815</v>
      </c>
      <c r="C1827" s="20">
        <v>2023</v>
      </c>
      <c r="D1827" s="20">
        <v>11122</v>
      </c>
      <c r="E1827" s="20" t="s">
        <v>7077</v>
      </c>
      <c r="F1827" s="20" t="s">
        <v>7078</v>
      </c>
      <c r="G1827" s="20" t="s">
        <v>7079</v>
      </c>
      <c r="H1827" s="20" t="s">
        <v>7080</v>
      </c>
      <c r="I1827" s="20" t="s">
        <v>62</v>
      </c>
      <c r="J1827" s="21">
        <v>2001</v>
      </c>
      <c r="K1827" s="20" t="s">
        <v>67</v>
      </c>
      <c r="L1827" s="21" t="s">
        <v>30</v>
      </c>
      <c r="M1827" s="21" t="s">
        <v>30</v>
      </c>
      <c r="N1827" s="20"/>
      <c r="O1827" s="20"/>
    </row>
    <row r="1828" spans="1:15" ht="13.5" customHeight="1" x14ac:dyDescent="0.25">
      <c r="A1828" s="1"/>
      <c r="B1828" s="22">
        <v>1816</v>
      </c>
      <c r="C1828" s="22">
        <v>2023</v>
      </c>
      <c r="D1828" s="22">
        <v>735</v>
      </c>
      <c r="E1828" s="22" t="s">
        <v>7081</v>
      </c>
      <c r="F1828" s="22" t="s">
        <v>7082</v>
      </c>
      <c r="G1828" s="22" t="s">
        <v>7083</v>
      </c>
      <c r="H1828" s="22" t="s">
        <v>7084</v>
      </c>
      <c r="I1828" s="22" t="s">
        <v>357</v>
      </c>
      <c r="J1828" s="23">
        <v>2008</v>
      </c>
      <c r="K1828" s="22" t="s">
        <v>39</v>
      </c>
      <c r="L1828" s="23" t="s">
        <v>30</v>
      </c>
      <c r="M1828" s="23" t="s">
        <v>30</v>
      </c>
      <c r="N1828" s="22"/>
      <c r="O1828" s="22"/>
    </row>
    <row r="1829" spans="1:15" ht="13.5" customHeight="1" x14ac:dyDescent="0.25">
      <c r="A1829" s="1"/>
      <c r="B1829" s="20">
        <v>1817</v>
      </c>
      <c r="C1829" s="20">
        <v>2023</v>
      </c>
      <c r="D1829" s="20">
        <v>12044</v>
      </c>
      <c r="E1829" s="20" t="s">
        <v>7085</v>
      </c>
      <c r="F1829" s="20" t="s">
        <v>7086</v>
      </c>
      <c r="G1829" s="20"/>
      <c r="H1829" s="20" t="s">
        <v>7087</v>
      </c>
      <c r="I1829" s="20" t="s">
        <v>23</v>
      </c>
      <c r="J1829" s="21">
        <v>2000</v>
      </c>
      <c r="K1829" s="20" t="s">
        <v>44</v>
      </c>
      <c r="L1829" s="21"/>
      <c r="M1829" s="21" t="s">
        <v>30</v>
      </c>
      <c r="N1829" s="20" t="s">
        <v>245</v>
      </c>
      <c r="O1829" s="20"/>
    </row>
    <row r="1830" spans="1:15" ht="13.5" customHeight="1" x14ac:dyDescent="0.25">
      <c r="A1830" s="1"/>
      <c r="B1830" s="22">
        <v>1818</v>
      </c>
      <c r="C1830" s="22">
        <v>2023</v>
      </c>
      <c r="D1830" s="22">
        <v>40010</v>
      </c>
      <c r="E1830" s="22" t="s">
        <v>7088</v>
      </c>
      <c r="F1830" s="22" t="s">
        <v>7089</v>
      </c>
      <c r="G1830" s="22" t="s">
        <v>7090</v>
      </c>
      <c r="H1830" s="22" t="s">
        <v>7091</v>
      </c>
      <c r="I1830" s="22" t="s">
        <v>23</v>
      </c>
      <c r="J1830" s="23">
        <v>2012</v>
      </c>
      <c r="K1830" s="22" t="s">
        <v>63</v>
      </c>
      <c r="L1830" s="23" t="s">
        <v>30</v>
      </c>
      <c r="M1830" s="23"/>
      <c r="N1830" s="22" t="s">
        <v>163</v>
      </c>
      <c r="O1830" s="22"/>
    </row>
    <row r="1831" spans="1:15" ht="13.5" customHeight="1" x14ac:dyDescent="0.25">
      <c r="A1831" s="1"/>
      <c r="B1831" s="20">
        <v>1819</v>
      </c>
      <c r="C1831" s="20">
        <v>2023</v>
      </c>
      <c r="D1831" s="20">
        <v>40011</v>
      </c>
      <c r="E1831" s="20" t="s">
        <v>7092</v>
      </c>
      <c r="F1831" s="20" t="s">
        <v>7093</v>
      </c>
      <c r="G1831" s="20" t="s">
        <v>7094</v>
      </c>
      <c r="H1831" s="20" t="s">
        <v>7095</v>
      </c>
      <c r="I1831" s="20" t="s">
        <v>23</v>
      </c>
      <c r="J1831" s="21">
        <v>2012</v>
      </c>
      <c r="K1831" s="20" t="s">
        <v>34</v>
      </c>
      <c r="L1831" s="21" t="s">
        <v>30</v>
      </c>
      <c r="M1831" s="21"/>
      <c r="N1831" s="20" t="s">
        <v>163</v>
      </c>
      <c r="O1831" s="20"/>
    </row>
    <row r="1832" spans="1:15" ht="13.5" customHeight="1" x14ac:dyDescent="0.25">
      <c r="A1832" s="1"/>
      <c r="B1832" s="22">
        <v>1820</v>
      </c>
      <c r="C1832" s="22">
        <v>2023</v>
      </c>
      <c r="D1832" s="22">
        <v>11501</v>
      </c>
      <c r="E1832" s="22" t="s">
        <v>7096</v>
      </c>
      <c r="F1832" s="22" t="s">
        <v>7097</v>
      </c>
      <c r="G1832" s="22" t="s">
        <v>7098</v>
      </c>
      <c r="H1832" s="22" t="s">
        <v>7099</v>
      </c>
      <c r="I1832" s="22" t="s">
        <v>62</v>
      </c>
      <c r="J1832" s="23">
        <v>2006</v>
      </c>
      <c r="K1832" s="22" t="s">
        <v>44</v>
      </c>
      <c r="L1832" s="23" t="s">
        <v>30</v>
      </c>
      <c r="M1832" s="23" t="s">
        <v>30</v>
      </c>
      <c r="N1832" s="22"/>
      <c r="O1832" s="22"/>
    </row>
    <row r="1833" spans="1:15" ht="13.5" customHeight="1" x14ac:dyDescent="0.25">
      <c r="A1833" s="1"/>
      <c r="B1833" s="20">
        <v>1821</v>
      </c>
      <c r="C1833" s="20">
        <v>2023</v>
      </c>
      <c r="D1833" s="20">
        <v>12595</v>
      </c>
      <c r="E1833" s="20" t="s">
        <v>7100</v>
      </c>
      <c r="F1833" s="20" t="s">
        <v>7101</v>
      </c>
      <c r="G1833" s="20" t="s">
        <v>7102</v>
      </c>
      <c r="H1833" s="20" t="s">
        <v>7103</v>
      </c>
      <c r="I1833" s="20" t="s">
        <v>23</v>
      </c>
      <c r="J1833" s="21">
        <v>2009</v>
      </c>
      <c r="K1833" s="20" t="s">
        <v>34</v>
      </c>
      <c r="L1833" s="21" t="s">
        <v>30</v>
      </c>
      <c r="M1833" s="21"/>
      <c r="N1833" s="20" t="s">
        <v>431</v>
      </c>
      <c r="O1833" s="20"/>
    </row>
    <row r="1834" spans="1:15" ht="13.5" customHeight="1" x14ac:dyDescent="0.25">
      <c r="A1834" s="1"/>
      <c r="B1834" s="22">
        <v>1822</v>
      </c>
      <c r="C1834" s="22">
        <v>2023</v>
      </c>
      <c r="D1834" s="22">
        <v>41660</v>
      </c>
      <c r="E1834" s="22" t="s">
        <v>7104</v>
      </c>
      <c r="F1834" s="22" t="s">
        <v>7105</v>
      </c>
      <c r="G1834" s="22" t="s">
        <v>7106</v>
      </c>
      <c r="H1834" s="22" t="s">
        <v>7107</v>
      </c>
      <c r="I1834" s="22" t="s">
        <v>23</v>
      </c>
      <c r="J1834" s="23">
        <v>2017</v>
      </c>
      <c r="K1834" s="22" t="s">
        <v>67</v>
      </c>
      <c r="L1834" s="23" t="s">
        <v>30</v>
      </c>
      <c r="M1834" s="23"/>
      <c r="N1834" s="22" t="s">
        <v>265</v>
      </c>
      <c r="O1834" s="22"/>
    </row>
    <row r="1835" spans="1:15" ht="13.5" customHeight="1" x14ac:dyDescent="0.25">
      <c r="A1835" s="1"/>
      <c r="B1835" s="20">
        <v>1823</v>
      </c>
      <c r="C1835" s="20">
        <v>2023</v>
      </c>
      <c r="D1835" s="20">
        <v>11740</v>
      </c>
      <c r="E1835" s="20" t="s">
        <v>7108</v>
      </c>
      <c r="F1835" s="20" t="s">
        <v>7109</v>
      </c>
      <c r="G1835" s="20" t="s">
        <v>7110</v>
      </c>
      <c r="H1835" s="20" t="s">
        <v>7111</v>
      </c>
      <c r="I1835" s="20" t="s">
        <v>23</v>
      </c>
      <c r="J1835" s="21">
        <v>2007</v>
      </c>
      <c r="K1835" s="20" t="s">
        <v>67</v>
      </c>
      <c r="L1835" s="21" t="s">
        <v>30</v>
      </c>
      <c r="M1835" s="21" t="s">
        <v>30</v>
      </c>
      <c r="N1835" s="20" t="s">
        <v>245</v>
      </c>
      <c r="O1835" s="20"/>
    </row>
    <row r="1836" spans="1:15" ht="13.5" customHeight="1" x14ac:dyDescent="0.25">
      <c r="A1836" s="1"/>
      <c r="B1836" s="22">
        <v>1824</v>
      </c>
      <c r="C1836" s="22">
        <v>2023</v>
      </c>
      <c r="D1836" s="22">
        <v>11086</v>
      </c>
      <c r="E1836" s="22" t="s">
        <v>7112</v>
      </c>
      <c r="F1836" s="22" t="s">
        <v>7113</v>
      </c>
      <c r="G1836" s="22" t="s">
        <v>7114</v>
      </c>
      <c r="H1836" s="22" t="s">
        <v>7115</v>
      </c>
      <c r="I1836" s="22" t="s">
        <v>62</v>
      </c>
      <c r="J1836" s="23">
        <v>2000</v>
      </c>
      <c r="K1836" s="22" t="s">
        <v>114</v>
      </c>
      <c r="L1836" s="23" t="s">
        <v>30</v>
      </c>
      <c r="M1836" s="23" t="s">
        <v>30</v>
      </c>
      <c r="N1836" s="22"/>
      <c r="O1836" s="22"/>
    </row>
    <row r="1837" spans="1:15" ht="13.5" customHeight="1" x14ac:dyDescent="0.25">
      <c r="A1837" s="1"/>
      <c r="B1837" s="20">
        <v>1825</v>
      </c>
      <c r="C1837" s="20">
        <v>2023</v>
      </c>
      <c r="D1837" s="20">
        <v>40964</v>
      </c>
      <c r="E1837" s="20" t="s">
        <v>7116</v>
      </c>
      <c r="F1837" s="20" t="s">
        <v>7117</v>
      </c>
      <c r="G1837" s="20" t="s">
        <v>7118</v>
      </c>
      <c r="H1837" s="20" t="s">
        <v>7119</v>
      </c>
      <c r="I1837" s="20" t="s">
        <v>23</v>
      </c>
      <c r="J1837" s="21">
        <v>2016</v>
      </c>
      <c r="K1837" s="20" t="s">
        <v>67</v>
      </c>
      <c r="L1837" s="21" t="s">
        <v>30</v>
      </c>
      <c r="M1837" s="21"/>
      <c r="N1837" s="20" t="s">
        <v>204</v>
      </c>
      <c r="O1837" s="20"/>
    </row>
    <row r="1838" spans="1:15" ht="13.5" customHeight="1" x14ac:dyDescent="0.25">
      <c r="A1838" s="1"/>
      <c r="B1838" s="22">
        <v>1826</v>
      </c>
      <c r="C1838" s="22">
        <v>2023</v>
      </c>
      <c r="D1838" s="22">
        <v>13748</v>
      </c>
      <c r="E1838" s="22" t="s">
        <v>7120</v>
      </c>
      <c r="F1838" s="22" t="s">
        <v>7121</v>
      </c>
      <c r="G1838" s="22" t="s">
        <v>7122</v>
      </c>
      <c r="H1838" s="22" t="s">
        <v>7123</v>
      </c>
      <c r="I1838" s="22" t="s">
        <v>23</v>
      </c>
      <c r="J1838" s="23">
        <v>2012</v>
      </c>
      <c r="K1838" s="22" t="s">
        <v>114</v>
      </c>
      <c r="L1838" s="23" t="s">
        <v>30</v>
      </c>
      <c r="M1838" s="23"/>
      <c r="N1838" s="22" t="s">
        <v>324</v>
      </c>
      <c r="O1838" s="22"/>
    </row>
    <row r="1839" spans="1:15" ht="13.5" customHeight="1" x14ac:dyDescent="0.25">
      <c r="A1839" s="1"/>
      <c r="B1839" s="20">
        <v>1827</v>
      </c>
      <c r="C1839" s="20">
        <v>2023</v>
      </c>
      <c r="D1839" s="20">
        <v>40204</v>
      </c>
      <c r="E1839" s="20" t="s">
        <v>7124</v>
      </c>
      <c r="F1839" s="20" t="s">
        <v>7125</v>
      </c>
      <c r="G1839" s="20"/>
      <c r="H1839" s="20" t="s">
        <v>7126</v>
      </c>
      <c r="I1839" s="20" t="s">
        <v>23</v>
      </c>
      <c r="J1839" s="21">
        <v>2012</v>
      </c>
      <c r="K1839" s="20" t="s">
        <v>24</v>
      </c>
      <c r="L1839" s="21"/>
      <c r="M1839" s="21"/>
      <c r="N1839" s="20"/>
      <c r="O1839" s="20"/>
    </row>
    <row r="1840" spans="1:15" ht="13.5" customHeight="1" x14ac:dyDescent="0.25">
      <c r="A1840" s="1"/>
      <c r="B1840" s="22">
        <v>1828</v>
      </c>
      <c r="C1840" s="22">
        <v>2023</v>
      </c>
      <c r="D1840" s="22">
        <v>11125</v>
      </c>
      <c r="E1840" s="22" t="s">
        <v>7127</v>
      </c>
      <c r="F1840" s="22" t="s">
        <v>7128</v>
      </c>
      <c r="G1840" s="22" t="s">
        <v>7129</v>
      </c>
      <c r="H1840" s="22" t="s">
        <v>7130</v>
      </c>
      <c r="I1840" s="22" t="s">
        <v>23</v>
      </c>
      <c r="J1840" s="23">
        <v>2000</v>
      </c>
      <c r="K1840" s="22" t="s">
        <v>73</v>
      </c>
      <c r="L1840" s="23" t="s">
        <v>30</v>
      </c>
      <c r="M1840" s="23" t="s">
        <v>30</v>
      </c>
      <c r="N1840" s="22"/>
      <c r="O1840" s="22"/>
    </row>
    <row r="1841" spans="1:15" ht="13.5" customHeight="1" x14ac:dyDescent="0.25">
      <c r="A1841" s="1"/>
      <c r="B1841" s="20">
        <v>1829</v>
      </c>
      <c r="C1841" s="20">
        <v>2023</v>
      </c>
      <c r="D1841" s="20">
        <v>11124</v>
      </c>
      <c r="E1841" s="20" t="s">
        <v>7131</v>
      </c>
      <c r="F1841" s="20" t="s">
        <v>7132</v>
      </c>
      <c r="G1841" s="20" t="s">
        <v>7133</v>
      </c>
      <c r="H1841" s="20" t="s">
        <v>7134</v>
      </c>
      <c r="I1841" s="20" t="s">
        <v>62</v>
      </c>
      <c r="J1841" s="21">
        <v>2000</v>
      </c>
      <c r="K1841" s="20" t="s">
        <v>24</v>
      </c>
      <c r="L1841" s="21" t="s">
        <v>30</v>
      </c>
      <c r="M1841" s="21" t="s">
        <v>30</v>
      </c>
      <c r="N1841" s="20"/>
      <c r="O1841" s="20"/>
    </row>
    <row r="1842" spans="1:15" ht="13.5" customHeight="1" x14ac:dyDescent="0.25">
      <c r="A1842" s="1"/>
      <c r="B1842" s="22">
        <v>1830</v>
      </c>
      <c r="C1842" s="22">
        <v>2023</v>
      </c>
      <c r="D1842" s="22">
        <v>709</v>
      </c>
      <c r="E1842" s="22" t="s">
        <v>7135</v>
      </c>
      <c r="F1842" s="22" t="s">
        <v>7136</v>
      </c>
      <c r="G1842" s="22" t="s">
        <v>7137</v>
      </c>
      <c r="H1842" s="22" t="s">
        <v>7138</v>
      </c>
      <c r="I1842" s="22" t="s">
        <v>23</v>
      </c>
      <c r="J1842" s="23">
        <v>2000</v>
      </c>
      <c r="K1842" s="22" t="s">
        <v>34</v>
      </c>
      <c r="L1842" s="23" t="s">
        <v>30</v>
      </c>
      <c r="M1842" s="23" t="s">
        <v>30</v>
      </c>
      <c r="N1842" s="22"/>
      <c r="O1842" s="22"/>
    </row>
    <row r="1843" spans="1:15" ht="13.5" customHeight="1" x14ac:dyDescent="0.25">
      <c r="A1843" s="1"/>
      <c r="B1843" s="20">
        <v>1831</v>
      </c>
      <c r="C1843" s="20">
        <v>2023</v>
      </c>
      <c r="D1843" s="20">
        <v>11126</v>
      </c>
      <c r="E1843" s="20" t="s">
        <v>7139</v>
      </c>
      <c r="F1843" s="20" t="s">
        <v>7140</v>
      </c>
      <c r="G1843" s="20" t="s">
        <v>7141</v>
      </c>
      <c r="H1843" s="20" t="s">
        <v>7142</v>
      </c>
      <c r="I1843" s="20" t="s">
        <v>23</v>
      </c>
      <c r="J1843" s="21">
        <v>2000</v>
      </c>
      <c r="K1843" s="20" t="s">
        <v>39</v>
      </c>
      <c r="L1843" s="21" t="s">
        <v>30</v>
      </c>
      <c r="M1843" s="21" t="s">
        <v>30</v>
      </c>
      <c r="N1843" s="20"/>
      <c r="O1843" s="20"/>
    </row>
    <row r="1844" spans="1:15" ht="13.5" customHeight="1" x14ac:dyDescent="0.25">
      <c r="A1844" s="1"/>
      <c r="B1844" s="22">
        <v>1832</v>
      </c>
      <c r="C1844" s="22">
        <v>2023</v>
      </c>
      <c r="D1844" s="22">
        <v>12207</v>
      </c>
      <c r="E1844" s="22" t="s">
        <v>7143</v>
      </c>
      <c r="F1844" s="22" t="s">
        <v>7144</v>
      </c>
      <c r="G1844" s="22"/>
      <c r="H1844" s="22" t="s">
        <v>7145</v>
      </c>
      <c r="I1844" s="22" t="s">
        <v>23</v>
      </c>
      <c r="J1844" s="23">
        <v>2008</v>
      </c>
      <c r="K1844" s="22" t="s">
        <v>203</v>
      </c>
      <c r="L1844" s="23"/>
      <c r="M1844" s="23" t="s">
        <v>30</v>
      </c>
      <c r="N1844" s="22" t="s">
        <v>352</v>
      </c>
      <c r="O1844" s="22"/>
    </row>
    <row r="1845" spans="1:15" ht="13.5" customHeight="1" x14ac:dyDescent="0.25">
      <c r="A1845" s="1"/>
      <c r="B1845" s="20">
        <v>1833</v>
      </c>
      <c r="C1845" s="20">
        <v>2023</v>
      </c>
      <c r="D1845" s="20">
        <v>426</v>
      </c>
      <c r="E1845" s="20" t="s">
        <v>7146</v>
      </c>
      <c r="F1845" s="20" t="s">
        <v>7147</v>
      </c>
      <c r="G1845" s="20" t="s">
        <v>7148</v>
      </c>
      <c r="H1845" s="20" t="s">
        <v>7149</v>
      </c>
      <c r="I1845" s="20" t="s">
        <v>23</v>
      </c>
      <c r="J1845" s="21">
        <v>2000</v>
      </c>
      <c r="K1845" s="20" t="s">
        <v>203</v>
      </c>
      <c r="L1845" s="21" t="s">
        <v>30</v>
      </c>
      <c r="M1845" s="21" t="s">
        <v>30</v>
      </c>
      <c r="N1845" s="20"/>
      <c r="O1845" s="20"/>
    </row>
    <row r="1846" spans="1:15" ht="13.5" customHeight="1" x14ac:dyDescent="0.25">
      <c r="A1846" s="1"/>
      <c r="B1846" s="22">
        <v>1834</v>
      </c>
      <c r="C1846" s="22">
        <v>2023</v>
      </c>
      <c r="D1846" s="22">
        <v>12646</v>
      </c>
      <c r="E1846" s="22" t="s">
        <v>7150</v>
      </c>
      <c r="F1846" s="22" t="s">
        <v>7151</v>
      </c>
      <c r="G1846" s="22" t="s">
        <v>7152</v>
      </c>
      <c r="H1846" s="22" t="s">
        <v>7153</v>
      </c>
      <c r="I1846" s="22" t="s">
        <v>23</v>
      </c>
      <c r="J1846" s="23">
        <v>2009</v>
      </c>
      <c r="K1846" s="22" t="s">
        <v>203</v>
      </c>
      <c r="L1846" s="23" t="s">
        <v>30</v>
      </c>
      <c r="M1846" s="23"/>
      <c r="N1846" s="22" t="s">
        <v>431</v>
      </c>
      <c r="O1846" s="22"/>
    </row>
    <row r="1847" spans="1:15" ht="13.5" customHeight="1" x14ac:dyDescent="0.25">
      <c r="A1847" s="1"/>
      <c r="B1847" s="20">
        <v>1835</v>
      </c>
      <c r="C1847" s="20">
        <v>2023</v>
      </c>
      <c r="D1847" s="20">
        <v>11336</v>
      </c>
      <c r="E1847" s="20" t="s">
        <v>7154</v>
      </c>
      <c r="F1847" s="20" t="s">
        <v>7155</v>
      </c>
      <c r="G1847" s="20" t="s">
        <v>7156</v>
      </c>
      <c r="H1847" s="20" t="s">
        <v>7157</v>
      </c>
      <c r="I1847" s="20" t="s">
        <v>23</v>
      </c>
      <c r="J1847" s="21">
        <v>2000</v>
      </c>
      <c r="K1847" s="20" t="s">
        <v>203</v>
      </c>
      <c r="L1847" s="21" t="s">
        <v>30</v>
      </c>
      <c r="M1847" s="21" t="s">
        <v>30</v>
      </c>
      <c r="N1847" s="20"/>
      <c r="O1847" s="20"/>
    </row>
    <row r="1848" spans="1:15" ht="13.5" customHeight="1" x14ac:dyDescent="0.25">
      <c r="A1848" s="1"/>
      <c r="B1848" s="22">
        <v>1836</v>
      </c>
      <c r="C1848" s="22">
        <v>2023</v>
      </c>
      <c r="D1848" s="22">
        <v>13423</v>
      </c>
      <c r="E1848" s="22" t="s">
        <v>7158</v>
      </c>
      <c r="F1848" s="22" t="s">
        <v>7159</v>
      </c>
      <c r="G1848" s="22" t="s">
        <v>7160</v>
      </c>
      <c r="H1848" s="22" t="s">
        <v>7161</v>
      </c>
      <c r="I1848" s="22" t="s">
        <v>23</v>
      </c>
      <c r="J1848" s="23">
        <v>2000</v>
      </c>
      <c r="K1848" s="22" t="s">
        <v>203</v>
      </c>
      <c r="L1848" s="23" t="s">
        <v>30</v>
      </c>
      <c r="M1848" s="23"/>
      <c r="N1848" s="22" t="s">
        <v>275</v>
      </c>
      <c r="O1848" s="22"/>
    </row>
    <row r="1849" spans="1:15" ht="13.5" customHeight="1" x14ac:dyDescent="0.25">
      <c r="A1849" s="1"/>
      <c r="B1849" s="20">
        <v>1837</v>
      </c>
      <c r="C1849" s="20">
        <v>2023</v>
      </c>
      <c r="D1849" s="20">
        <v>213</v>
      </c>
      <c r="E1849" s="20" t="s">
        <v>7162</v>
      </c>
      <c r="F1849" s="20" t="s">
        <v>7163</v>
      </c>
      <c r="G1849" s="20" t="s">
        <v>7164</v>
      </c>
      <c r="H1849" s="20" t="s">
        <v>7165</v>
      </c>
      <c r="I1849" s="20" t="s">
        <v>23</v>
      </c>
      <c r="J1849" s="21">
        <v>2000</v>
      </c>
      <c r="K1849" s="20" t="s">
        <v>34</v>
      </c>
      <c r="L1849" s="21" t="s">
        <v>30</v>
      </c>
      <c r="M1849" s="21" t="s">
        <v>30</v>
      </c>
      <c r="N1849" s="20"/>
      <c r="O1849" s="20"/>
    </row>
    <row r="1850" spans="1:15" ht="13.5" customHeight="1" x14ac:dyDescent="0.25">
      <c r="A1850" s="1"/>
      <c r="B1850" s="22">
        <v>1838</v>
      </c>
      <c r="C1850" s="22">
        <v>2023</v>
      </c>
      <c r="D1850" s="22">
        <v>739</v>
      </c>
      <c r="E1850" s="22" t="s">
        <v>7166</v>
      </c>
      <c r="F1850" s="22" t="s">
        <v>7167</v>
      </c>
      <c r="G1850" s="22" t="s">
        <v>7168</v>
      </c>
      <c r="H1850" s="22" t="s">
        <v>7169</v>
      </c>
      <c r="I1850" s="22" t="s">
        <v>357</v>
      </c>
      <c r="J1850" s="23">
        <v>2008</v>
      </c>
      <c r="K1850" s="22" t="s">
        <v>39</v>
      </c>
      <c r="L1850" s="23" t="s">
        <v>30</v>
      </c>
      <c r="M1850" s="23" t="s">
        <v>30</v>
      </c>
      <c r="N1850" s="22"/>
      <c r="O1850" s="22"/>
    </row>
    <row r="1851" spans="1:15" ht="13.5" customHeight="1" x14ac:dyDescent="0.25">
      <c r="A1851" s="1"/>
      <c r="B1851" s="20">
        <v>1839</v>
      </c>
      <c r="C1851" s="20">
        <v>2023</v>
      </c>
      <c r="D1851" s="20">
        <v>278</v>
      </c>
      <c r="E1851" s="20" t="s">
        <v>7170</v>
      </c>
      <c r="F1851" s="20" t="s">
        <v>7171</v>
      </c>
      <c r="G1851" s="20" t="s">
        <v>7172</v>
      </c>
      <c r="H1851" s="20" t="s">
        <v>7173</v>
      </c>
      <c r="I1851" s="20" t="s">
        <v>357</v>
      </c>
      <c r="J1851" s="21">
        <v>2000</v>
      </c>
      <c r="K1851" s="20" t="s">
        <v>39</v>
      </c>
      <c r="L1851" s="21" t="s">
        <v>30</v>
      </c>
      <c r="M1851" s="21" t="s">
        <v>30</v>
      </c>
      <c r="N1851" s="20"/>
      <c r="O1851" s="20"/>
    </row>
    <row r="1852" spans="1:15" ht="13.5" customHeight="1" x14ac:dyDescent="0.25">
      <c r="A1852" s="1"/>
      <c r="B1852" s="22">
        <v>1840</v>
      </c>
      <c r="C1852" s="22">
        <v>2023</v>
      </c>
      <c r="D1852" s="22">
        <v>729</v>
      </c>
      <c r="E1852" s="22" t="s">
        <v>7174</v>
      </c>
      <c r="F1852" s="22" t="s">
        <v>7175</v>
      </c>
      <c r="G1852" s="22"/>
      <c r="H1852" s="22" t="s">
        <v>7176</v>
      </c>
      <c r="I1852" s="22" t="s">
        <v>357</v>
      </c>
      <c r="J1852" s="23">
        <v>2004</v>
      </c>
      <c r="K1852" s="22" t="s">
        <v>39</v>
      </c>
      <c r="L1852" s="23"/>
      <c r="M1852" s="23"/>
      <c r="N1852" s="22"/>
      <c r="O1852" s="22"/>
    </row>
    <row r="1853" spans="1:15" ht="13.5" customHeight="1" x14ac:dyDescent="0.25">
      <c r="A1853" s="1"/>
      <c r="B1853" s="20">
        <v>1841</v>
      </c>
      <c r="C1853" s="20">
        <v>2023</v>
      </c>
      <c r="D1853" s="20">
        <v>11127</v>
      </c>
      <c r="E1853" s="20" t="s">
        <v>7177</v>
      </c>
      <c r="F1853" s="20" t="s">
        <v>7178</v>
      </c>
      <c r="G1853" s="20" t="s">
        <v>7179</v>
      </c>
      <c r="H1853" s="20" t="s">
        <v>7180</v>
      </c>
      <c r="I1853" s="20" t="s">
        <v>23</v>
      </c>
      <c r="J1853" s="21">
        <v>2000</v>
      </c>
      <c r="K1853" s="20" t="s">
        <v>475</v>
      </c>
      <c r="L1853" s="21" t="s">
        <v>30</v>
      </c>
      <c r="M1853" s="21" t="s">
        <v>30</v>
      </c>
      <c r="N1853" s="20"/>
      <c r="O1853" s="20"/>
    </row>
    <row r="1854" spans="1:15" ht="13.5" customHeight="1" x14ac:dyDescent="0.25">
      <c r="A1854" s="1"/>
      <c r="B1854" s="22">
        <v>1842</v>
      </c>
      <c r="C1854" s="22">
        <v>2023</v>
      </c>
      <c r="D1854" s="22">
        <v>11115</v>
      </c>
      <c r="E1854" s="22" t="s">
        <v>7181</v>
      </c>
      <c r="F1854" s="22" t="s">
        <v>7182</v>
      </c>
      <c r="G1854" s="22" t="s">
        <v>7183</v>
      </c>
      <c r="H1854" s="22" t="s">
        <v>7184</v>
      </c>
      <c r="I1854" s="22" t="s">
        <v>23</v>
      </c>
      <c r="J1854" s="23">
        <v>2001</v>
      </c>
      <c r="K1854" s="22" t="s">
        <v>1475</v>
      </c>
      <c r="L1854" s="23" t="s">
        <v>30</v>
      </c>
      <c r="M1854" s="23" t="s">
        <v>30</v>
      </c>
      <c r="N1854" s="22"/>
      <c r="O1854" s="22"/>
    </row>
    <row r="1855" spans="1:15" ht="13.5" customHeight="1" x14ac:dyDescent="0.25">
      <c r="A1855" s="1"/>
      <c r="B1855" s="20">
        <v>1843</v>
      </c>
      <c r="C1855" s="20">
        <v>2023</v>
      </c>
      <c r="D1855" s="20">
        <v>12469</v>
      </c>
      <c r="E1855" s="20" t="s">
        <v>7185</v>
      </c>
      <c r="F1855" s="20" t="s">
        <v>7186</v>
      </c>
      <c r="G1855" s="20"/>
      <c r="H1855" s="20" t="s">
        <v>7187</v>
      </c>
      <c r="I1855" s="20" t="s">
        <v>23</v>
      </c>
      <c r="J1855" s="21">
        <v>2009</v>
      </c>
      <c r="K1855" s="20" t="s">
        <v>29</v>
      </c>
      <c r="L1855" s="21"/>
      <c r="M1855" s="21" t="s">
        <v>30</v>
      </c>
      <c r="N1855" s="20" t="s">
        <v>1103</v>
      </c>
      <c r="O1855" s="20"/>
    </row>
    <row r="1856" spans="1:15" ht="13.5" customHeight="1" x14ac:dyDescent="0.25">
      <c r="A1856" s="1"/>
      <c r="B1856" s="22">
        <v>1844</v>
      </c>
      <c r="C1856" s="22">
        <v>2023</v>
      </c>
      <c r="D1856" s="22">
        <v>12109</v>
      </c>
      <c r="E1856" s="22" t="s">
        <v>7188</v>
      </c>
      <c r="F1856" s="22" t="s">
        <v>7189</v>
      </c>
      <c r="G1856" s="22" t="s">
        <v>7190</v>
      </c>
      <c r="H1856" s="22" t="s">
        <v>7191</v>
      </c>
      <c r="I1856" s="22" t="s">
        <v>23</v>
      </c>
      <c r="J1856" s="23">
        <v>2000</v>
      </c>
      <c r="K1856" s="22" t="s">
        <v>184</v>
      </c>
      <c r="L1856" s="23" t="s">
        <v>30</v>
      </c>
      <c r="M1856" s="23" t="s">
        <v>30</v>
      </c>
      <c r="N1856" s="22" t="s">
        <v>74</v>
      </c>
      <c r="O1856" s="22"/>
    </row>
    <row r="1857" spans="1:15" ht="13.5" customHeight="1" x14ac:dyDescent="0.25">
      <c r="A1857" s="1"/>
      <c r="B1857" s="20">
        <v>1845</v>
      </c>
      <c r="C1857" s="20">
        <v>2023</v>
      </c>
      <c r="D1857" s="20">
        <v>11616</v>
      </c>
      <c r="E1857" s="20" t="s">
        <v>7192</v>
      </c>
      <c r="F1857" s="20" t="s">
        <v>7193</v>
      </c>
      <c r="G1857" s="20" t="s">
        <v>7194</v>
      </c>
      <c r="H1857" s="20" t="s">
        <v>7195</v>
      </c>
      <c r="I1857" s="20" t="s">
        <v>960</v>
      </c>
      <c r="J1857" s="21">
        <v>2000</v>
      </c>
      <c r="K1857" s="20" t="s">
        <v>184</v>
      </c>
      <c r="L1857" s="21" t="s">
        <v>30</v>
      </c>
      <c r="M1857" s="21" t="s">
        <v>30</v>
      </c>
      <c r="N1857" s="20" t="s">
        <v>245</v>
      </c>
      <c r="O1857" s="20"/>
    </row>
    <row r="1858" spans="1:15" ht="13.5" customHeight="1" x14ac:dyDescent="0.25">
      <c r="A1858" s="1"/>
      <c r="B1858" s="22">
        <v>1846</v>
      </c>
      <c r="C1858" s="22">
        <v>2023</v>
      </c>
      <c r="D1858" s="22">
        <v>24</v>
      </c>
      <c r="E1858" s="22" t="s">
        <v>7196</v>
      </c>
      <c r="F1858" s="22" t="s">
        <v>7197</v>
      </c>
      <c r="G1858" s="22" t="s">
        <v>7198</v>
      </c>
      <c r="H1858" s="22" t="s">
        <v>7199</v>
      </c>
      <c r="I1858" s="22" t="s">
        <v>223</v>
      </c>
      <c r="J1858" s="23">
        <v>2000</v>
      </c>
      <c r="K1858" s="22" t="s">
        <v>95</v>
      </c>
      <c r="L1858" s="23" t="s">
        <v>30</v>
      </c>
      <c r="M1858" s="23" t="s">
        <v>30</v>
      </c>
      <c r="N1858" s="22"/>
      <c r="O1858" s="22"/>
    </row>
    <row r="1859" spans="1:15" ht="13.5" customHeight="1" x14ac:dyDescent="0.25">
      <c r="A1859" s="1"/>
      <c r="B1859" s="20">
        <v>1847</v>
      </c>
      <c r="C1859" s="20">
        <v>2023</v>
      </c>
      <c r="D1859" s="20">
        <v>11302</v>
      </c>
      <c r="E1859" s="20" t="s">
        <v>7200</v>
      </c>
      <c r="F1859" s="20" t="s">
        <v>7201</v>
      </c>
      <c r="G1859" s="20"/>
      <c r="H1859" s="20" t="s">
        <v>7202</v>
      </c>
      <c r="I1859" s="20" t="s">
        <v>23</v>
      </c>
      <c r="J1859" s="21">
        <v>2004</v>
      </c>
      <c r="K1859" s="20" t="s">
        <v>34</v>
      </c>
      <c r="L1859" s="21"/>
      <c r="M1859" s="21" t="s">
        <v>30</v>
      </c>
      <c r="N1859" s="20"/>
      <c r="O1859" s="20"/>
    </row>
    <row r="1860" spans="1:15" ht="13.5" customHeight="1" x14ac:dyDescent="0.25">
      <c r="A1860" s="1"/>
      <c r="B1860" s="22">
        <v>1848</v>
      </c>
      <c r="C1860" s="22">
        <v>2023</v>
      </c>
      <c r="D1860" s="22">
        <v>11133</v>
      </c>
      <c r="E1860" s="22" t="s">
        <v>7203</v>
      </c>
      <c r="F1860" s="22" t="s">
        <v>7204</v>
      </c>
      <c r="G1860" s="22" t="s">
        <v>7205</v>
      </c>
      <c r="H1860" s="22" t="s">
        <v>7206</v>
      </c>
      <c r="I1860" s="22" t="s">
        <v>23</v>
      </c>
      <c r="J1860" s="23">
        <v>2000</v>
      </c>
      <c r="K1860" s="22" t="s">
        <v>184</v>
      </c>
      <c r="L1860" s="23" t="s">
        <v>30</v>
      </c>
      <c r="M1860" s="23" t="s">
        <v>30</v>
      </c>
      <c r="N1860" s="22"/>
      <c r="O1860" s="22"/>
    </row>
    <row r="1861" spans="1:15" ht="13.5" customHeight="1" x14ac:dyDescent="0.25">
      <c r="A1861" s="1"/>
      <c r="B1861" s="20">
        <v>1849</v>
      </c>
      <c r="C1861" s="20">
        <v>2023</v>
      </c>
      <c r="D1861" s="20">
        <v>12346</v>
      </c>
      <c r="E1861" s="20" t="s">
        <v>7207</v>
      </c>
      <c r="F1861" s="20" t="s">
        <v>7208</v>
      </c>
      <c r="G1861" s="20" t="s">
        <v>7209</v>
      </c>
      <c r="H1861" s="20" t="s">
        <v>7210</v>
      </c>
      <c r="I1861" s="20" t="s">
        <v>223</v>
      </c>
      <c r="J1861" s="21">
        <v>2000</v>
      </c>
      <c r="K1861" s="20" t="s">
        <v>44</v>
      </c>
      <c r="L1861" s="21" t="s">
        <v>30</v>
      </c>
      <c r="M1861" s="21" t="s">
        <v>30</v>
      </c>
      <c r="N1861" s="20" t="s">
        <v>35</v>
      </c>
      <c r="O1861" s="20"/>
    </row>
    <row r="1862" spans="1:15" ht="13.5" customHeight="1" x14ac:dyDescent="0.25">
      <c r="A1862" s="1"/>
      <c r="B1862" s="22">
        <v>1850</v>
      </c>
      <c r="C1862" s="22">
        <v>2023</v>
      </c>
      <c r="D1862" s="22">
        <v>11135</v>
      </c>
      <c r="E1862" s="22" t="s">
        <v>7211</v>
      </c>
      <c r="F1862" s="22" t="s">
        <v>7212</v>
      </c>
      <c r="G1862" s="22" t="s">
        <v>7213</v>
      </c>
      <c r="H1862" s="22" t="s">
        <v>7214</v>
      </c>
      <c r="I1862" s="22" t="s">
        <v>23</v>
      </c>
      <c r="J1862" s="23">
        <v>2000</v>
      </c>
      <c r="K1862" s="22" t="s">
        <v>184</v>
      </c>
      <c r="L1862" s="23" t="s">
        <v>30</v>
      </c>
      <c r="M1862" s="23" t="s">
        <v>30</v>
      </c>
      <c r="N1862" s="22"/>
      <c r="O1862" s="22"/>
    </row>
    <row r="1863" spans="1:15" ht="13.5" customHeight="1" x14ac:dyDescent="0.25">
      <c r="A1863" s="1"/>
      <c r="B1863" s="20">
        <v>1851</v>
      </c>
      <c r="C1863" s="20">
        <v>2023</v>
      </c>
      <c r="D1863" s="20">
        <v>41233</v>
      </c>
      <c r="E1863" s="20" t="s">
        <v>7215</v>
      </c>
      <c r="F1863" s="20" t="s">
        <v>7216</v>
      </c>
      <c r="G1863" s="20" t="s">
        <v>7217</v>
      </c>
      <c r="H1863" s="20" t="s">
        <v>7218</v>
      </c>
      <c r="I1863" s="20" t="s">
        <v>23</v>
      </c>
      <c r="J1863" s="21">
        <v>2016</v>
      </c>
      <c r="K1863" s="20" t="s">
        <v>67</v>
      </c>
      <c r="L1863" s="21" t="s">
        <v>30</v>
      </c>
      <c r="M1863" s="21"/>
      <c r="N1863" s="20" t="s">
        <v>204</v>
      </c>
      <c r="O1863" s="20"/>
    </row>
    <row r="1864" spans="1:15" ht="13.5" customHeight="1" x14ac:dyDescent="0.25">
      <c r="A1864" s="1"/>
      <c r="B1864" s="22">
        <v>1852</v>
      </c>
      <c r="C1864" s="22">
        <v>2023</v>
      </c>
      <c r="D1864" s="22">
        <v>11136</v>
      </c>
      <c r="E1864" s="22" t="s">
        <v>7219</v>
      </c>
      <c r="F1864" s="22" t="s">
        <v>7220</v>
      </c>
      <c r="G1864" s="22" t="s">
        <v>7221</v>
      </c>
      <c r="H1864" s="22" t="s">
        <v>7222</v>
      </c>
      <c r="I1864" s="22" t="s">
        <v>23</v>
      </c>
      <c r="J1864" s="23">
        <v>2000</v>
      </c>
      <c r="K1864" s="22" t="s">
        <v>39</v>
      </c>
      <c r="L1864" s="23" t="s">
        <v>30</v>
      </c>
      <c r="M1864" s="23" t="s">
        <v>30</v>
      </c>
      <c r="N1864" s="22"/>
      <c r="O1864" s="22"/>
    </row>
    <row r="1865" spans="1:15" ht="13.5" customHeight="1" x14ac:dyDescent="0.25">
      <c r="A1865" s="1"/>
      <c r="B1865" s="20">
        <v>1853</v>
      </c>
      <c r="C1865" s="20">
        <v>2023</v>
      </c>
      <c r="D1865" s="20">
        <v>11129</v>
      </c>
      <c r="E1865" s="20" t="s">
        <v>7223</v>
      </c>
      <c r="F1865" s="20" t="s">
        <v>7224</v>
      </c>
      <c r="G1865" s="20" t="s">
        <v>7225</v>
      </c>
      <c r="H1865" s="20" t="s">
        <v>7226</v>
      </c>
      <c r="I1865" s="20" t="s">
        <v>23</v>
      </c>
      <c r="J1865" s="21">
        <v>2003</v>
      </c>
      <c r="K1865" s="20" t="s">
        <v>29</v>
      </c>
      <c r="L1865" s="21" t="s">
        <v>30</v>
      </c>
      <c r="M1865" s="21" t="s">
        <v>30</v>
      </c>
      <c r="N1865" s="20"/>
      <c r="O1865" s="20"/>
    </row>
    <row r="1866" spans="1:15" ht="13.5" customHeight="1" x14ac:dyDescent="0.25">
      <c r="A1866" s="1"/>
      <c r="B1866" s="22">
        <v>1854</v>
      </c>
      <c r="C1866" s="22">
        <v>2023</v>
      </c>
      <c r="D1866" s="22">
        <v>11128</v>
      </c>
      <c r="E1866" s="22" t="s">
        <v>7227</v>
      </c>
      <c r="F1866" s="22" t="s">
        <v>7228</v>
      </c>
      <c r="G1866" s="22"/>
      <c r="H1866" s="22" t="s">
        <v>7229</v>
      </c>
      <c r="I1866" s="22" t="s">
        <v>23</v>
      </c>
      <c r="J1866" s="23">
        <v>2002</v>
      </c>
      <c r="K1866" s="22" t="s">
        <v>63</v>
      </c>
      <c r="L1866" s="23"/>
      <c r="M1866" s="23" t="s">
        <v>30</v>
      </c>
      <c r="N1866" s="22"/>
      <c r="O1866" s="22"/>
    </row>
    <row r="1867" spans="1:15" ht="13.5" customHeight="1" x14ac:dyDescent="0.25">
      <c r="A1867" s="1"/>
      <c r="B1867" s="20">
        <v>1855</v>
      </c>
      <c r="C1867" s="20">
        <v>2023</v>
      </c>
      <c r="D1867" s="20">
        <v>42484</v>
      </c>
      <c r="E1867" s="20" t="s">
        <v>7230</v>
      </c>
      <c r="F1867" s="20" t="s">
        <v>7231</v>
      </c>
      <c r="G1867" s="20" t="s">
        <v>7232</v>
      </c>
      <c r="H1867" s="20" t="s">
        <v>7233</v>
      </c>
      <c r="I1867" s="20" t="s">
        <v>23</v>
      </c>
      <c r="J1867" s="21">
        <v>2019</v>
      </c>
      <c r="K1867" s="20" t="s">
        <v>67</v>
      </c>
      <c r="L1867" s="21" t="s">
        <v>30</v>
      </c>
      <c r="M1867" s="21"/>
      <c r="N1867" s="20" t="s">
        <v>218</v>
      </c>
      <c r="O1867" s="20"/>
    </row>
    <row r="1868" spans="1:15" ht="13.5" customHeight="1" x14ac:dyDescent="0.25">
      <c r="A1868" s="1"/>
      <c r="B1868" s="22">
        <v>1856</v>
      </c>
      <c r="C1868" s="22">
        <v>2023</v>
      </c>
      <c r="D1868" s="22">
        <v>40509</v>
      </c>
      <c r="E1868" s="22" t="s">
        <v>7234</v>
      </c>
      <c r="F1868" s="22" t="s">
        <v>7235</v>
      </c>
      <c r="G1868" s="22" t="s">
        <v>7236</v>
      </c>
      <c r="H1868" s="22" t="s">
        <v>7237</v>
      </c>
      <c r="I1868" s="22" t="s">
        <v>223</v>
      </c>
      <c r="J1868" s="23">
        <v>2014</v>
      </c>
      <c r="K1868" s="22" t="s">
        <v>44</v>
      </c>
      <c r="L1868" s="23" t="s">
        <v>30</v>
      </c>
      <c r="M1868" s="23"/>
      <c r="N1868" s="22" t="s">
        <v>381</v>
      </c>
      <c r="O1868" s="22"/>
    </row>
    <row r="1869" spans="1:15" ht="13.5" customHeight="1" x14ac:dyDescent="0.25">
      <c r="A1869" s="1"/>
      <c r="B1869" s="20">
        <v>1857</v>
      </c>
      <c r="C1869" s="20">
        <v>2023</v>
      </c>
      <c r="D1869" s="20">
        <v>11134</v>
      </c>
      <c r="E1869" s="20" t="s">
        <v>7238</v>
      </c>
      <c r="F1869" s="20" t="s">
        <v>7239</v>
      </c>
      <c r="G1869" s="20" t="s">
        <v>7240</v>
      </c>
      <c r="H1869" s="20" t="s">
        <v>7241</v>
      </c>
      <c r="I1869" s="20" t="s">
        <v>23</v>
      </c>
      <c r="J1869" s="21">
        <v>2000</v>
      </c>
      <c r="K1869" s="20" t="s">
        <v>29</v>
      </c>
      <c r="L1869" s="21" t="s">
        <v>30</v>
      </c>
      <c r="M1869" s="21" t="s">
        <v>30</v>
      </c>
      <c r="N1869" s="20"/>
      <c r="O1869" s="20"/>
    </row>
    <row r="1870" spans="1:15" ht="13.5" customHeight="1" x14ac:dyDescent="0.25">
      <c r="A1870" s="1"/>
      <c r="B1870" s="22">
        <v>1858</v>
      </c>
      <c r="C1870" s="22">
        <v>2023</v>
      </c>
      <c r="D1870" s="22">
        <v>12552</v>
      </c>
      <c r="E1870" s="22" t="s">
        <v>7242</v>
      </c>
      <c r="F1870" s="22" t="s">
        <v>7243</v>
      </c>
      <c r="G1870" s="22" t="s">
        <v>7244</v>
      </c>
      <c r="H1870" s="22" t="s">
        <v>7245</v>
      </c>
      <c r="I1870" s="22" t="s">
        <v>23</v>
      </c>
      <c r="J1870" s="23">
        <v>2009</v>
      </c>
      <c r="K1870" s="22" t="s">
        <v>184</v>
      </c>
      <c r="L1870" s="23" t="s">
        <v>30</v>
      </c>
      <c r="M1870" s="23" t="s">
        <v>30</v>
      </c>
      <c r="N1870" s="22" t="s">
        <v>1103</v>
      </c>
      <c r="O1870" s="22"/>
    </row>
    <row r="1871" spans="1:15" ht="13.5" customHeight="1" x14ac:dyDescent="0.25">
      <c r="A1871" s="1"/>
      <c r="B1871" s="20">
        <v>1859</v>
      </c>
      <c r="C1871" s="20">
        <v>2023</v>
      </c>
      <c r="D1871" s="20">
        <v>411</v>
      </c>
      <c r="E1871" s="20" t="s">
        <v>7246</v>
      </c>
      <c r="F1871" s="20" t="s">
        <v>7247</v>
      </c>
      <c r="G1871" s="20" t="s">
        <v>7248</v>
      </c>
      <c r="H1871" s="20" t="s">
        <v>7249</v>
      </c>
      <c r="I1871" s="20" t="s">
        <v>23</v>
      </c>
      <c r="J1871" s="21">
        <v>2000</v>
      </c>
      <c r="K1871" s="20" t="s">
        <v>63</v>
      </c>
      <c r="L1871" s="21" t="s">
        <v>30</v>
      </c>
      <c r="M1871" s="21" t="s">
        <v>30</v>
      </c>
      <c r="N1871" s="20"/>
      <c r="O1871" s="20"/>
    </row>
    <row r="1872" spans="1:15" ht="13.5" customHeight="1" x14ac:dyDescent="0.25">
      <c r="A1872" s="1"/>
      <c r="B1872" s="22">
        <v>1860</v>
      </c>
      <c r="C1872" s="22">
        <v>2023</v>
      </c>
      <c r="D1872" s="22">
        <v>41605</v>
      </c>
      <c r="E1872" s="22" t="s">
        <v>7250</v>
      </c>
      <c r="F1872" s="22" t="s">
        <v>7251</v>
      </c>
      <c r="G1872" s="22" t="s">
        <v>7252</v>
      </c>
      <c r="H1872" s="22" t="s">
        <v>7253</v>
      </c>
      <c r="I1872" s="22" t="s">
        <v>23</v>
      </c>
      <c r="J1872" s="23">
        <v>2017</v>
      </c>
      <c r="K1872" s="22" t="s">
        <v>63</v>
      </c>
      <c r="L1872" s="23" t="s">
        <v>30</v>
      </c>
      <c r="M1872" s="23"/>
      <c r="N1872" s="22" t="s">
        <v>265</v>
      </c>
      <c r="O1872" s="22"/>
    </row>
    <row r="1873" spans="1:15" ht="13.5" customHeight="1" x14ac:dyDescent="0.25">
      <c r="A1873" s="1"/>
      <c r="B1873" s="20">
        <v>1861</v>
      </c>
      <c r="C1873" s="20">
        <v>2023</v>
      </c>
      <c r="D1873" s="20">
        <v>11137</v>
      </c>
      <c r="E1873" s="20" t="s">
        <v>7254</v>
      </c>
      <c r="F1873" s="20" t="s">
        <v>7255</v>
      </c>
      <c r="G1873" s="20" t="s">
        <v>7256</v>
      </c>
      <c r="H1873" s="20" t="s">
        <v>7257</v>
      </c>
      <c r="I1873" s="20" t="s">
        <v>62</v>
      </c>
      <c r="J1873" s="21">
        <v>2001</v>
      </c>
      <c r="K1873" s="20" t="s">
        <v>24</v>
      </c>
      <c r="L1873" s="21" t="s">
        <v>30</v>
      </c>
      <c r="M1873" s="21" t="s">
        <v>30</v>
      </c>
      <c r="N1873" s="20"/>
      <c r="O1873" s="20"/>
    </row>
    <row r="1874" spans="1:15" ht="13.5" customHeight="1" x14ac:dyDescent="0.25">
      <c r="A1874" s="1"/>
      <c r="B1874" s="22">
        <v>1862</v>
      </c>
      <c r="C1874" s="22">
        <v>2023</v>
      </c>
      <c r="D1874" s="22">
        <v>11976</v>
      </c>
      <c r="E1874" s="22" t="s">
        <v>7258</v>
      </c>
      <c r="F1874" s="22" t="s">
        <v>7259</v>
      </c>
      <c r="G1874" s="22" t="s">
        <v>7260</v>
      </c>
      <c r="H1874" s="22" t="s">
        <v>7261</v>
      </c>
      <c r="I1874" s="22" t="s">
        <v>62</v>
      </c>
      <c r="J1874" s="23">
        <v>2007</v>
      </c>
      <c r="K1874" s="22" t="s">
        <v>67</v>
      </c>
      <c r="L1874" s="23" t="s">
        <v>30</v>
      </c>
      <c r="M1874" s="23" t="s">
        <v>30</v>
      </c>
      <c r="N1874" s="22" t="s">
        <v>74</v>
      </c>
      <c r="O1874" s="22"/>
    </row>
    <row r="1875" spans="1:15" ht="13.5" customHeight="1" x14ac:dyDescent="0.25">
      <c r="A1875" s="1"/>
      <c r="B1875" s="20">
        <v>1863</v>
      </c>
      <c r="C1875" s="20">
        <v>2023</v>
      </c>
      <c r="D1875" s="20">
        <v>12194</v>
      </c>
      <c r="E1875" s="20" t="s">
        <v>7262</v>
      </c>
      <c r="F1875" s="20" t="s">
        <v>7263</v>
      </c>
      <c r="G1875" s="20" t="s">
        <v>7264</v>
      </c>
      <c r="H1875" s="20" t="s">
        <v>7265</v>
      </c>
      <c r="I1875" s="20" t="s">
        <v>23</v>
      </c>
      <c r="J1875" s="21">
        <v>2008</v>
      </c>
      <c r="K1875" s="20" t="s">
        <v>39</v>
      </c>
      <c r="L1875" s="21" t="s">
        <v>30</v>
      </c>
      <c r="M1875" s="21" t="s">
        <v>30</v>
      </c>
      <c r="N1875" s="20" t="s">
        <v>352</v>
      </c>
      <c r="O1875" s="20"/>
    </row>
    <row r="1876" spans="1:15" ht="13.5" customHeight="1" x14ac:dyDescent="0.25">
      <c r="A1876" s="1"/>
      <c r="B1876" s="22">
        <v>1864</v>
      </c>
      <c r="C1876" s="22">
        <v>2023</v>
      </c>
      <c r="D1876" s="22">
        <v>11141</v>
      </c>
      <c r="E1876" s="22" t="s">
        <v>7266</v>
      </c>
      <c r="F1876" s="22" t="s">
        <v>7267</v>
      </c>
      <c r="G1876" s="22" t="s">
        <v>7268</v>
      </c>
      <c r="H1876" s="22" t="s">
        <v>7269</v>
      </c>
      <c r="I1876" s="22" t="s">
        <v>23</v>
      </c>
      <c r="J1876" s="23">
        <v>2000</v>
      </c>
      <c r="K1876" s="22" t="s">
        <v>63</v>
      </c>
      <c r="L1876" s="23" t="s">
        <v>30</v>
      </c>
      <c r="M1876" s="23" t="s">
        <v>30</v>
      </c>
      <c r="N1876" s="22"/>
      <c r="O1876" s="22"/>
    </row>
    <row r="1877" spans="1:15" ht="13.5" customHeight="1" x14ac:dyDescent="0.25">
      <c r="A1877" s="1"/>
      <c r="B1877" s="20">
        <v>1865</v>
      </c>
      <c r="C1877" s="20">
        <v>2023</v>
      </c>
      <c r="D1877" s="20">
        <v>12598</v>
      </c>
      <c r="E1877" s="20" t="s">
        <v>7270</v>
      </c>
      <c r="F1877" s="20" t="s">
        <v>7271</v>
      </c>
      <c r="G1877" s="20" t="s">
        <v>7272</v>
      </c>
      <c r="H1877" s="20" t="s">
        <v>7273</v>
      </c>
      <c r="I1877" s="20" t="s">
        <v>4287</v>
      </c>
      <c r="J1877" s="21">
        <v>2009</v>
      </c>
      <c r="K1877" s="20" t="s">
        <v>24</v>
      </c>
      <c r="L1877" s="21" t="s">
        <v>30</v>
      </c>
      <c r="M1877" s="21"/>
      <c r="N1877" s="20" t="s">
        <v>431</v>
      </c>
      <c r="O1877" s="20"/>
    </row>
    <row r="1878" spans="1:15" ht="13.5" customHeight="1" x14ac:dyDescent="0.25">
      <c r="A1878" s="1"/>
      <c r="B1878" s="22">
        <v>1866</v>
      </c>
      <c r="C1878" s="22">
        <v>2023</v>
      </c>
      <c r="D1878" s="22">
        <v>11144</v>
      </c>
      <c r="E1878" s="22" t="s">
        <v>7274</v>
      </c>
      <c r="F1878" s="22" t="s">
        <v>7275</v>
      </c>
      <c r="G1878" s="22" t="s">
        <v>7276</v>
      </c>
      <c r="H1878" s="22" t="s">
        <v>7277</v>
      </c>
      <c r="I1878" s="22" t="s">
        <v>100</v>
      </c>
      <c r="J1878" s="23">
        <v>2000</v>
      </c>
      <c r="K1878" s="22" t="s">
        <v>24</v>
      </c>
      <c r="L1878" s="23" t="s">
        <v>30</v>
      </c>
      <c r="M1878" s="23" t="s">
        <v>30</v>
      </c>
      <c r="N1878" s="22"/>
      <c r="O1878" s="22"/>
    </row>
    <row r="1879" spans="1:15" ht="13.5" customHeight="1" x14ac:dyDescent="0.25">
      <c r="A1879" s="1"/>
      <c r="B1879" s="20">
        <v>1867</v>
      </c>
      <c r="C1879" s="20">
        <v>2023</v>
      </c>
      <c r="D1879" s="20">
        <v>11145</v>
      </c>
      <c r="E1879" s="20" t="s">
        <v>7278</v>
      </c>
      <c r="F1879" s="20" t="s">
        <v>7279</v>
      </c>
      <c r="G1879" s="20" t="s">
        <v>7280</v>
      </c>
      <c r="H1879" s="20" t="s">
        <v>7281</v>
      </c>
      <c r="I1879" s="20" t="s">
        <v>23</v>
      </c>
      <c r="J1879" s="21">
        <v>2000</v>
      </c>
      <c r="K1879" s="20" t="s">
        <v>184</v>
      </c>
      <c r="L1879" s="21" t="s">
        <v>30</v>
      </c>
      <c r="M1879" s="21" t="s">
        <v>30</v>
      </c>
      <c r="N1879" s="20"/>
      <c r="O1879" s="20"/>
    </row>
    <row r="1880" spans="1:15" ht="13.5" customHeight="1" x14ac:dyDescent="0.25">
      <c r="A1880" s="1"/>
      <c r="B1880" s="22">
        <v>1868</v>
      </c>
      <c r="C1880" s="22">
        <v>2023</v>
      </c>
      <c r="D1880" s="22">
        <v>11241</v>
      </c>
      <c r="E1880" s="22" t="s">
        <v>7282</v>
      </c>
      <c r="F1880" s="22" t="s">
        <v>7283</v>
      </c>
      <c r="G1880" s="22" t="s">
        <v>7284</v>
      </c>
      <c r="H1880" s="22" t="s">
        <v>7285</v>
      </c>
      <c r="I1880" s="22" t="s">
        <v>23</v>
      </c>
      <c r="J1880" s="23">
        <v>2000</v>
      </c>
      <c r="K1880" s="22" t="s">
        <v>114</v>
      </c>
      <c r="L1880" s="23" t="s">
        <v>30</v>
      </c>
      <c r="M1880" s="23" t="s">
        <v>30</v>
      </c>
      <c r="N1880" s="22"/>
      <c r="O1880" s="22"/>
    </row>
    <row r="1881" spans="1:15" ht="13.5" customHeight="1" x14ac:dyDescent="0.25">
      <c r="A1881" s="1"/>
      <c r="B1881" s="20">
        <v>1869</v>
      </c>
      <c r="C1881" s="20">
        <v>2023</v>
      </c>
      <c r="D1881" s="20">
        <v>194</v>
      </c>
      <c r="E1881" s="20" t="s">
        <v>7286</v>
      </c>
      <c r="F1881" s="20" t="s">
        <v>7287</v>
      </c>
      <c r="G1881" s="20" t="s">
        <v>7288</v>
      </c>
      <c r="H1881" s="20" t="s">
        <v>7289</v>
      </c>
      <c r="I1881" s="20" t="s">
        <v>357</v>
      </c>
      <c r="J1881" s="21">
        <v>2000</v>
      </c>
      <c r="K1881" s="20" t="s">
        <v>39</v>
      </c>
      <c r="L1881" s="21" t="s">
        <v>30</v>
      </c>
      <c r="M1881" s="21" t="s">
        <v>30</v>
      </c>
      <c r="N1881" s="20"/>
      <c r="O1881" s="20"/>
    </row>
    <row r="1882" spans="1:15" ht="13.5" customHeight="1" x14ac:dyDescent="0.25">
      <c r="A1882" s="1"/>
      <c r="B1882" s="22">
        <v>1870</v>
      </c>
      <c r="C1882" s="22">
        <v>2023</v>
      </c>
      <c r="D1882" s="22">
        <v>11148</v>
      </c>
      <c r="E1882" s="22" t="s">
        <v>7290</v>
      </c>
      <c r="F1882" s="22" t="s">
        <v>7291</v>
      </c>
      <c r="G1882" s="22" t="s">
        <v>7292</v>
      </c>
      <c r="H1882" s="22" t="s">
        <v>7293</v>
      </c>
      <c r="I1882" s="22" t="s">
        <v>23</v>
      </c>
      <c r="J1882" s="23">
        <v>2000</v>
      </c>
      <c r="K1882" s="22" t="s">
        <v>24</v>
      </c>
      <c r="L1882" s="23" t="s">
        <v>30</v>
      </c>
      <c r="M1882" s="23" t="s">
        <v>30</v>
      </c>
      <c r="N1882" s="22"/>
      <c r="O1882" s="22"/>
    </row>
    <row r="1883" spans="1:15" ht="13.5" customHeight="1" x14ac:dyDescent="0.25">
      <c r="A1883" s="1"/>
      <c r="B1883" s="20">
        <v>1871</v>
      </c>
      <c r="C1883" s="20">
        <v>2023</v>
      </c>
      <c r="D1883" s="20">
        <v>40883</v>
      </c>
      <c r="E1883" s="20" t="s">
        <v>7294</v>
      </c>
      <c r="F1883" s="20" t="s">
        <v>7295</v>
      </c>
      <c r="G1883" s="20" t="s">
        <v>7296</v>
      </c>
      <c r="H1883" s="20" t="s">
        <v>7297</v>
      </c>
      <c r="I1883" s="20" t="s">
        <v>23</v>
      </c>
      <c r="J1883" s="21">
        <v>2015</v>
      </c>
      <c r="K1883" s="20" t="s">
        <v>24</v>
      </c>
      <c r="L1883" s="21" t="s">
        <v>30</v>
      </c>
      <c r="M1883" s="21"/>
      <c r="N1883" s="20" t="s">
        <v>185</v>
      </c>
      <c r="O1883" s="20"/>
    </row>
    <row r="1884" spans="1:15" ht="13.5" customHeight="1" x14ac:dyDescent="0.25">
      <c r="A1884" s="1"/>
      <c r="B1884" s="22">
        <v>1872</v>
      </c>
      <c r="C1884" s="22">
        <v>2023</v>
      </c>
      <c r="D1884" s="22">
        <v>10113</v>
      </c>
      <c r="E1884" s="22" t="s">
        <v>7298</v>
      </c>
      <c r="F1884" s="22" t="s">
        <v>7299</v>
      </c>
      <c r="G1884" s="22" t="s">
        <v>7300</v>
      </c>
      <c r="H1884" s="22" t="s">
        <v>7301</v>
      </c>
      <c r="I1884" s="22" t="s">
        <v>23</v>
      </c>
      <c r="J1884" s="23">
        <v>2000</v>
      </c>
      <c r="K1884" s="22" t="s">
        <v>95</v>
      </c>
      <c r="L1884" s="23" t="s">
        <v>30</v>
      </c>
      <c r="M1884" s="23" t="s">
        <v>30</v>
      </c>
      <c r="N1884" s="22"/>
      <c r="O1884" s="22"/>
    </row>
    <row r="1885" spans="1:15" ht="13.5" customHeight="1" x14ac:dyDescent="0.25">
      <c r="A1885" s="1"/>
      <c r="B1885" s="20">
        <v>1873</v>
      </c>
      <c r="C1885" s="20">
        <v>2023</v>
      </c>
      <c r="D1885" s="20">
        <v>13393</v>
      </c>
      <c r="E1885" s="20" t="s">
        <v>7302</v>
      </c>
      <c r="F1885" s="20" t="s">
        <v>7303</v>
      </c>
      <c r="G1885" s="20" t="s">
        <v>7304</v>
      </c>
      <c r="H1885" s="20" t="s">
        <v>7305</v>
      </c>
      <c r="I1885" s="20" t="s">
        <v>62</v>
      </c>
      <c r="J1885" s="21">
        <v>2011</v>
      </c>
      <c r="K1885" s="20" t="s">
        <v>475</v>
      </c>
      <c r="L1885" s="21" t="s">
        <v>30</v>
      </c>
      <c r="M1885" s="21"/>
      <c r="N1885" s="20" t="s">
        <v>250</v>
      </c>
      <c r="O1885" s="20"/>
    </row>
    <row r="1886" spans="1:15" ht="13.5" customHeight="1" x14ac:dyDescent="0.25">
      <c r="A1886" s="1"/>
      <c r="B1886" s="22">
        <v>1874</v>
      </c>
      <c r="C1886" s="22">
        <v>2023</v>
      </c>
      <c r="D1886" s="22">
        <v>11819</v>
      </c>
      <c r="E1886" s="22" t="s">
        <v>7306</v>
      </c>
      <c r="F1886" s="22" t="s">
        <v>7307</v>
      </c>
      <c r="G1886" s="22" t="s">
        <v>7308</v>
      </c>
      <c r="H1886" s="22" t="s">
        <v>7309</v>
      </c>
      <c r="I1886" s="22" t="s">
        <v>62</v>
      </c>
      <c r="J1886" s="23">
        <v>2007</v>
      </c>
      <c r="K1886" s="22" t="s">
        <v>44</v>
      </c>
      <c r="L1886" s="23" t="s">
        <v>30</v>
      </c>
      <c r="M1886" s="23" t="s">
        <v>30</v>
      </c>
      <c r="N1886" s="22" t="s">
        <v>74</v>
      </c>
      <c r="O1886" s="22"/>
    </row>
    <row r="1887" spans="1:15" ht="13.5" customHeight="1" x14ac:dyDescent="0.25">
      <c r="A1887" s="1"/>
      <c r="B1887" s="20">
        <v>1875</v>
      </c>
      <c r="C1887" s="20">
        <v>2023</v>
      </c>
      <c r="D1887" s="20">
        <v>41976</v>
      </c>
      <c r="E1887" s="20" t="s">
        <v>7310</v>
      </c>
      <c r="F1887" s="20" t="s">
        <v>7311</v>
      </c>
      <c r="G1887" s="20" t="s">
        <v>7312</v>
      </c>
      <c r="H1887" s="20" t="s">
        <v>7313</v>
      </c>
      <c r="I1887" s="20" t="s">
        <v>23</v>
      </c>
      <c r="J1887" s="21">
        <v>2018</v>
      </c>
      <c r="K1887" s="20" t="s">
        <v>95</v>
      </c>
      <c r="L1887" s="21" t="s">
        <v>30</v>
      </c>
      <c r="M1887" s="21"/>
      <c r="N1887" s="20" t="s">
        <v>213</v>
      </c>
      <c r="O1887" s="20"/>
    </row>
    <row r="1888" spans="1:15" ht="13.5" customHeight="1" x14ac:dyDescent="0.25">
      <c r="A1888" s="1"/>
      <c r="B1888" s="22">
        <v>1876</v>
      </c>
      <c r="C1888" s="22">
        <v>2023</v>
      </c>
      <c r="D1888" s="22">
        <v>12215</v>
      </c>
      <c r="E1888" s="22" t="s">
        <v>7314</v>
      </c>
      <c r="F1888" s="22" t="s">
        <v>7315</v>
      </c>
      <c r="G1888" s="22" t="s">
        <v>7316</v>
      </c>
      <c r="H1888" s="22" t="s">
        <v>7317</v>
      </c>
      <c r="I1888" s="22" t="s">
        <v>23</v>
      </c>
      <c r="J1888" s="23">
        <v>2000</v>
      </c>
      <c r="K1888" s="22" t="s">
        <v>44</v>
      </c>
      <c r="L1888" s="23" t="s">
        <v>30</v>
      </c>
      <c r="M1888" s="23" t="s">
        <v>30</v>
      </c>
      <c r="N1888" s="22" t="s">
        <v>35</v>
      </c>
      <c r="O1888" s="22"/>
    </row>
    <row r="1889" spans="1:15" ht="13.5" customHeight="1" x14ac:dyDescent="0.25">
      <c r="A1889" s="1"/>
      <c r="B1889" s="20">
        <v>1877</v>
      </c>
      <c r="C1889" s="20">
        <v>2023</v>
      </c>
      <c r="D1889" s="20">
        <v>12210</v>
      </c>
      <c r="E1889" s="20" t="s">
        <v>7318</v>
      </c>
      <c r="F1889" s="20" t="s">
        <v>7319</v>
      </c>
      <c r="G1889" s="20" t="s">
        <v>7320</v>
      </c>
      <c r="H1889" s="20" t="s">
        <v>7321</v>
      </c>
      <c r="I1889" s="20" t="s">
        <v>23</v>
      </c>
      <c r="J1889" s="21">
        <v>2000</v>
      </c>
      <c r="K1889" s="20" t="s">
        <v>95</v>
      </c>
      <c r="L1889" s="21" t="s">
        <v>30</v>
      </c>
      <c r="M1889" s="21" t="s">
        <v>30</v>
      </c>
      <c r="N1889" s="20" t="s">
        <v>35</v>
      </c>
      <c r="O1889" s="20"/>
    </row>
    <row r="1890" spans="1:15" ht="13.5" customHeight="1" x14ac:dyDescent="0.25">
      <c r="A1890" s="1"/>
      <c r="B1890" s="22">
        <v>1878</v>
      </c>
      <c r="C1890" s="22">
        <v>2023</v>
      </c>
      <c r="D1890" s="22">
        <v>43032</v>
      </c>
      <c r="E1890" s="22" t="s">
        <v>7322</v>
      </c>
      <c r="F1890" s="22" t="s">
        <v>7323</v>
      </c>
      <c r="G1890" s="22"/>
      <c r="H1890" s="22" t="s">
        <v>7324</v>
      </c>
      <c r="I1890" s="22" t="s">
        <v>23</v>
      </c>
      <c r="J1890" s="23">
        <v>2000</v>
      </c>
      <c r="K1890" s="22" t="s">
        <v>39</v>
      </c>
      <c r="L1890" s="23"/>
      <c r="M1890" s="23"/>
      <c r="N1890" s="22" t="s">
        <v>270</v>
      </c>
      <c r="O1890" s="22"/>
    </row>
    <row r="1891" spans="1:15" ht="13.5" customHeight="1" x14ac:dyDescent="0.25">
      <c r="A1891" s="1"/>
      <c r="B1891" s="20">
        <v>1879</v>
      </c>
      <c r="C1891" s="20">
        <v>2023</v>
      </c>
      <c r="D1891" s="20">
        <v>766</v>
      </c>
      <c r="E1891" s="20" t="s">
        <v>7325</v>
      </c>
      <c r="F1891" s="20" t="s">
        <v>7326</v>
      </c>
      <c r="G1891" s="20" t="s">
        <v>7327</v>
      </c>
      <c r="H1891" s="20" t="s">
        <v>7328</v>
      </c>
      <c r="I1891" s="20" t="s">
        <v>23</v>
      </c>
      <c r="J1891" s="21">
        <v>2000</v>
      </c>
      <c r="K1891" s="20" t="s">
        <v>114</v>
      </c>
      <c r="L1891" s="21" t="s">
        <v>30</v>
      </c>
      <c r="M1891" s="21" t="s">
        <v>30</v>
      </c>
      <c r="N1891" s="20"/>
      <c r="O1891" s="20"/>
    </row>
    <row r="1892" spans="1:15" ht="13.5" customHeight="1" x14ac:dyDescent="0.25">
      <c r="A1892" s="1"/>
      <c r="B1892" s="22">
        <v>1880</v>
      </c>
      <c r="C1892" s="22">
        <v>2023</v>
      </c>
      <c r="D1892" s="22">
        <v>11158</v>
      </c>
      <c r="E1892" s="22" t="s">
        <v>7329</v>
      </c>
      <c r="F1892" s="22" t="s">
        <v>7330</v>
      </c>
      <c r="G1892" s="22" t="s">
        <v>7331</v>
      </c>
      <c r="H1892" s="22" t="s">
        <v>7332</v>
      </c>
      <c r="I1892" s="22" t="s">
        <v>23</v>
      </c>
      <c r="J1892" s="23">
        <v>2000</v>
      </c>
      <c r="K1892" s="22" t="s">
        <v>73</v>
      </c>
      <c r="L1892" s="23" t="s">
        <v>30</v>
      </c>
      <c r="M1892" s="23" t="s">
        <v>30</v>
      </c>
      <c r="N1892" s="22"/>
      <c r="O1892" s="22"/>
    </row>
    <row r="1893" spans="1:15" ht="13.5" customHeight="1" x14ac:dyDescent="0.25">
      <c r="A1893" s="1"/>
      <c r="B1893" s="20">
        <v>1881</v>
      </c>
      <c r="C1893" s="20">
        <v>2023</v>
      </c>
      <c r="D1893" s="20">
        <v>163</v>
      </c>
      <c r="E1893" s="20" t="s">
        <v>7333</v>
      </c>
      <c r="F1893" s="20" t="s">
        <v>7334</v>
      </c>
      <c r="G1893" s="20" t="s">
        <v>7335</v>
      </c>
      <c r="H1893" s="20" t="s">
        <v>7336</v>
      </c>
      <c r="I1893" s="20" t="s">
        <v>23</v>
      </c>
      <c r="J1893" s="21">
        <v>2000</v>
      </c>
      <c r="K1893" s="20" t="s">
        <v>67</v>
      </c>
      <c r="L1893" s="21" t="s">
        <v>30</v>
      </c>
      <c r="M1893" s="21" t="s">
        <v>30</v>
      </c>
      <c r="N1893" s="20"/>
      <c r="O1893" s="20"/>
    </row>
    <row r="1894" spans="1:15" ht="13.5" customHeight="1" x14ac:dyDescent="0.25">
      <c r="A1894" s="1"/>
      <c r="B1894" s="22">
        <v>1882</v>
      </c>
      <c r="C1894" s="22">
        <v>2023</v>
      </c>
      <c r="D1894" s="22">
        <v>11162</v>
      </c>
      <c r="E1894" s="22" t="s">
        <v>7337</v>
      </c>
      <c r="F1894" s="22" t="s">
        <v>7338</v>
      </c>
      <c r="G1894" s="22" t="s">
        <v>7339</v>
      </c>
      <c r="H1894" s="22" t="s">
        <v>7340</v>
      </c>
      <c r="I1894" s="22" t="s">
        <v>23</v>
      </c>
      <c r="J1894" s="23">
        <v>2000</v>
      </c>
      <c r="K1894" s="22" t="s">
        <v>73</v>
      </c>
      <c r="L1894" s="23" t="s">
        <v>30</v>
      </c>
      <c r="M1894" s="23" t="s">
        <v>30</v>
      </c>
      <c r="N1894" s="22"/>
      <c r="O1894" s="22"/>
    </row>
    <row r="1895" spans="1:15" ht="13.5" customHeight="1" x14ac:dyDescent="0.25">
      <c r="A1895" s="1"/>
      <c r="B1895" s="20">
        <v>1883</v>
      </c>
      <c r="C1895" s="20">
        <v>2023</v>
      </c>
      <c r="D1895" s="20">
        <v>40993</v>
      </c>
      <c r="E1895" s="20" t="s">
        <v>7341</v>
      </c>
      <c r="F1895" s="20" t="s">
        <v>7342</v>
      </c>
      <c r="G1895" s="20" t="s">
        <v>7343</v>
      </c>
      <c r="H1895" s="20" t="s">
        <v>7344</v>
      </c>
      <c r="I1895" s="20" t="s">
        <v>23</v>
      </c>
      <c r="J1895" s="21">
        <v>2015</v>
      </c>
      <c r="K1895" s="20" t="s">
        <v>44</v>
      </c>
      <c r="L1895" s="21" t="s">
        <v>30</v>
      </c>
      <c r="M1895" s="21"/>
      <c r="N1895" s="20"/>
      <c r="O1895" s="20"/>
    </row>
    <row r="1896" spans="1:15" ht="13.5" customHeight="1" x14ac:dyDescent="0.25">
      <c r="A1896" s="1"/>
      <c r="B1896" s="22">
        <v>1884</v>
      </c>
      <c r="C1896" s="22">
        <v>2023</v>
      </c>
      <c r="D1896" s="22">
        <v>11165</v>
      </c>
      <c r="E1896" s="22" t="s">
        <v>7345</v>
      </c>
      <c r="F1896" s="22" t="s">
        <v>7346</v>
      </c>
      <c r="G1896" s="22" t="s">
        <v>7347</v>
      </c>
      <c r="H1896" s="22" t="s">
        <v>7348</v>
      </c>
      <c r="I1896" s="22" t="s">
        <v>23</v>
      </c>
      <c r="J1896" s="23">
        <v>2000</v>
      </c>
      <c r="K1896" s="22" t="s">
        <v>73</v>
      </c>
      <c r="L1896" s="23" t="s">
        <v>30</v>
      </c>
      <c r="M1896" s="23" t="s">
        <v>30</v>
      </c>
      <c r="N1896" s="22"/>
      <c r="O1896" s="22"/>
    </row>
    <row r="1897" spans="1:15" ht="13.5" customHeight="1" x14ac:dyDescent="0.25">
      <c r="A1897" s="1"/>
      <c r="B1897" s="20">
        <v>1885</v>
      </c>
      <c r="C1897" s="20">
        <v>2023</v>
      </c>
      <c r="D1897" s="20">
        <v>40687</v>
      </c>
      <c r="E1897" s="20" t="s">
        <v>7349</v>
      </c>
      <c r="F1897" s="20" t="s">
        <v>7350</v>
      </c>
      <c r="G1897" s="20" t="s">
        <v>7351</v>
      </c>
      <c r="H1897" s="20" t="s">
        <v>7352</v>
      </c>
      <c r="I1897" s="20" t="s">
        <v>23</v>
      </c>
      <c r="J1897" s="21">
        <v>2014</v>
      </c>
      <c r="K1897" s="20" t="s">
        <v>44</v>
      </c>
      <c r="L1897" s="21" t="s">
        <v>30</v>
      </c>
      <c r="M1897" s="21"/>
      <c r="N1897" s="20"/>
      <c r="O1897" s="20"/>
    </row>
    <row r="1898" spans="1:15" ht="13.5" customHeight="1" x14ac:dyDescent="0.25">
      <c r="A1898" s="1"/>
      <c r="B1898" s="22">
        <v>1886</v>
      </c>
      <c r="C1898" s="22">
        <v>2023</v>
      </c>
      <c r="D1898" s="22">
        <v>42600</v>
      </c>
      <c r="E1898" s="22" t="s">
        <v>7353</v>
      </c>
      <c r="F1898" s="22" t="s">
        <v>7354</v>
      </c>
      <c r="G1898" s="22"/>
      <c r="H1898" s="22" t="s">
        <v>7355</v>
      </c>
      <c r="I1898" s="22" t="s">
        <v>23</v>
      </c>
      <c r="J1898" s="23">
        <v>2019</v>
      </c>
      <c r="K1898" s="22" t="s">
        <v>67</v>
      </c>
      <c r="L1898" s="23"/>
      <c r="M1898" s="23"/>
      <c r="N1898" s="22" t="s">
        <v>123</v>
      </c>
      <c r="O1898" s="22"/>
    </row>
    <row r="1899" spans="1:15" ht="13.5" customHeight="1" x14ac:dyDescent="0.25">
      <c r="A1899" s="1"/>
      <c r="B1899" s="20">
        <v>1887</v>
      </c>
      <c r="C1899" s="20">
        <v>2023</v>
      </c>
      <c r="D1899" s="20">
        <v>11164</v>
      </c>
      <c r="E1899" s="20" t="s">
        <v>7356</v>
      </c>
      <c r="F1899" s="20" t="s">
        <v>7357</v>
      </c>
      <c r="G1899" s="20" t="s">
        <v>7358</v>
      </c>
      <c r="H1899" s="20" t="s">
        <v>7359</v>
      </c>
      <c r="I1899" s="20" t="s">
        <v>23</v>
      </c>
      <c r="J1899" s="21">
        <v>2000</v>
      </c>
      <c r="K1899" s="20" t="s">
        <v>24</v>
      </c>
      <c r="L1899" s="21" t="s">
        <v>30</v>
      </c>
      <c r="M1899" s="21"/>
      <c r="N1899" s="20" t="s">
        <v>431</v>
      </c>
      <c r="O1899" s="20"/>
    </row>
    <row r="1900" spans="1:15" ht="13.5" customHeight="1" x14ac:dyDescent="0.25">
      <c r="A1900" s="1"/>
      <c r="B1900" s="22">
        <v>1888</v>
      </c>
      <c r="C1900" s="22">
        <v>2023</v>
      </c>
      <c r="D1900" s="22">
        <v>10802</v>
      </c>
      <c r="E1900" s="22" t="s">
        <v>7360</v>
      </c>
      <c r="F1900" s="22" t="s">
        <v>7361</v>
      </c>
      <c r="G1900" s="22" t="s">
        <v>7362</v>
      </c>
      <c r="H1900" s="22" t="s">
        <v>7363</v>
      </c>
      <c r="I1900" s="22" t="s">
        <v>23</v>
      </c>
      <c r="J1900" s="23">
        <v>2000</v>
      </c>
      <c r="K1900" s="22" t="s">
        <v>203</v>
      </c>
      <c r="L1900" s="23" t="s">
        <v>30</v>
      </c>
      <c r="M1900" s="23" t="s">
        <v>30</v>
      </c>
      <c r="N1900" s="22"/>
      <c r="O1900" s="22"/>
    </row>
    <row r="1901" spans="1:15" ht="13.5" customHeight="1" x14ac:dyDescent="0.25">
      <c r="A1901" s="1"/>
      <c r="B1901" s="20">
        <v>1889</v>
      </c>
      <c r="C1901" s="20">
        <v>2023</v>
      </c>
      <c r="D1901" s="20">
        <v>12045</v>
      </c>
      <c r="E1901" s="20" t="s">
        <v>7364</v>
      </c>
      <c r="F1901" s="20" t="s">
        <v>7365</v>
      </c>
      <c r="G1901" s="20"/>
      <c r="H1901" s="20" t="s">
        <v>7366</v>
      </c>
      <c r="I1901" s="20" t="s">
        <v>23</v>
      </c>
      <c r="J1901" s="21">
        <v>2000</v>
      </c>
      <c r="K1901" s="20" t="s">
        <v>73</v>
      </c>
      <c r="L1901" s="21"/>
      <c r="M1901" s="21" t="s">
        <v>30</v>
      </c>
      <c r="N1901" s="20" t="s">
        <v>245</v>
      </c>
      <c r="O1901" s="20"/>
    </row>
    <row r="1902" spans="1:15" ht="13.5" customHeight="1" x14ac:dyDescent="0.25">
      <c r="A1902" s="1"/>
      <c r="B1902" s="22">
        <v>1890</v>
      </c>
      <c r="C1902" s="22">
        <v>2023</v>
      </c>
      <c r="D1902" s="22">
        <v>25</v>
      </c>
      <c r="E1902" s="22" t="s">
        <v>7367</v>
      </c>
      <c r="F1902" s="22" t="s">
        <v>7368</v>
      </c>
      <c r="G1902" s="22" t="s">
        <v>7369</v>
      </c>
      <c r="H1902" s="22" t="s">
        <v>7370</v>
      </c>
      <c r="I1902" s="22" t="s">
        <v>223</v>
      </c>
      <c r="J1902" s="23">
        <v>2000</v>
      </c>
      <c r="K1902" s="22" t="s">
        <v>44</v>
      </c>
      <c r="L1902" s="23" t="s">
        <v>30</v>
      </c>
      <c r="M1902" s="23" t="s">
        <v>30</v>
      </c>
      <c r="N1902" s="22"/>
      <c r="O1902" s="22"/>
    </row>
    <row r="1903" spans="1:15" ht="13.5" customHeight="1" x14ac:dyDescent="0.25">
      <c r="A1903" s="1"/>
      <c r="B1903" s="20">
        <v>1891</v>
      </c>
      <c r="C1903" s="20">
        <v>2023</v>
      </c>
      <c r="D1903" s="20">
        <v>40489</v>
      </c>
      <c r="E1903" s="20" t="s">
        <v>7371</v>
      </c>
      <c r="F1903" s="20" t="s">
        <v>7372</v>
      </c>
      <c r="G1903" s="20" t="s">
        <v>7373</v>
      </c>
      <c r="H1903" s="20" t="s">
        <v>7374</v>
      </c>
      <c r="I1903" s="20" t="s">
        <v>23</v>
      </c>
      <c r="J1903" s="21">
        <v>2014</v>
      </c>
      <c r="K1903" s="20" t="s">
        <v>203</v>
      </c>
      <c r="L1903" s="21" t="s">
        <v>30</v>
      </c>
      <c r="M1903" s="21"/>
      <c r="N1903" s="20" t="s">
        <v>381</v>
      </c>
      <c r="O1903" s="20"/>
    </row>
    <row r="1904" spans="1:15" ht="13.5" customHeight="1" x14ac:dyDescent="0.25">
      <c r="A1904" s="1"/>
      <c r="B1904" s="22">
        <v>1892</v>
      </c>
      <c r="C1904" s="22">
        <v>2023</v>
      </c>
      <c r="D1904" s="22">
        <v>11142</v>
      </c>
      <c r="E1904" s="22" t="s">
        <v>7375</v>
      </c>
      <c r="F1904" s="22" t="s">
        <v>7376</v>
      </c>
      <c r="G1904" s="22" t="s">
        <v>7377</v>
      </c>
      <c r="H1904" s="22" t="s">
        <v>7378</v>
      </c>
      <c r="I1904" s="22" t="s">
        <v>23</v>
      </c>
      <c r="J1904" s="23">
        <v>2000</v>
      </c>
      <c r="K1904" s="22" t="s">
        <v>29</v>
      </c>
      <c r="L1904" s="23" t="s">
        <v>30</v>
      </c>
      <c r="M1904" s="23" t="s">
        <v>30</v>
      </c>
      <c r="N1904" s="22"/>
      <c r="O1904" s="22"/>
    </row>
    <row r="1905" spans="1:15" ht="13.5" customHeight="1" x14ac:dyDescent="0.25">
      <c r="A1905" s="1"/>
      <c r="B1905" s="20">
        <v>1893</v>
      </c>
      <c r="C1905" s="20">
        <v>2023</v>
      </c>
      <c r="D1905" s="20">
        <v>41130</v>
      </c>
      <c r="E1905" s="20" t="s">
        <v>7379</v>
      </c>
      <c r="F1905" s="20" t="s">
        <v>7380</v>
      </c>
      <c r="G1905" s="20" t="s">
        <v>7381</v>
      </c>
      <c r="H1905" s="20" t="s">
        <v>7382</v>
      </c>
      <c r="I1905" s="20" t="s">
        <v>23</v>
      </c>
      <c r="J1905" s="21">
        <v>2016</v>
      </c>
      <c r="K1905" s="20" t="s">
        <v>475</v>
      </c>
      <c r="L1905" s="21" t="s">
        <v>30</v>
      </c>
      <c r="M1905" s="21"/>
      <c r="N1905" s="20" t="s">
        <v>1470</v>
      </c>
      <c r="O1905" s="20"/>
    </row>
    <row r="1906" spans="1:15" ht="13.5" customHeight="1" x14ac:dyDescent="0.25">
      <c r="A1906" s="1"/>
      <c r="B1906" s="22">
        <v>1894</v>
      </c>
      <c r="C1906" s="22">
        <v>2023</v>
      </c>
      <c r="D1906" s="22">
        <v>11147</v>
      </c>
      <c r="E1906" s="22" t="s">
        <v>7383</v>
      </c>
      <c r="F1906" s="22" t="s">
        <v>7384</v>
      </c>
      <c r="G1906" s="22" t="s">
        <v>7385</v>
      </c>
      <c r="H1906" s="22" t="s">
        <v>7386</v>
      </c>
      <c r="I1906" s="22" t="s">
        <v>23</v>
      </c>
      <c r="J1906" s="23">
        <v>2000</v>
      </c>
      <c r="K1906" s="22" t="s">
        <v>475</v>
      </c>
      <c r="L1906" s="23" t="s">
        <v>30</v>
      </c>
      <c r="M1906" s="23" t="s">
        <v>30</v>
      </c>
      <c r="N1906" s="22"/>
      <c r="O1906" s="22"/>
    </row>
    <row r="1907" spans="1:15" ht="13.5" customHeight="1" x14ac:dyDescent="0.25">
      <c r="A1907" s="1"/>
      <c r="B1907" s="20">
        <v>1895</v>
      </c>
      <c r="C1907" s="20">
        <v>2023</v>
      </c>
      <c r="D1907" s="20">
        <v>10058</v>
      </c>
      <c r="E1907" s="20" t="s">
        <v>7387</v>
      </c>
      <c r="F1907" s="20" t="s">
        <v>7388</v>
      </c>
      <c r="G1907" s="20" t="s">
        <v>7389</v>
      </c>
      <c r="H1907" s="20" t="s">
        <v>7390</v>
      </c>
      <c r="I1907" s="20" t="s">
        <v>23</v>
      </c>
      <c r="J1907" s="21">
        <v>2000</v>
      </c>
      <c r="K1907" s="20" t="s">
        <v>475</v>
      </c>
      <c r="L1907" s="21" t="s">
        <v>30</v>
      </c>
      <c r="M1907" s="21" t="s">
        <v>30</v>
      </c>
      <c r="N1907" s="20"/>
      <c r="O1907" s="20"/>
    </row>
    <row r="1908" spans="1:15" ht="13.5" customHeight="1" x14ac:dyDescent="0.25">
      <c r="A1908" s="1"/>
      <c r="B1908" s="22">
        <v>1896</v>
      </c>
      <c r="C1908" s="22">
        <v>2023</v>
      </c>
      <c r="D1908" s="22">
        <v>11150</v>
      </c>
      <c r="E1908" s="22" t="s">
        <v>7391</v>
      </c>
      <c r="F1908" s="22" t="s">
        <v>7392</v>
      </c>
      <c r="G1908" s="22" t="s">
        <v>7393</v>
      </c>
      <c r="H1908" s="22" t="s">
        <v>7394</v>
      </c>
      <c r="I1908" s="22" t="s">
        <v>23</v>
      </c>
      <c r="J1908" s="23">
        <v>2003</v>
      </c>
      <c r="K1908" s="22" t="s">
        <v>475</v>
      </c>
      <c r="L1908" s="23" t="s">
        <v>30</v>
      </c>
      <c r="M1908" s="23" t="s">
        <v>30</v>
      </c>
      <c r="N1908" s="22"/>
      <c r="O1908" s="22"/>
    </row>
    <row r="1909" spans="1:15" ht="13.5" customHeight="1" x14ac:dyDescent="0.25">
      <c r="A1909" s="1"/>
      <c r="B1909" s="20">
        <v>1897</v>
      </c>
      <c r="C1909" s="20">
        <v>2023</v>
      </c>
      <c r="D1909" s="20">
        <v>43253</v>
      </c>
      <c r="E1909" s="20" t="s">
        <v>7395</v>
      </c>
      <c r="F1909" s="20" t="s">
        <v>7396</v>
      </c>
      <c r="G1909" s="20"/>
      <c r="H1909" s="20" t="s">
        <v>7397</v>
      </c>
      <c r="I1909" s="20" t="s">
        <v>23</v>
      </c>
      <c r="J1909" s="21">
        <v>2020</v>
      </c>
      <c r="K1909" s="20" t="s">
        <v>475</v>
      </c>
      <c r="L1909" s="21"/>
      <c r="M1909" s="21"/>
      <c r="N1909" s="20" t="s">
        <v>48</v>
      </c>
      <c r="O1909" s="20"/>
    </row>
    <row r="1910" spans="1:15" ht="13.5" customHeight="1" x14ac:dyDescent="0.25">
      <c r="A1910" s="1"/>
      <c r="B1910" s="22">
        <v>1898</v>
      </c>
      <c r="C1910" s="22">
        <v>2023</v>
      </c>
      <c r="D1910" s="22">
        <v>11151</v>
      </c>
      <c r="E1910" s="22" t="s">
        <v>7398</v>
      </c>
      <c r="F1910" s="22" t="s">
        <v>7399</v>
      </c>
      <c r="G1910" s="22" t="s">
        <v>7400</v>
      </c>
      <c r="H1910" s="22" t="s">
        <v>7401</v>
      </c>
      <c r="I1910" s="22" t="s">
        <v>23</v>
      </c>
      <c r="J1910" s="23">
        <v>2000</v>
      </c>
      <c r="K1910" s="22" t="s">
        <v>475</v>
      </c>
      <c r="L1910" s="23" t="s">
        <v>30</v>
      </c>
      <c r="M1910" s="23" t="s">
        <v>30</v>
      </c>
      <c r="N1910" s="22"/>
      <c r="O1910" s="22"/>
    </row>
    <row r="1911" spans="1:15" ht="13.5" customHeight="1" x14ac:dyDescent="0.25">
      <c r="A1911" s="1"/>
      <c r="B1911" s="20">
        <v>1899</v>
      </c>
      <c r="C1911" s="20">
        <v>2023</v>
      </c>
      <c r="D1911" s="20">
        <v>11846</v>
      </c>
      <c r="E1911" s="20" t="s">
        <v>7402</v>
      </c>
      <c r="F1911" s="20" t="s">
        <v>7403</v>
      </c>
      <c r="G1911" s="20" t="s">
        <v>7404</v>
      </c>
      <c r="H1911" s="20" t="s">
        <v>7405</v>
      </c>
      <c r="I1911" s="20" t="s">
        <v>23</v>
      </c>
      <c r="J1911" s="21">
        <v>2007</v>
      </c>
      <c r="K1911" s="20" t="s">
        <v>29</v>
      </c>
      <c r="L1911" s="21" t="s">
        <v>30</v>
      </c>
      <c r="M1911" s="21" t="s">
        <v>30</v>
      </c>
      <c r="N1911" s="20" t="s">
        <v>245</v>
      </c>
      <c r="O1911" s="20"/>
    </row>
    <row r="1912" spans="1:15" ht="13.5" customHeight="1" x14ac:dyDescent="0.25">
      <c r="A1912" s="1"/>
      <c r="B1912" s="22">
        <v>1900</v>
      </c>
      <c r="C1912" s="22">
        <v>2023</v>
      </c>
      <c r="D1912" s="22">
        <v>13164</v>
      </c>
      <c r="E1912" s="22" t="s">
        <v>7406</v>
      </c>
      <c r="F1912" s="22" t="s">
        <v>7407</v>
      </c>
      <c r="G1912" s="22"/>
      <c r="H1912" s="22" t="s">
        <v>7408</v>
      </c>
      <c r="I1912" s="22" t="s">
        <v>23</v>
      </c>
      <c r="J1912" s="23">
        <v>2010</v>
      </c>
      <c r="K1912" s="22" t="s">
        <v>73</v>
      </c>
      <c r="L1912" s="23"/>
      <c r="M1912" s="23" t="s">
        <v>30</v>
      </c>
      <c r="N1912" s="22" t="s">
        <v>1310</v>
      </c>
      <c r="O1912" s="22"/>
    </row>
    <row r="1913" spans="1:15" ht="13.5" customHeight="1" x14ac:dyDescent="0.25">
      <c r="A1913" s="1"/>
      <c r="B1913" s="20">
        <v>1901</v>
      </c>
      <c r="C1913" s="20">
        <v>2023</v>
      </c>
      <c r="D1913" s="20">
        <v>11156</v>
      </c>
      <c r="E1913" s="20" t="s">
        <v>7409</v>
      </c>
      <c r="F1913" s="20" t="s">
        <v>7410</v>
      </c>
      <c r="G1913" s="20" t="s">
        <v>7411</v>
      </c>
      <c r="H1913" s="20" t="s">
        <v>7412</v>
      </c>
      <c r="I1913" s="20" t="s">
        <v>23</v>
      </c>
      <c r="J1913" s="21">
        <v>2000</v>
      </c>
      <c r="K1913" s="20" t="s">
        <v>475</v>
      </c>
      <c r="L1913" s="21" t="s">
        <v>30</v>
      </c>
      <c r="M1913" s="21" t="s">
        <v>30</v>
      </c>
      <c r="N1913" s="20"/>
      <c r="O1913" s="20"/>
    </row>
    <row r="1914" spans="1:15" ht="13.5" customHeight="1" x14ac:dyDescent="0.25">
      <c r="A1914" s="1"/>
      <c r="B1914" s="22">
        <v>1902</v>
      </c>
      <c r="C1914" s="22">
        <v>2023</v>
      </c>
      <c r="D1914" s="22">
        <v>10037</v>
      </c>
      <c r="E1914" s="22" t="s">
        <v>7413</v>
      </c>
      <c r="F1914" s="22" t="s">
        <v>7414</v>
      </c>
      <c r="G1914" s="22" t="s">
        <v>7415</v>
      </c>
      <c r="H1914" s="22" t="s">
        <v>7416</v>
      </c>
      <c r="I1914" s="22" t="s">
        <v>23</v>
      </c>
      <c r="J1914" s="23">
        <v>2006</v>
      </c>
      <c r="K1914" s="22" t="s">
        <v>475</v>
      </c>
      <c r="L1914" s="23" t="s">
        <v>30</v>
      </c>
      <c r="M1914" s="23" t="s">
        <v>30</v>
      </c>
      <c r="N1914" s="22"/>
      <c r="O1914" s="22"/>
    </row>
    <row r="1915" spans="1:15" ht="13.5" customHeight="1" x14ac:dyDescent="0.25">
      <c r="A1915" s="1"/>
      <c r="B1915" s="20">
        <v>1903</v>
      </c>
      <c r="C1915" s="20">
        <v>2023</v>
      </c>
      <c r="D1915" s="20">
        <v>13644</v>
      </c>
      <c r="E1915" s="20" t="s">
        <v>7417</v>
      </c>
      <c r="F1915" s="20" t="s">
        <v>7418</v>
      </c>
      <c r="G1915" s="20" t="s">
        <v>7419</v>
      </c>
      <c r="H1915" s="20" t="s">
        <v>7420</v>
      </c>
      <c r="I1915" s="20" t="s">
        <v>23</v>
      </c>
      <c r="J1915" s="21">
        <v>2011</v>
      </c>
      <c r="K1915" s="20" t="s">
        <v>184</v>
      </c>
      <c r="L1915" s="21" t="s">
        <v>30</v>
      </c>
      <c r="M1915" s="21"/>
      <c r="N1915" s="20" t="s">
        <v>275</v>
      </c>
      <c r="O1915" s="20"/>
    </row>
    <row r="1916" spans="1:15" ht="13.5" customHeight="1" x14ac:dyDescent="0.25">
      <c r="A1916" s="1"/>
      <c r="B1916" s="22">
        <v>1904</v>
      </c>
      <c r="C1916" s="22">
        <v>2023</v>
      </c>
      <c r="D1916" s="22">
        <v>10290</v>
      </c>
      <c r="E1916" s="22" t="s">
        <v>7421</v>
      </c>
      <c r="F1916" s="22" t="s">
        <v>7422</v>
      </c>
      <c r="G1916" s="22" t="s">
        <v>7423</v>
      </c>
      <c r="H1916" s="22" t="s">
        <v>7424</v>
      </c>
      <c r="I1916" s="22" t="s">
        <v>23</v>
      </c>
      <c r="J1916" s="23">
        <v>2000</v>
      </c>
      <c r="K1916" s="22" t="s">
        <v>475</v>
      </c>
      <c r="L1916" s="23" t="s">
        <v>30</v>
      </c>
      <c r="M1916" s="23" t="s">
        <v>30</v>
      </c>
      <c r="N1916" s="22"/>
      <c r="O1916" s="22"/>
    </row>
    <row r="1917" spans="1:15" ht="13.5" customHeight="1" x14ac:dyDescent="0.25">
      <c r="A1917" s="1"/>
      <c r="B1917" s="20">
        <v>1905</v>
      </c>
      <c r="C1917" s="20">
        <v>2023</v>
      </c>
      <c r="D1917" s="20">
        <v>13392</v>
      </c>
      <c r="E1917" s="20" t="s">
        <v>7425</v>
      </c>
      <c r="F1917" s="20" t="s">
        <v>7426</v>
      </c>
      <c r="G1917" s="20" t="s">
        <v>7427</v>
      </c>
      <c r="H1917" s="20" t="s">
        <v>7428</v>
      </c>
      <c r="I1917" s="20" t="s">
        <v>62</v>
      </c>
      <c r="J1917" s="21">
        <v>2011</v>
      </c>
      <c r="K1917" s="20" t="s">
        <v>24</v>
      </c>
      <c r="L1917" s="21" t="s">
        <v>30</v>
      </c>
      <c r="M1917" s="21"/>
      <c r="N1917" s="20" t="s">
        <v>250</v>
      </c>
      <c r="O1917" s="20"/>
    </row>
    <row r="1918" spans="1:15" ht="13.5" customHeight="1" x14ac:dyDescent="0.25">
      <c r="A1918" s="1"/>
      <c r="B1918" s="22">
        <v>1906</v>
      </c>
      <c r="C1918" s="22">
        <v>2023</v>
      </c>
      <c r="D1918" s="22">
        <v>11154</v>
      </c>
      <c r="E1918" s="22" t="s">
        <v>7429</v>
      </c>
      <c r="F1918" s="22" t="s">
        <v>7430</v>
      </c>
      <c r="G1918" s="22" t="s">
        <v>7431</v>
      </c>
      <c r="H1918" s="22" t="s">
        <v>7432</v>
      </c>
      <c r="I1918" s="22" t="s">
        <v>23</v>
      </c>
      <c r="J1918" s="23">
        <v>2000</v>
      </c>
      <c r="K1918" s="22" t="s">
        <v>39</v>
      </c>
      <c r="L1918" s="23" t="s">
        <v>30</v>
      </c>
      <c r="M1918" s="23" t="s">
        <v>30</v>
      </c>
      <c r="N1918" s="22"/>
      <c r="O1918" s="22"/>
    </row>
    <row r="1919" spans="1:15" ht="13.5" customHeight="1" x14ac:dyDescent="0.25">
      <c r="A1919" s="1"/>
      <c r="B1919" s="20">
        <v>1907</v>
      </c>
      <c r="C1919" s="20">
        <v>2023</v>
      </c>
      <c r="D1919" s="20">
        <v>11157</v>
      </c>
      <c r="E1919" s="20" t="s">
        <v>7433</v>
      </c>
      <c r="F1919" s="20" t="s">
        <v>7434</v>
      </c>
      <c r="G1919" s="20" t="s">
        <v>7435</v>
      </c>
      <c r="H1919" s="20" t="s">
        <v>7436</v>
      </c>
      <c r="I1919" s="20" t="s">
        <v>23</v>
      </c>
      <c r="J1919" s="21">
        <v>2002</v>
      </c>
      <c r="K1919" s="20" t="s">
        <v>95</v>
      </c>
      <c r="L1919" s="21" t="s">
        <v>30</v>
      </c>
      <c r="M1919" s="21" t="s">
        <v>30</v>
      </c>
      <c r="N1919" s="20"/>
      <c r="O1919" s="20"/>
    </row>
    <row r="1920" spans="1:15" ht="13.5" customHeight="1" x14ac:dyDescent="0.25">
      <c r="A1920" s="1"/>
      <c r="B1920" s="22">
        <v>1908</v>
      </c>
      <c r="C1920" s="22">
        <v>2023</v>
      </c>
      <c r="D1920" s="22">
        <v>11160</v>
      </c>
      <c r="E1920" s="22" t="s">
        <v>7437</v>
      </c>
      <c r="F1920" s="22" t="s">
        <v>7438</v>
      </c>
      <c r="G1920" s="22" t="s">
        <v>7439</v>
      </c>
      <c r="H1920" s="22" t="s">
        <v>7440</v>
      </c>
      <c r="I1920" s="22" t="s">
        <v>23</v>
      </c>
      <c r="J1920" s="23">
        <v>2000</v>
      </c>
      <c r="K1920" s="22" t="s">
        <v>34</v>
      </c>
      <c r="L1920" s="23" t="s">
        <v>30</v>
      </c>
      <c r="M1920" s="23" t="s">
        <v>30</v>
      </c>
      <c r="N1920" s="22"/>
      <c r="O1920" s="22"/>
    </row>
    <row r="1921" spans="1:15" ht="13.5" customHeight="1" x14ac:dyDescent="0.25">
      <c r="A1921" s="1"/>
      <c r="B1921" s="20">
        <v>1909</v>
      </c>
      <c r="C1921" s="20">
        <v>2023</v>
      </c>
      <c r="D1921" s="20">
        <v>44169</v>
      </c>
      <c r="E1921" s="20" t="s">
        <v>7441</v>
      </c>
      <c r="F1921" s="20" t="s">
        <v>7442</v>
      </c>
      <c r="G1921" s="20" t="s">
        <v>7443</v>
      </c>
      <c r="H1921" s="20" t="s">
        <v>7444</v>
      </c>
      <c r="I1921" s="20" t="s">
        <v>23</v>
      </c>
      <c r="J1921" s="21">
        <v>2022</v>
      </c>
      <c r="K1921" s="20" t="s">
        <v>95</v>
      </c>
      <c r="L1921" s="21" t="s">
        <v>30</v>
      </c>
      <c r="M1921" s="21"/>
      <c r="N1921" s="20" t="s">
        <v>518</v>
      </c>
      <c r="O1921" s="20"/>
    </row>
    <row r="1922" spans="1:15" ht="13.5" customHeight="1" x14ac:dyDescent="0.25">
      <c r="A1922" s="1"/>
      <c r="B1922" s="22">
        <v>1910</v>
      </c>
      <c r="C1922" s="22">
        <v>2023</v>
      </c>
      <c r="D1922" s="22">
        <v>41614</v>
      </c>
      <c r="E1922" s="22" t="s">
        <v>7445</v>
      </c>
      <c r="F1922" s="22" t="s">
        <v>7446</v>
      </c>
      <c r="G1922" s="22"/>
      <c r="H1922" s="22" t="s">
        <v>7447</v>
      </c>
      <c r="I1922" s="22" t="s">
        <v>23</v>
      </c>
      <c r="J1922" s="23">
        <v>2017</v>
      </c>
      <c r="K1922" s="22" t="s">
        <v>63</v>
      </c>
      <c r="L1922" s="23"/>
      <c r="M1922" s="23"/>
      <c r="N1922" s="22" t="s">
        <v>265</v>
      </c>
      <c r="O1922" s="22"/>
    </row>
    <row r="1923" spans="1:15" ht="13.5" customHeight="1" x14ac:dyDescent="0.25">
      <c r="A1923" s="1"/>
      <c r="B1923" s="20">
        <v>1911</v>
      </c>
      <c r="C1923" s="20">
        <v>2023</v>
      </c>
      <c r="D1923" s="20">
        <v>43450</v>
      </c>
      <c r="E1923" s="20" t="s">
        <v>7448</v>
      </c>
      <c r="F1923" s="20" t="s">
        <v>7449</v>
      </c>
      <c r="G1923" s="20"/>
      <c r="H1923" s="20" t="s">
        <v>7450</v>
      </c>
      <c r="I1923" s="20" t="s">
        <v>23</v>
      </c>
      <c r="J1923" s="21">
        <v>2015</v>
      </c>
      <c r="K1923" s="20" t="s">
        <v>39</v>
      </c>
      <c r="L1923" s="21"/>
      <c r="M1923" s="21"/>
      <c r="N1923" s="20" t="s">
        <v>270</v>
      </c>
      <c r="O1923" s="20"/>
    </row>
    <row r="1924" spans="1:15" ht="13.5" customHeight="1" x14ac:dyDescent="0.25">
      <c r="A1924" s="1"/>
      <c r="B1924" s="22">
        <v>1912</v>
      </c>
      <c r="C1924" s="22">
        <v>2023</v>
      </c>
      <c r="D1924" s="22">
        <v>13398</v>
      </c>
      <c r="E1924" s="22" t="s">
        <v>7451</v>
      </c>
      <c r="F1924" s="22" t="s">
        <v>7452</v>
      </c>
      <c r="G1924" s="22" t="s">
        <v>7453</v>
      </c>
      <c r="H1924" s="22" t="s">
        <v>7454</v>
      </c>
      <c r="I1924" s="22" t="s">
        <v>23</v>
      </c>
      <c r="J1924" s="23">
        <v>2008</v>
      </c>
      <c r="K1924" s="22" t="s">
        <v>44</v>
      </c>
      <c r="L1924" s="23" t="s">
        <v>30</v>
      </c>
      <c r="M1924" s="23"/>
      <c r="N1924" s="22" t="s">
        <v>275</v>
      </c>
      <c r="O1924" s="22"/>
    </row>
    <row r="1925" spans="1:15" ht="13.5" customHeight="1" x14ac:dyDescent="0.25">
      <c r="A1925" s="1"/>
      <c r="B1925" s="20">
        <v>1913</v>
      </c>
      <c r="C1925" s="20">
        <v>2023</v>
      </c>
      <c r="D1925" s="20">
        <v>13163</v>
      </c>
      <c r="E1925" s="20" t="s">
        <v>7455</v>
      </c>
      <c r="F1925" s="20" t="s">
        <v>7456</v>
      </c>
      <c r="G1925" s="20" t="s">
        <v>7457</v>
      </c>
      <c r="H1925" s="20" t="s">
        <v>7458</v>
      </c>
      <c r="I1925" s="20" t="s">
        <v>23</v>
      </c>
      <c r="J1925" s="21">
        <v>2010</v>
      </c>
      <c r="K1925" s="20" t="s">
        <v>44</v>
      </c>
      <c r="L1925" s="21" t="s">
        <v>30</v>
      </c>
      <c r="M1925" s="21"/>
      <c r="N1925" s="20" t="s">
        <v>173</v>
      </c>
      <c r="O1925" s="20"/>
    </row>
    <row r="1926" spans="1:15" ht="13.5" customHeight="1" x14ac:dyDescent="0.25">
      <c r="A1926" s="1"/>
      <c r="B1926" s="22">
        <v>1914</v>
      </c>
      <c r="C1926" s="22">
        <v>2023</v>
      </c>
      <c r="D1926" s="22">
        <v>397</v>
      </c>
      <c r="E1926" s="22" t="s">
        <v>7459</v>
      </c>
      <c r="F1926" s="22" t="s">
        <v>7460</v>
      </c>
      <c r="G1926" s="22" t="s">
        <v>7461</v>
      </c>
      <c r="H1926" s="22" t="s">
        <v>7462</v>
      </c>
      <c r="I1926" s="22" t="s">
        <v>23</v>
      </c>
      <c r="J1926" s="23">
        <v>2000</v>
      </c>
      <c r="K1926" s="22" t="s">
        <v>24</v>
      </c>
      <c r="L1926" s="23" t="s">
        <v>30</v>
      </c>
      <c r="M1926" s="23" t="s">
        <v>30</v>
      </c>
      <c r="N1926" s="22"/>
      <c r="O1926" s="22"/>
    </row>
    <row r="1927" spans="1:15" ht="13.5" customHeight="1" x14ac:dyDescent="0.25">
      <c r="A1927" s="1"/>
      <c r="B1927" s="20">
        <v>1915</v>
      </c>
      <c r="C1927" s="20">
        <v>2023</v>
      </c>
      <c r="D1927" s="20">
        <v>12688</v>
      </c>
      <c r="E1927" s="20" t="s">
        <v>7463</v>
      </c>
      <c r="F1927" s="20" t="s">
        <v>7464</v>
      </c>
      <c r="G1927" s="20" t="s">
        <v>7465</v>
      </c>
      <c r="H1927" s="20" t="s">
        <v>7466</v>
      </c>
      <c r="I1927" s="20" t="s">
        <v>357</v>
      </c>
      <c r="J1927" s="21">
        <v>2011</v>
      </c>
      <c r="K1927" s="20" t="s">
        <v>39</v>
      </c>
      <c r="L1927" s="21" t="s">
        <v>30</v>
      </c>
      <c r="M1927" s="21" t="s">
        <v>30</v>
      </c>
      <c r="N1927" s="20"/>
      <c r="O1927" s="20"/>
    </row>
    <row r="1928" spans="1:15" ht="13.5" customHeight="1" x14ac:dyDescent="0.25">
      <c r="A1928" s="1"/>
      <c r="B1928" s="22">
        <v>1916</v>
      </c>
      <c r="C1928" s="22">
        <v>2023</v>
      </c>
      <c r="D1928" s="22">
        <v>296</v>
      </c>
      <c r="E1928" s="22" t="s">
        <v>7467</v>
      </c>
      <c r="F1928" s="22" t="s">
        <v>7468</v>
      </c>
      <c r="G1928" s="22"/>
      <c r="H1928" s="22" t="s">
        <v>7469</v>
      </c>
      <c r="I1928" s="22" t="s">
        <v>23</v>
      </c>
      <c r="J1928" s="23">
        <v>2000</v>
      </c>
      <c r="K1928" s="22" t="s">
        <v>39</v>
      </c>
      <c r="L1928" s="23"/>
      <c r="M1928" s="23" t="s">
        <v>30</v>
      </c>
      <c r="N1928" s="22"/>
      <c r="O1928" s="22"/>
    </row>
    <row r="1929" spans="1:15" ht="13.5" customHeight="1" x14ac:dyDescent="0.25">
      <c r="A1929" s="1"/>
      <c r="B1929" s="20">
        <v>1917</v>
      </c>
      <c r="C1929" s="20">
        <v>2023</v>
      </c>
      <c r="D1929" s="20">
        <v>11587</v>
      </c>
      <c r="E1929" s="20" t="s">
        <v>7470</v>
      </c>
      <c r="F1929" s="20" t="s">
        <v>7471</v>
      </c>
      <c r="G1929" s="20" t="s">
        <v>7472</v>
      </c>
      <c r="H1929" s="20" t="s">
        <v>7473</v>
      </c>
      <c r="I1929" s="20" t="s">
        <v>23</v>
      </c>
      <c r="J1929" s="21">
        <v>2006</v>
      </c>
      <c r="K1929" s="20" t="s">
        <v>44</v>
      </c>
      <c r="L1929" s="21" t="s">
        <v>30</v>
      </c>
      <c r="M1929" s="21" t="s">
        <v>30</v>
      </c>
      <c r="N1929" s="20" t="s">
        <v>74</v>
      </c>
      <c r="O1929" s="20"/>
    </row>
    <row r="1930" spans="1:15" ht="13.5" customHeight="1" x14ac:dyDescent="0.25">
      <c r="A1930" s="1"/>
      <c r="B1930" s="22">
        <v>1918</v>
      </c>
      <c r="C1930" s="22">
        <v>2023</v>
      </c>
      <c r="D1930" s="22">
        <v>603</v>
      </c>
      <c r="E1930" s="22" t="s">
        <v>7474</v>
      </c>
      <c r="F1930" s="22" t="s">
        <v>7475</v>
      </c>
      <c r="G1930" s="22" t="s">
        <v>7476</v>
      </c>
      <c r="H1930" s="22" t="s">
        <v>7477</v>
      </c>
      <c r="I1930" s="22" t="s">
        <v>23</v>
      </c>
      <c r="J1930" s="23">
        <v>2000</v>
      </c>
      <c r="K1930" s="22" t="s">
        <v>95</v>
      </c>
      <c r="L1930" s="23" t="s">
        <v>30</v>
      </c>
      <c r="M1930" s="23" t="s">
        <v>30</v>
      </c>
      <c r="N1930" s="22"/>
      <c r="O1930" s="22"/>
    </row>
    <row r="1931" spans="1:15" ht="13.5" customHeight="1" x14ac:dyDescent="0.25">
      <c r="A1931" s="1"/>
      <c r="B1931" s="20">
        <v>1919</v>
      </c>
      <c r="C1931" s="20">
        <v>2023</v>
      </c>
      <c r="D1931" s="20">
        <v>11977</v>
      </c>
      <c r="E1931" s="20" t="s">
        <v>7478</v>
      </c>
      <c r="F1931" s="20" t="s">
        <v>7479</v>
      </c>
      <c r="G1931" s="20" t="s">
        <v>7480</v>
      </c>
      <c r="H1931" s="20" t="s">
        <v>7481</v>
      </c>
      <c r="I1931" s="20" t="s">
        <v>62</v>
      </c>
      <c r="J1931" s="21">
        <v>2007</v>
      </c>
      <c r="K1931" s="20" t="s">
        <v>67</v>
      </c>
      <c r="L1931" s="21" t="s">
        <v>30</v>
      </c>
      <c r="M1931" s="21" t="s">
        <v>30</v>
      </c>
      <c r="N1931" s="20" t="s">
        <v>74</v>
      </c>
      <c r="O1931" s="20"/>
    </row>
    <row r="1932" spans="1:15" ht="13.5" customHeight="1" x14ac:dyDescent="0.25">
      <c r="A1932" s="1"/>
      <c r="B1932" s="22">
        <v>1920</v>
      </c>
      <c r="C1932" s="22">
        <v>2023</v>
      </c>
      <c r="D1932" s="22">
        <v>11978</v>
      </c>
      <c r="E1932" s="22" t="s">
        <v>7482</v>
      </c>
      <c r="F1932" s="22" t="s">
        <v>7483</v>
      </c>
      <c r="G1932" s="22" t="s">
        <v>7484</v>
      </c>
      <c r="H1932" s="22" t="s">
        <v>7485</v>
      </c>
      <c r="I1932" s="22" t="s">
        <v>62</v>
      </c>
      <c r="J1932" s="23">
        <v>2007</v>
      </c>
      <c r="K1932" s="22" t="s">
        <v>34</v>
      </c>
      <c r="L1932" s="23" t="s">
        <v>30</v>
      </c>
      <c r="M1932" s="23" t="s">
        <v>30</v>
      </c>
      <c r="N1932" s="22" t="s">
        <v>74</v>
      </c>
      <c r="O1932" s="22"/>
    </row>
    <row r="1933" spans="1:15" ht="13.5" customHeight="1" x14ac:dyDescent="0.25">
      <c r="A1933" s="1"/>
      <c r="B1933" s="20">
        <v>1921</v>
      </c>
      <c r="C1933" s="20">
        <v>2023</v>
      </c>
      <c r="D1933" s="20">
        <v>11172</v>
      </c>
      <c r="E1933" s="20" t="s">
        <v>7486</v>
      </c>
      <c r="F1933" s="20" t="s">
        <v>7487</v>
      </c>
      <c r="G1933" s="20" t="s">
        <v>7488</v>
      </c>
      <c r="H1933" s="20" t="s">
        <v>7489</v>
      </c>
      <c r="I1933" s="20" t="s">
        <v>23</v>
      </c>
      <c r="J1933" s="21">
        <v>2000</v>
      </c>
      <c r="K1933" s="20" t="s">
        <v>24</v>
      </c>
      <c r="L1933" s="21" t="s">
        <v>30</v>
      </c>
      <c r="M1933" s="21" t="s">
        <v>30</v>
      </c>
      <c r="N1933" s="20"/>
      <c r="O1933" s="20"/>
    </row>
    <row r="1934" spans="1:15" ht="13.5" customHeight="1" x14ac:dyDescent="0.25">
      <c r="A1934" s="1"/>
      <c r="B1934" s="22">
        <v>1922</v>
      </c>
      <c r="C1934" s="22">
        <v>2023</v>
      </c>
      <c r="D1934" s="22">
        <v>11979</v>
      </c>
      <c r="E1934" s="22" t="s">
        <v>7490</v>
      </c>
      <c r="F1934" s="22" t="s">
        <v>7491</v>
      </c>
      <c r="G1934" s="22" t="s">
        <v>7492</v>
      </c>
      <c r="H1934" s="22" t="s">
        <v>7493</v>
      </c>
      <c r="I1934" s="22" t="s">
        <v>62</v>
      </c>
      <c r="J1934" s="23">
        <v>2007</v>
      </c>
      <c r="K1934" s="22" t="s">
        <v>67</v>
      </c>
      <c r="L1934" s="23" t="s">
        <v>30</v>
      </c>
      <c r="M1934" s="23" t="s">
        <v>30</v>
      </c>
      <c r="N1934" s="22" t="s">
        <v>74</v>
      </c>
      <c r="O1934" s="22"/>
    </row>
    <row r="1935" spans="1:15" ht="13.5" customHeight="1" x14ac:dyDescent="0.25">
      <c r="A1935" s="1"/>
      <c r="B1935" s="20">
        <v>1923</v>
      </c>
      <c r="C1935" s="20">
        <v>2023</v>
      </c>
      <c r="D1935" s="20">
        <v>11980</v>
      </c>
      <c r="E1935" s="20" t="s">
        <v>7494</v>
      </c>
      <c r="F1935" s="20" t="s">
        <v>7495</v>
      </c>
      <c r="G1935" s="20" t="s">
        <v>7496</v>
      </c>
      <c r="H1935" s="20" t="s">
        <v>7497</v>
      </c>
      <c r="I1935" s="20" t="s">
        <v>62</v>
      </c>
      <c r="J1935" s="21">
        <v>2007</v>
      </c>
      <c r="K1935" s="20" t="s">
        <v>67</v>
      </c>
      <c r="L1935" s="21" t="s">
        <v>30</v>
      </c>
      <c r="M1935" s="21" t="s">
        <v>30</v>
      </c>
      <c r="N1935" s="20" t="s">
        <v>74</v>
      </c>
      <c r="O1935" s="20"/>
    </row>
    <row r="1936" spans="1:15" ht="13.5" customHeight="1" x14ac:dyDescent="0.25">
      <c r="A1936" s="1"/>
      <c r="B1936" s="22">
        <v>1924</v>
      </c>
      <c r="C1936" s="22">
        <v>2023</v>
      </c>
      <c r="D1936" s="22">
        <v>11167</v>
      </c>
      <c r="E1936" s="22" t="s">
        <v>7498</v>
      </c>
      <c r="F1936" s="22" t="s">
        <v>7499</v>
      </c>
      <c r="G1936" s="22" t="s">
        <v>7500</v>
      </c>
      <c r="H1936" s="22" t="s">
        <v>7501</v>
      </c>
      <c r="I1936" s="22" t="s">
        <v>62</v>
      </c>
      <c r="J1936" s="23">
        <v>2001</v>
      </c>
      <c r="K1936" s="22" t="s">
        <v>24</v>
      </c>
      <c r="L1936" s="23" t="s">
        <v>30</v>
      </c>
      <c r="M1936" s="23" t="s">
        <v>30</v>
      </c>
      <c r="N1936" s="22"/>
      <c r="O1936" s="22"/>
    </row>
    <row r="1937" spans="1:15" ht="13.5" customHeight="1" x14ac:dyDescent="0.25">
      <c r="A1937" s="1"/>
      <c r="B1937" s="20">
        <v>1925</v>
      </c>
      <c r="C1937" s="20">
        <v>2023</v>
      </c>
      <c r="D1937" s="20">
        <v>13168</v>
      </c>
      <c r="E1937" s="20" t="s">
        <v>7502</v>
      </c>
      <c r="F1937" s="20" t="s">
        <v>7503</v>
      </c>
      <c r="G1937" s="20" t="s">
        <v>7504</v>
      </c>
      <c r="H1937" s="20" t="s">
        <v>7505</v>
      </c>
      <c r="I1937" s="20" t="s">
        <v>62</v>
      </c>
      <c r="J1937" s="21">
        <v>2010</v>
      </c>
      <c r="K1937" s="20" t="s">
        <v>34</v>
      </c>
      <c r="L1937" s="21" t="s">
        <v>30</v>
      </c>
      <c r="M1937" s="21" t="s">
        <v>30</v>
      </c>
      <c r="N1937" s="20" t="s">
        <v>1310</v>
      </c>
      <c r="O1937" s="20"/>
    </row>
    <row r="1938" spans="1:15" ht="13.5" customHeight="1" x14ac:dyDescent="0.25">
      <c r="A1938" s="1"/>
      <c r="B1938" s="22">
        <v>1926</v>
      </c>
      <c r="C1938" s="22">
        <v>2023</v>
      </c>
      <c r="D1938" s="22">
        <v>11171</v>
      </c>
      <c r="E1938" s="22" t="s">
        <v>7506</v>
      </c>
      <c r="F1938" s="22" t="s">
        <v>7507</v>
      </c>
      <c r="G1938" s="22" t="s">
        <v>7508</v>
      </c>
      <c r="H1938" s="22" t="s">
        <v>7509</v>
      </c>
      <c r="I1938" s="22" t="s">
        <v>62</v>
      </c>
      <c r="J1938" s="23">
        <v>2000</v>
      </c>
      <c r="K1938" s="22" t="s">
        <v>34</v>
      </c>
      <c r="L1938" s="23" t="s">
        <v>30</v>
      </c>
      <c r="M1938" s="23" t="s">
        <v>30</v>
      </c>
      <c r="N1938" s="22"/>
      <c r="O1938" s="22"/>
    </row>
    <row r="1939" spans="1:15" ht="13.5" customHeight="1" x14ac:dyDescent="0.25">
      <c r="A1939" s="1"/>
      <c r="B1939" s="20">
        <v>1927</v>
      </c>
      <c r="C1939" s="20">
        <v>2023</v>
      </c>
      <c r="D1939" s="20">
        <v>11173</v>
      </c>
      <c r="E1939" s="20" t="s">
        <v>7510</v>
      </c>
      <c r="F1939" s="20" t="s">
        <v>7511</v>
      </c>
      <c r="G1939" s="20" t="s">
        <v>7512</v>
      </c>
      <c r="H1939" s="20" t="s">
        <v>7513</v>
      </c>
      <c r="I1939" s="20" t="s">
        <v>62</v>
      </c>
      <c r="J1939" s="21">
        <v>2000</v>
      </c>
      <c r="K1939" s="20" t="s">
        <v>24</v>
      </c>
      <c r="L1939" s="21" t="s">
        <v>30</v>
      </c>
      <c r="M1939" s="21" t="s">
        <v>30</v>
      </c>
      <c r="N1939" s="20"/>
      <c r="O1939" s="20"/>
    </row>
    <row r="1940" spans="1:15" ht="13.5" customHeight="1" x14ac:dyDescent="0.25">
      <c r="A1940" s="1"/>
      <c r="B1940" s="22">
        <v>1928</v>
      </c>
      <c r="C1940" s="22">
        <v>2023</v>
      </c>
      <c r="D1940" s="22">
        <v>11174</v>
      </c>
      <c r="E1940" s="22" t="s">
        <v>7514</v>
      </c>
      <c r="F1940" s="22" t="s">
        <v>7515</v>
      </c>
      <c r="G1940" s="22" t="s">
        <v>7516</v>
      </c>
      <c r="H1940" s="22" t="s">
        <v>7517</v>
      </c>
      <c r="I1940" s="22" t="s">
        <v>62</v>
      </c>
      <c r="J1940" s="23">
        <v>2000</v>
      </c>
      <c r="K1940" s="22" t="s">
        <v>34</v>
      </c>
      <c r="L1940" s="23" t="s">
        <v>30</v>
      </c>
      <c r="M1940" s="23" t="s">
        <v>30</v>
      </c>
      <c r="N1940" s="22"/>
      <c r="O1940" s="22"/>
    </row>
    <row r="1941" spans="1:15" ht="13.5" customHeight="1" x14ac:dyDescent="0.25">
      <c r="A1941" s="1"/>
      <c r="B1941" s="20">
        <v>1929</v>
      </c>
      <c r="C1941" s="20">
        <v>2023</v>
      </c>
      <c r="D1941" s="20">
        <v>11184</v>
      </c>
      <c r="E1941" s="20" t="s">
        <v>7518</v>
      </c>
      <c r="F1941" s="20" t="s">
        <v>7519</v>
      </c>
      <c r="G1941" s="20" t="s">
        <v>7520</v>
      </c>
      <c r="H1941" s="20" t="s">
        <v>7521</v>
      </c>
      <c r="I1941" s="20" t="s">
        <v>62</v>
      </c>
      <c r="J1941" s="21">
        <v>2000</v>
      </c>
      <c r="K1941" s="20" t="s">
        <v>34</v>
      </c>
      <c r="L1941" s="21" t="s">
        <v>30</v>
      </c>
      <c r="M1941" s="21" t="s">
        <v>30</v>
      </c>
      <c r="N1941" s="20"/>
      <c r="O1941" s="20"/>
    </row>
    <row r="1942" spans="1:15" ht="13.5" customHeight="1" x14ac:dyDescent="0.25">
      <c r="A1942" s="1"/>
      <c r="B1942" s="22">
        <v>1930</v>
      </c>
      <c r="C1942" s="22">
        <v>2023</v>
      </c>
      <c r="D1942" s="22">
        <v>11175</v>
      </c>
      <c r="E1942" s="22" t="s">
        <v>7522</v>
      </c>
      <c r="F1942" s="22" t="s">
        <v>7523</v>
      </c>
      <c r="G1942" s="22" t="s">
        <v>7524</v>
      </c>
      <c r="H1942" s="22" t="s">
        <v>7525</v>
      </c>
      <c r="I1942" s="22" t="s">
        <v>62</v>
      </c>
      <c r="J1942" s="23">
        <v>2000</v>
      </c>
      <c r="K1942" s="22" t="s">
        <v>24</v>
      </c>
      <c r="L1942" s="23" t="s">
        <v>30</v>
      </c>
      <c r="M1942" s="23" t="s">
        <v>30</v>
      </c>
      <c r="N1942" s="22"/>
      <c r="O1942" s="22"/>
    </row>
    <row r="1943" spans="1:15" ht="13.5" customHeight="1" x14ac:dyDescent="0.25">
      <c r="A1943" s="1"/>
      <c r="B1943" s="20">
        <v>1931</v>
      </c>
      <c r="C1943" s="20">
        <v>2023</v>
      </c>
      <c r="D1943" s="20">
        <v>11176</v>
      </c>
      <c r="E1943" s="20" t="s">
        <v>7526</v>
      </c>
      <c r="F1943" s="20" t="s">
        <v>7527</v>
      </c>
      <c r="G1943" s="20" t="s">
        <v>7528</v>
      </c>
      <c r="H1943" s="20" t="s">
        <v>7529</v>
      </c>
      <c r="I1943" s="20" t="s">
        <v>62</v>
      </c>
      <c r="J1943" s="21">
        <v>2001</v>
      </c>
      <c r="K1943" s="20" t="s">
        <v>24</v>
      </c>
      <c r="L1943" s="21" t="s">
        <v>30</v>
      </c>
      <c r="M1943" s="21" t="s">
        <v>30</v>
      </c>
      <c r="N1943" s="20"/>
      <c r="O1943" s="20"/>
    </row>
    <row r="1944" spans="1:15" ht="13.5" customHeight="1" x14ac:dyDescent="0.25">
      <c r="A1944" s="1"/>
      <c r="B1944" s="22">
        <v>1932</v>
      </c>
      <c r="C1944" s="22">
        <v>2023</v>
      </c>
      <c r="D1944" s="22">
        <v>11177</v>
      </c>
      <c r="E1944" s="22" t="s">
        <v>7530</v>
      </c>
      <c r="F1944" s="22" t="s">
        <v>7531</v>
      </c>
      <c r="G1944" s="22" t="s">
        <v>7532</v>
      </c>
      <c r="H1944" s="22" t="s">
        <v>7533</v>
      </c>
      <c r="I1944" s="22" t="s">
        <v>62</v>
      </c>
      <c r="J1944" s="23">
        <v>2000</v>
      </c>
      <c r="K1944" s="22" t="s">
        <v>34</v>
      </c>
      <c r="L1944" s="23" t="s">
        <v>30</v>
      </c>
      <c r="M1944" s="23" t="s">
        <v>30</v>
      </c>
      <c r="N1944" s="22"/>
      <c r="O1944" s="22"/>
    </row>
    <row r="1945" spans="1:15" ht="13.5" customHeight="1" x14ac:dyDescent="0.25">
      <c r="A1945" s="1"/>
      <c r="B1945" s="20">
        <v>1933</v>
      </c>
      <c r="C1945" s="20">
        <v>2023</v>
      </c>
      <c r="D1945" s="20">
        <v>11502</v>
      </c>
      <c r="E1945" s="20" t="s">
        <v>7534</v>
      </c>
      <c r="F1945" s="20" t="s">
        <v>7535</v>
      </c>
      <c r="G1945" s="20" t="s">
        <v>7536</v>
      </c>
      <c r="H1945" s="20" t="s">
        <v>7537</v>
      </c>
      <c r="I1945" s="20" t="s">
        <v>62</v>
      </c>
      <c r="J1945" s="21">
        <v>2006</v>
      </c>
      <c r="K1945" s="20" t="s">
        <v>24</v>
      </c>
      <c r="L1945" s="21" t="s">
        <v>30</v>
      </c>
      <c r="M1945" s="21" t="s">
        <v>30</v>
      </c>
      <c r="N1945" s="20"/>
      <c r="O1945" s="20"/>
    </row>
    <row r="1946" spans="1:15" ht="13.5" customHeight="1" x14ac:dyDescent="0.25">
      <c r="A1946" s="1"/>
      <c r="B1946" s="22">
        <v>1934</v>
      </c>
      <c r="C1946" s="22">
        <v>2023</v>
      </c>
      <c r="D1946" s="22">
        <v>11179</v>
      </c>
      <c r="E1946" s="22" t="s">
        <v>7538</v>
      </c>
      <c r="F1946" s="22" t="s">
        <v>7539</v>
      </c>
      <c r="G1946" s="22" t="s">
        <v>7540</v>
      </c>
      <c r="H1946" s="22" t="s">
        <v>7541</v>
      </c>
      <c r="I1946" s="22" t="s">
        <v>62</v>
      </c>
      <c r="J1946" s="23">
        <v>2000</v>
      </c>
      <c r="K1946" s="22" t="s">
        <v>34</v>
      </c>
      <c r="L1946" s="23" t="s">
        <v>30</v>
      </c>
      <c r="M1946" s="23" t="s">
        <v>30</v>
      </c>
      <c r="N1946" s="22"/>
      <c r="O1946" s="22"/>
    </row>
    <row r="1947" spans="1:15" ht="13.5" customHeight="1" x14ac:dyDescent="0.25">
      <c r="A1947" s="1"/>
      <c r="B1947" s="20">
        <v>1935</v>
      </c>
      <c r="C1947" s="20">
        <v>2023</v>
      </c>
      <c r="D1947" s="20">
        <v>11503</v>
      </c>
      <c r="E1947" s="20" t="s">
        <v>7542</v>
      </c>
      <c r="F1947" s="20" t="s">
        <v>7543</v>
      </c>
      <c r="G1947" s="20" t="s">
        <v>7544</v>
      </c>
      <c r="H1947" s="20" t="s">
        <v>7545</v>
      </c>
      <c r="I1947" s="20" t="s">
        <v>62</v>
      </c>
      <c r="J1947" s="21">
        <v>2006</v>
      </c>
      <c r="K1947" s="20" t="s">
        <v>63</v>
      </c>
      <c r="L1947" s="21" t="s">
        <v>30</v>
      </c>
      <c r="M1947" s="21" t="s">
        <v>30</v>
      </c>
      <c r="N1947" s="20"/>
      <c r="O1947" s="20"/>
    </row>
    <row r="1948" spans="1:15" ht="13.5" customHeight="1" x14ac:dyDescent="0.25">
      <c r="A1948" s="1"/>
      <c r="B1948" s="22">
        <v>1936</v>
      </c>
      <c r="C1948" s="22">
        <v>2023</v>
      </c>
      <c r="D1948" s="22">
        <v>11181</v>
      </c>
      <c r="E1948" s="22" t="s">
        <v>7546</v>
      </c>
      <c r="F1948" s="22" t="s">
        <v>7547</v>
      </c>
      <c r="G1948" s="22" t="s">
        <v>7548</v>
      </c>
      <c r="H1948" s="22" t="s">
        <v>7549</v>
      </c>
      <c r="I1948" s="22" t="s">
        <v>62</v>
      </c>
      <c r="J1948" s="23">
        <v>2000</v>
      </c>
      <c r="K1948" s="22" t="s">
        <v>24</v>
      </c>
      <c r="L1948" s="23" t="s">
        <v>30</v>
      </c>
      <c r="M1948" s="23" t="s">
        <v>30</v>
      </c>
      <c r="N1948" s="22"/>
      <c r="O1948" s="22"/>
    </row>
    <row r="1949" spans="1:15" ht="13.5" customHeight="1" x14ac:dyDescent="0.25">
      <c r="A1949" s="1"/>
      <c r="B1949" s="20">
        <v>1937</v>
      </c>
      <c r="C1949" s="20">
        <v>2023</v>
      </c>
      <c r="D1949" s="20">
        <v>11981</v>
      </c>
      <c r="E1949" s="20" t="s">
        <v>7550</v>
      </c>
      <c r="F1949" s="20" t="s">
        <v>7551</v>
      </c>
      <c r="G1949" s="20" t="s">
        <v>7552</v>
      </c>
      <c r="H1949" s="20" t="s">
        <v>7553</v>
      </c>
      <c r="I1949" s="20" t="s">
        <v>62</v>
      </c>
      <c r="J1949" s="21">
        <v>2007</v>
      </c>
      <c r="K1949" s="20" t="s">
        <v>24</v>
      </c>
      <c r="L1949" s="21" t="s">
        <v>30</v>
      </c>
      <c r="M1949" s="21" t="s">
        <v>30</v>
      </c>
      <c r="N1949" s="20" t="s">
        <v>74</v>
      </c>
      <c r="O1949" s="20"/>
    </row>
    <row r="1950" spans="1:15" ht="13.5" customHeight="1" x14ac:dyDescent="0.25">
      <c r="A1950" s="1"/>
      <c r="B1950" s="22">
        <v>1938</v>
      </c>
      <c r="C1950" s="22">
        <v>2023</v>
      </c>
      <c r="D1950" s="22">
        <v>11178</v>
      </c>
      <c r="E1950" s="22" t="s">
        <v>7554</v>
      </c>
      <c r="F1950" s="22" t="s">
        <v>7555</v>
      </c>
      <c r="G1950" s="22" t="s">
        <v>7556</v>
      </c>
      <c r="H1950" s="22" t="s">
        <v>7557</v>
      </c>
      <c r="I1950" s="22" t="s">
        <v>62</v>
      </c>
      <c r="J1950" s="23">
        <v>2001</v>
      </c>
      <c r="K1950" s="22" t="s">
        <v>24</v>
      </c>
      <c r="L1950" s="23" t="s">
        <v>30</v>
      </c>
      <c r="M1950" s="23" t="s">
        <v>30</v>
      </c>
      <c r="N1950" s="22"/>
      <c r="O1950" s="22"/>
    </row>
    <row r="1951" spans="1:15" ht="13.5" customHeight="1" x14ac:dyDescent="0.25">
      <c r="A1951" s="1"/>
      <c r="B1951" s="20">
        <v>1939</v>
      </c>
      <c r="C1951" s="20">
        <v>2023</v>
      </c>
      <c r="D1951" s="20">
        <v>11720</v>
      </c>
      <c r="E1951" s="20" t="s">
        <v>7558</v>
      </c>
      <c r="F1951" s="20" t="s">
        <v>7559</v>
      </c>
      <c r="G1951" s="20" t="s">
        <v>7560</v>
      </c>
      <c r="H1951" s="20" t="s">
        <v>7561</v>
      </c>
      <c r="I1951" s="20" t="s">
        <v>62</v>
      </c>
      <c r="J1951" s="21">
        <v>2007</v>
      </c>
      <c r="K1951" s="20" t="s">
        <v>95</v>
      </c>
      <c r="L1951" s="21" t="s">
        <v>30</v>
      </c>
      <c r="M1951" s="21" t="s">
        <v>30</v>
      </c>
      <c r="N1951" s="20" t="s">
        <v>245</v>
      </c>
      <c r="O1951" s="20"/>
    </row>
    <row r="1952" spans="1:15" ht="13.5" customHeight="1" x14ac:dyDescent="0.25">
      <c r="A1952" s="1"/>
      <c r="B1952" s="22">
        <v>1940</v>
      </c>
      <c r="C1952" s="22">
        <v>2023</v>
      </c>
      <c r="D1952" s="22">
        <v>11504</v>
      </c>
      <c r="E1952" s="22" t="s">
        <v>7562</v>
      </c>
      <c r="F1952" s="22" t="s">
        <v>7563</v>
      </c>
      <c r="G1952" s="22" t="s">
        <v>7564</v>
      </c>
      <c r="H1952" s="22" t="s">
        <v>7565</v>
      </c>
      <c r="I1952" s="22" t="s">
        <v>62</v>
      </c>
      <c r="J1952" s="23">
        <v>2006</v>
      </c>
      <c r="K1952" s="22" t="s">
        <v>24</v>
      </c>
      <c r="L1952" s="23" t="s">
        <v>30</v>
      </c>
      <c r="M1952" s="23" t="s">
        <v>30</v>
      </c>
      <c r="N1952" s="22"/>
      <c r="O1952" s="22"/>
    </row>
    <row r="1953" spans="1:15" ht="13.5" customHeight="1" x14ac:dyDescent="0.25">
      <c r="A1953" s="1"/>
      <c r="B1953" s="20">
        <v>1941</v>
      </c>
      <c r="C1953" s="20">
        <v>2023</v>
      </c>
      <c r="D1953" s="20">
        <v>11826</v>
      </c>
      <c r="E1953" s="20" t="s">
        <v>7566</v>
      </c>
      <c r="F1953" s="20" t="s">
        <v>7567</v>
      </c>
      <c r="G1953" s="20" t="s">
        <v>7568</v>
      </c>
      <c r="H1953" s="20" t="s">
        <v>7569</v>
      </c>
      <c r="I1953" s="20" t="s">
        <v>62</v>
      </c>
      <c r="J1953" s="21">
        <v>2007</v>
      </c>
      <c r="K1953" s="20" t="s">
        <v>24</v>
      </c>
      <c r="L1953" s="21" t="s">
        <v>30</v>
      </c>
      <c r="M1953" s="21" t="s">
        <v>30</v>
      </c>
      <c r="N1953" s="20" t="s">
        <v>245</v>
      </c>
      <c r="O1953" s="20"/>
    </row>
    <row r="1954" spans="1:15" ht="13.5" customHeight="1" x14ac:dyDescent="0.25">
      <c r="A1954" s="1"/>
      <c r="B1954" s="22">
        <v>1942</v>
      </c>
      <c r="C1954" s="22">
        <v>2023</v>
      </c>
      <c r="D1954" s="22">
        <v>11183</v>
      </c>
      <c r="E1954" s="22" t="s">
        <v>7570</v>
      </c>
      <c r="F1954" s="22" t="s">
        <v>7571</v>
      </c>
      <c r="G1954" s="22" t="s">
        <v>7572</v>
      </c>
      <c r="H1954" s="22" t="s">
        <v>7573</v>
      </c>
      <c r="I1954" s="22" t="s">
        <v>62</v>
      </c>
      <c r="J1954" s="23">
        <v>2000</v>
      </c>
      <c r="K1954" s="22" t="s">
        <v>34</v>
      </c>
      <c r="L1954" s="23" t="s">
        <v>30</v>
      </c>
      <c r="M1954" s="23" t="s">
        <v>30</v>
      </c>
      <c r="N1954" s="22"/>
      <c r="O1954" s="22"/>
    </row>
    <row r="1955" spans="1:15" ht="13.5" customHeight="1" x14ac:dyDescent="0.25">
      <c r="A1955" s="1"/>
      <c r="B1955" s="20">
        <v>1943</v>
      </c>
      <c r="C1955" s="20">
        <v>2023</v>
      </c>
      <c r="D1955" s="20">
        <v>11185</v>
      </c>
      <c r="E1955" s="20" t="s">
        <v>7574</v>
      </c>
      <c r="F1955" s="20" t="s">
        <v>7575</v>
      </c>
      <c r="G1955" s="20" t="s">
        <v>7576</v>
      </c>
      <c r="H1955" s="20" t="s">
        <v>7577</v>
      </c>
      <c r="I1955" s="20" t="s">
        <v>23</v>
      </c>
      <c r="J1955" s="21">
        <v>2000</v>
      </c>
      <c r="K1955" s="20" t="s">
        <v>184</v>
      </c>
      <c r="L1955" s="21" t="s">
        <v>30</v>
      </c>
      <c r="M1955" s="21" t="s">
        <v>30</v>
      </c>
      <c r="N1955" s="20"/>
      <c r="O1955" s="20"/>
    </row>
    <row r="1956" spans="1:15" ht="13.5" customHeight="1" x14ac:dyDescent="0.25">
      <c r="A1956" s="1"/>
      <c r="B1956" s="22">
        <v>1944</v>
      </c>
      <c r="C1956" s="22">
        <v>2023</v>
      </c>
      <c r="D1956" s="22">
        <v>11982</v>
      </c>
      <c r="E1956" s="22" t="s">
        <v>7578</v>
      </c>
      <c r="F1956" s="22" t="s">
        <v>7579</v>
      </c>
      <c r="G1956" s="22" t="s">
        <v>7580</v>
      </c>
      <c r="H1956" s="22" t="s">
        <v>7581</v>
      </c>
      <c r="I1956" s="22" t="s">
        <v>62</v>
      </c>
      <c r="J1956" s="23">
        <v>2007</v>
      </c>
      <c r="K1956" s="22" t="s">
        <v>44</v>
      </c>
      <c r="L1956" s="23" t="s">
        <v>30</v>
      </c>
      <c r="M1956" s="23" t="s">
        <v>30</v>
      </c>
      <c r="N1956" s="22" t="s">
        <v>74</v>
      </c>
      <c r="O1956" s="22"/>
    </row>
    <row r="1957" spans="1:15" ht="13.5" customHeight="1" x14ac:dyDescent="0.25">
      <c r="A1957" s="1"/>
      <c r="B1957" s="20">
        <v>1945</v>
      </c>
      <c r="C1957" s="20">
        <v>2023</v>
      </c>
      <c r="D1957" s="20">
        <v>11505</v>
      </c>
      <c r="E1957" s="20" t="s">
        <v>7582</v>
      </c>
      <c r="F1957" s="20" t="s">
        <v>7583</v>
      </c>
      <c r="G1957" s="20" t="s">
        <v>7584</v>
      </c>
      <c r="H1957" s="20" t="s">
        <v>7585</v>
      </c>
      <c r="I1957" s="20" t="s">
        <v>62</v>
      </c>
      <c r="J1957" s="21">
        <v>2006</v>
      </c>
      <c r="K1957" s="20" t="s">
        <v>24</v>
      </c>
      <c r="L1957" s="21" t="s">
        <v>30</v>
      </c>
      <c r="M1957" s="21" t="s">
        <v>30</v>
      </c>
      <c r="N1957" s="20"/>
      <c r="O1957" s="20"/>
    </row>
    <row r="1958" spans="1:15" ht="13.5" customHeight="1" x14ac:dyDescent="0.25">
      <c r="A1958" s="1"/>
      <c r="B1958" s="22">
        <v>1946</v>
      </c>
      <c r="C1958" s="22">
        <v>2023</v>
      </c>
      <c r="D1958" s="22">
        <v>11983</v>
      </c>
      <c r="E1958" s="22" t="s">
        <v>7586</v>
      </c>
      <c r="F1958" s="22" t="s">
        <v>7587</v>
      </c>
      <c r="G1958" s="22" t="s">
        <v>7588</v>
      </c>
      <c r="H1958" s="22" t="s">
        <v>7589</v>
      </c>
      <c r="I1958" s="22" t="s">
        <v>62</v>
      </c>
      <c r="J1958" s="23">
        <v>2007</v>
      </c>
      <c r="K1958" s="22" t="s">
        <v>95</v>
      </c>
      <c r="L1958" s="23" t="s">
        <v>30</v>
      </c>
      <c r="M1958" s="23" t="s">
        <v>30</v>
      </c>
      <c r="N1958" s="22" t="s">
        <v>74</v>
      </c>
      <c r="O1958" s="22"/>
    </row>
    <row r="1959" spans="1:15" ht="13.5" customHeight="1" x14ac:dyDescent="0.25">
      <c r="A1959" s="1"/>
      <c r="B1959" s="20">
        <v>1947</v>
      </c>
      <c r="C1959" s="20">
        <v>2023</v>
      </c>
      <c r="D1959" s="20">
        <v>11180</v>
      </c>
      <c r="E1959" s="20" t="s">
        <v>7590</v>
      </c>
      <c r="F1959" s="20" t="s">
        <v>7591</v>
      </c>
      <c r="G1959" s="20" t="s">
        <v>7592</v>
      </c>
      <c r="H1959" s="20" t="s">
        <v>7593</v>
      </c>
      <c r="I1959" s="20" t="s">
        <v>62</v>
      </c>
      <c r="J1959" s="21">
        <v>2000</v>
      </c>
      <c r="K1959" s="20" t="s">
        <v>67</v>
      </c>
      <c r="L1959" s="21" t="s">
        <v>30</v>
      </c>
      <c r="M1959" s="21" t="s">
        <v>30</v>
      </c>
      <c r="N1959" s="20"/>
      <c r="O1959" s="20"/>
    </row>
    <row r="1960" spans="1:15" ht="13.5" customHeight="1" x14ac:dyDescent="0.25">
      <c r="A1960" s="1"/>
      <c r="B1960" s="22">
        <v>1948</v>
      </c>
      <c r="C1960" s="22">
        <v>2023</v>
      </c>
      <c r="D1960" s="22">
        <v>11182</v>
      </c>
      <c r="E1960" s="22" t="s">
        <v>7594</v>
      </c>
      <c r="F1960" s="22" t="s">
        <v>7595</v>
      </c>
      <c r="G1960" s="22" t="s">
        <v>7596</v>
      </c>
      <c r="H1960" s="22" t="s">
        <v>7597</v>
      </c>
      <c r="I1960" s="22" t="s">
        <v>23</v>
      </c>
      <c r="J1960" s="23">
        <v>2000</v>
      </c>
      <c r="K1960" s="22" t="s">
        <v>63</v>
      </c>
      <c r="L1960" s="23" t="s">
        <v>30</v>
      </c>
      <c r="M1960" s="23" t="s">
        <v>30</v>
      </c>
      <c r="N1960" s="22"/>
      <c r="O1960" s="22"/>
    </row>
    <row r="1961" spans="1:15" ht="13.5" customHeight="1" x14ac:dyDescent="0.25">
      <c r="A1961" s="1"/>
      <c r="B1961" s="20">
        <v>1949</v>
      </c>
      <c r="C1961" s="20">
        <v>2023</v>
      </c>
      <c r="D1961" s="20">
        <v>12046</v>
      </c>
      <c r="E1961" s="20" t="s">
        <v>7598</v>
      </c>
      <c r="F1961" s="20" t="s">
        <v>7599</v>
      </c>
      <c r="G1961" s="20"/>
      <c r="H1961" s="20" t="s">
        <v>7600</v>
      </c>
      <c r="I1961" s="20" t="s">
        <v>23</v>
      </c>
      <c r="J1961" s="21">
        <v>2000</v>
      </c>
      <c r="K1961" s="20" t="s">
        <v>67</v>
      </c>
      <c r="L1961" s="21"/>
      <c r="M1961" s="21" t="s">
        <v>30</v>
      </c>
      <c r="N1961" s="20" t="s">
        <v>245</v>
      </c>
      <c r="O1961" s="20"/>
    </row>
    <row r="1962" spans="1:15" ht="13.5" customHeight="1" x14ac:dyDescent="0.25">
      <c r="A1962" s="1"/>
      <c r="B1962" s="22">
        <v>1950</v>
      </c>
      <c r="C1962" s="22">
        <v>2023</v>
      </c>
      <c r="D1962" s="22">
        <v>42797</v>
      </c>
      <c r="E1962" s="22" t="s">
        <v>7601</v>
      </c>
      <c r="F1962" s="22" t="s">
        <v>7602</v>
      </c>
      <c r="G1962" s="22" t="s">
        <v>7603</v>
      </c>
      <c r="H1962" s="22" t="s">
        <v>7604</v>
      </c>
      <c r="I1962" s="22" t="s">
        <v>23</v>
      </c>
      <c r="J1962" s="23">
        <v>2019</v>
      </c>
      <c r="K1962" s="22" t="s">
        <v>95</v>
      </c>
      <c r="L1962" s="23" t="s">
        <v>30</v>
      </c>
      <c r="M1962" s="23"/>
      <c r="N1962" s="22" t="s">
        <v>218</v>
      </c>
      <c r="O1962" s="22"/>
    </row>
    <row r="1963" spans="1:15" ht="13.5" customHeight="1" x14ac:dyDescent="0.25">
      <c r="A1963" s="1"/>
      <c r="B1963" s="20">
        <v>1951</v>
      </c>
      <c r="C1963" s="20">
        <v>2023</v>
      </c>
      <c r="D1963" s="20">
        <v>13572</v>
      </c>
      <c r="E1963" s="20" t="s">
        <v>7605</v>
      </c>
      <c r="F1963" s="20"/>
      <c r="G1963" s="20"/>
      <c r="H1963" s="20" t="s">
        <v>7606</v>
      </c>
      <c r="I1963" s="20" t="s">
        <v>23</v>
      </c>
      <c r="J1963" s="21">
        <v>2010</v>
      </c>
      <c r="K1963" s="20" t="s">
        <v>44</v>
      </c>
      <c r="L1963" s="21"/>
      <c r="M1963" s="21"/>
      <c r="N1963" s="20" t="s">
        <v>173</v>
      </c>
      <c r="O1963" s="20"/>
    </row>
    <row r="1964" spans="1:15" ht="13.5" customHeight="1" x14ac:dyDescent="0.25">
      <c r="A1964" s="1"/>
      <c r="B1964" s="22">
        <v>1952</v>
      </c>
      <c r="C1964" s="22">
        <v>2023</v>
      </c>
      <c r="D1964" s="22">
        <v>40863</v>
      </c>
      <c r="E1964" s="22" t="s">
        <v>7607</v>
      </c>
      <c r="F1964" s="22" t="s">
        <v>7608</v>
      </c>
      <c r="G1964" s="22" t="s">
        <v>7609</v>
      </c>
      <c r="H1964" s="22" t="s">
        <v>7610</v>
      </c>
      <c r="I1964" s="22" t="s">
        <v>23</v>
      </c>
      <c r="J1964" s="23">
        <v>2015</v>
      </c>
      <c r="K1964" s="22" t="s">
        <v>44</v>
      </c>
      <c r="L1964" s="23" t="s">
        <v>30</v>
      </c>
      <c r="M1964" s="23"/>
      <c r="N1964" s="22" t="s">
        <v>68</v>
      </c>
      <c r="O1964" s="22"/>
    </row>
    <row r="1965" spans="1:15" ht="13.5" customHeight="1" x14ac:dyDescent="0.25">
      <c r="A1965" s="1"/>
      <c r="B1965" s="20">
        <v>1953</v>
      </c>
      <c r="C1965" s="20">
        <v>2023</v>
      </c>
      <c r="D1965" s="20">
        <v>940</v>
      </c>
      <c r="E1965" s="20" t="s">
        <v>7611</v>
      </c>
      <c r="F1965" s="20" t="s">
        <v>7612</v>
      </c>
      <c r="G1965" s="20" t="s">
        <v>7613</v>
      </c>
      <c r="H1965" s="20" t="s">
        <v>7614</v>
      </c>
      <c r="I1965" s="20" t="s">
        <v>357</v>
      </c>
      <c r="J1965" s="21">
        <v>2015</v>
      </c>
      <c r="K1965" s="20" t="s">
        <v>39</v>
      </c>
      <c r="L1965" s="21" t="s">
        <v>30</v>
      </c>
      <c r="M1965" s="21"/>
      <c r="N1965" s="20"/>
      <c r="O1965" s="20"/>
    </row>
    <row r="1966" spans="1:15" ht="13.5" customHeight="1" x14ac:dyDescent="0.25">
      <c r="A1966" s="1"/>
      <c r="B1966" s="22">
        <v>1954</v>
      </c>
      <c r="C1966" s="22">
        <v>2023</v>
      </c>
      <c r="D1966" s="22">
        <v>12310</v>
      </c>
      <c r="E1966" s="22" t="s">
        <v>7615</v>
      </c>
      <c r="F1966" s="22" t="s">
        <v>7616</v>
      </c>
      <c r="G1966" s="22" t="s">
        <v>7617</v>
      </c>
      <c r="H1966" s="22" t="s">
        <v>7618</v>
      </c>
      <c r="I1966" s="22" t="s">
        <v>23</v>
      </c>
      <c r="J1966" s="23">
        <v>2009</v>
      </c>
      <c r="K1966" s="22" t="s">
        <v>203</v>
      </c>
      <c r="L1966" s="23" t="s">
        <v>30</v>
      </c>
      <c r="M1966" s="23" t="s">
        <v>30</v>
      </c>
      <c r="N1966" s="22" t="s">
        <v>1103</v>
      </c>
      <c r="O1966" s="22"/>
    </row>
    <row r="1967" spans="1:15" ht="13.5" customHeight="1" x14ac:dyDescent="0.25">
      <c r="A1967" s="1"/>
      <c r="B1967" s="20">
        <v>1955</v>
      </c>
      <c r="C1967" s="20">
        <v>2023</v>
      </c>
      <c r="D1967" s="20">
        <v>43472</v>
      </c>
      <c r="E1967" s="20" t="s">
        <v>7619</v>
      </c>
      <c r="F1967" s="20" t="s">
        <v>7620</v>
      </c>
      <c r="G1967" s="20" t="s">
        <v>7621</v>
      </c>
      <c r="H1967" s="20" t="s">
        <v>7622</v>
      </c>
      <c r="I1967" s="20" t="s">
        <v>357</v>
      </c>
      <c r="J1967" s="21">
        <v>2020</v>
      </c>
      <c r="K1967" s="20" t="s">
        <v>39</v>
      </c>
      <c r="L1967" s="21" t="s">
        <v>30</v>
      </c>
      <c r="M1967" s="21"/>
      <c r="N1967" s="20" t="s">
        <v>48</v>
      </c>
      <c r="O1967" s="20"/>
    </row>
    <row r="1968" spans="1:15" ht="13.5" customHeight="1" x14ac:dyDescent="0.25">
      <c r="A1968" s="1"/>
      <c r="B1968" s="22">
        <v>1956</v>
      </c>
      <c r="C1968" s="22">
        <v>2023</v>
      </c>
      <c r="D1968" s="22">
        <v>11191</v>
      </c>
      <c r="E1968" s="22" t="s">
        <v>7623</v>
      </c>
      <c r="F1968" s="22" t="s">
        <v>7624</v>
      </c>
      <c r="G1968" s="22" t="s">
        <v>7625</v>
      </c>
      <c r="H1968" s="22" t="s">
        <v>7626</v>
      </c>
      <c r="I1968" s="22" t="s">
        <v>23</v>
      </c>
      <c r="J1968" s="23">
        <v>2000</v>
      </c>
      <c r="K1968" s="22" t="s">
        <v>73</v>
      </c>
      <c r="L1968" s="23" t="s">
        <v>30</v>
      </c>
      <c r="M1968" s="23" t="s">
        <v>30</v>
      </c>
      <c r="N1968" s="22"/>
      <c r="O1968" s="22"/>
    </row>
    <row r="1969" spans="1:15" ht="13.5" customHeight="1" x14ac:dyDescent="0.25">
      <c r="A1969" s="1"/>
      <c r="B1969" s="20">
        <v>1957</v>
      </c>
      <c r="C1969" s="20">
        <v>2023</v>
      </c>
      <c r="D1969" s="20">
        <v>11948</v>
      </c>
      <c r="E1969" s="20" t="s">
        <v>7627</v>
      </c>
      <c r="F1969" s="20" t="s">
        <v>7628</v>
      </c>
      <c r="G1969" s="20" t="s">
        <v>7629</v>
      </c>
      <c r="H1969" s="20" t="s">
        <v>7630</v>
      </c>
      <c r="I1969" s="20" t="s">
        <v>23</v>
      </c>
      <c r="J1969" s="21">
        <v>2000</v>
      </c>
      <c r="K1969" s="20" t="s">
        <v>73</v>
      </c>
      <c r="L1969" s="21" t="s">
        <v>30</v>
      </c>
      <c r="M1969" s="21" t="s">
        <v>30</v>
      </c>
      <c r="N1969" s="20" t="s">
        <v>74</v>
      </c>
      <c r="O1969" s="20"/>
    </row>
    <row r="1970" spans="1:15" ht="13.5" customHeight="1" x14ac:dyDescent="0.25">
      <c r="A1970" s="1"/>
      <c r="B1970" s="22">
        <v>1958</v>
      </c>
      <c r="C1970" s="22">
        <v>2023</v>
      </c>
      <c r="D1970" s="22">
        <v>11426</v>
      </c>
      <c r="E1970" s="22" t="s">
        <v>7631</v>
      </c>
      <c r="F1970" s="22" t="s">
        <v>7632</v>
      </c>
      <c r="G1970" s="22" t="s">
        <v>7633</v>
      </c>
      <c r="H1970" s="22" t="s">
        <v>7634</v>
      </c>
      <c r="I1970" s="22" t="s">
        <v>7635</v>
      </c>
      <c r="J1970" s="23">
        <v>2000</v>
      </c>
      <c r="K1970" s="22" t="s">
        <v>24</v>
      </c>
      <c r="L1970" s="23" t="s">
        <v>30</v>
      </c>
      <c r="M1970" s="23" t="s">
        <v>30</v>
      </c>
      <c r="N1970" s="22"/>
      <c r="O1970" s="22"/>
    </row>
    <row r="1971" spans="1:15" ht="13.5" customHeight="1" x14ac:dyDescent="0.25">
      <c r="A1971" s="1"/>
      <c r="B1971" s="20">
        <v>1959</v>
      </c>
      <c r="C1971" s="20">
        <v>2023</v>
      </c>
      <c r="D1971" s="20">
        <v>11430</v>
      </c>
      <c r="E1971" s="20" t="s">
        <v>7636</v>
      </c>
      <c r="F1971" s="20" t="s">
        <v>7637</v>
      </c>
      <c r="G1971" s="20" t="s">
        <v>7638</v>
      </c>
      <c r="H1971" s="20" t="s">
        <v>7639</v>
      </c>
      <c r="I1971" s="20" t="s">
        <v>7635</v>
      </c>
      <c r="J1971" s="21">
        <v>2000</v>
      </c>
      <c r="K1971" s="20" t="s">
        <v>95</v>
      </c>
      <c r="L1971" s="21" t="s">
        <v>30</v>
      </c>
      <c r="M1971" s="21" t="s">
        <v>30</v>
      </c>
      <c r="N1971" s="20"/>
      <c r="O1971" s="20"/>
    </row>
    <row r="1972" spans="1:15" ht="13.5" customHeight="1" x14ac:dyDescent="0.25">
      <c r="A1972" s="1"/>
      <c r="B1972" s="22">
        <v>1960</v>
      </c>
      <c r="C1972" s="22">
        <v>2023</v>
      </c>
      <c r="D1972" s="22">
        <v>11432</v>
      </c>
      <c r="E1972" s="22" t="s">
        <v>7640</v>
      </c>
      <c r="F1972" s="22" t="s">
        <v>7641</v>
      </c>
      <c r="G1972" s="22" t="s">
        <v>7642</v>
      </c>
      <c r="H1972" s="22" t="s">
        <v>7643</v>
      </c>
      <c r="I1972" s="22" t="s">
        <v>7635</v>
      </c>
      <c r="J1972" s="23">
        <v>2001</v>
      </c>
      <c r="K1972" s="22" t="s">
        <v>114</v>
      </c>
      <c r="L1972" s="23" t="s">
        <v>30</v>
      </c>
      <c r="M1972" s="23" t="s">
        <v>30</v>
      </c>
      <c r="N1972" s="22"/>
      <c r="O1972" s="22"/>
    </row>
    <row r="1973" spans="1:15" ht="13.5" customHeight="1" x14ac:dyDescent="0.25">
      <c r="A1973" s="1"/>
      <c r="B1973" s="20">
        <v>1961</v>
      </c>
      <c r="C1973" s="20">
        <v>2023</v>
      </c>
      <c r="D1973" s="20">
        <v>11427</v>
      </c>
      <c r="E1973" s="20" t="s">
        <v>7644</v>
      </c>
      <c r="F1973" s="20" t="s">
        <v>7645</v>
      </c>
      <c r="G1973" s="20" t="s">
        <v>7646</v>
      </c>
      <c r="H1973" s="20" t="s">
        <v>7647</v>
      </c>
      <c r="I1973" s="20" t="s">
        <v>7635</v>
      </c>
      <c r="J1973" s="21">
        <v>2000</v>
      </c>
      <c r="K1973" s="20" t="s">
        <v>34</v>
      </c>
      <c r="L1973" s="21" t="s">
        <v>30</v>
      </c>
      <c r="M1973" s="21"/>
      <c r="N1973" s="20"/>
      <c r="O1973" s="20"/>
    </row>
    <row r="1974" spans="1:15" ht="13.5" customHeight="1" x14ac:dyDescent="0.25">
      <c r="A1974" s="1"/>
      <c r="B1974" s="22">
        <v>1962</v>
      </c>
      <c r="C1974" s="22">
        <v>2023</v>
      </c>
      <c r="D1974" s="22">
        <v>40843</v>
      </c>
      <c r="E1974" s="22" t="s">
        <v>7648</v>
      </c>
      <c r="F1974" s="22" t="s">
        <v>7649</v>
      </c>
      <c r="G1974" s="22" t="s">
        <v>7650</v>
      </c>
      <c r="H1974" s="22" t="s">
        <v>7651</v>
      </c>
      <c r="I1974" s="22" t="s">
        <v>7635</v>
      </c>
      <c r="J1974" s="23">
        <v>2014</v>
      </c>
      <c r="K1974" s="22" t="s">
        <v>24</v>
      </c>
      <c r="L1974" s="23" t="s">
        <v>30</v>
      </c>
      <c r="M1974" s="23"/>
      <c r="N1974" s="22" t="s">
        <v>381</v>
      </c>
      <c r="O1974" s="22"/>
    </row>
    <row r="1975" spans="1:15" ht="13.5" customHeight="1" x14ac:dyDescent="0.25">
      <c r="A1975" s="1"/>
      <c r="B1975" s="20">
        <v>1963</v>
      </c>
      <c r="C1975" s="20">
        <v>2023</v>
      </c>
      <c r="D1975" s="20">
        <v>11425</v>
      </c>
      <c r="E1975" s="20" t="s">
        <v>7652</v>
      </c>
      <c r="F1975" s="20" t="s">
        <v>7653</v>
      </c>
      <c r="G1975" s="20" t="s">
        <v>7654</v>
      </c>
      <c r="H1975" s="20" t="s">
        <v>7655</v>
      </c>
      <c r="I1975" s="20" t="s">
        <v>7635</v>
      </c>
      <c r="J1975" s="21">
        <v>2000</v>
      </c>
      <c r="K1975" s="20" t="s">
        <v>44</v>
      </c>
      <c r="L1975" s="21" t="s">
        <v>30</v>
      </c>
      <c r="M1975" s="21" t="s">
        <v>30</v>
      </c>
      <c r="N1975" s="20"/>
      <c r="O1975" s="20"/>
    </row>
    <row r="1976" spans="1:15" ht="13.5" customHeight="1" x14ac:dyDescent="0.25">
      <c r="A1976" s="1"/>
      <c r="B1976" s="22">
        <v>1964</v>
      </c>
      <c r="C1976" s="22">
        <v>2023</v>
      </c>
      <c r="D1976" s="22">
        <v>11433</v>
      </c>
      <c r="E1976" s="22" t="s">
        <v>7656</v>
      </c>
      <c r="F1976" s="22" t="s">
        <v>7657</v>
      </c>
      <c r="G1976" s="22" t="s">
        <v>7658</v>
      </c>
      <c r="H1976" s="22" t="s">
        <v>7659</v>
      </c>
      <c r="I1976" s="22" t="s">
        <v>7635</v>
      </c>
      <c r="J1976" s="23">
        <v>2003</v>
      </c>
      <c r="K1976" s="22" t="s">
        <v>63</v>
      </c>
      <c r="L1976" s="23" t="s">
        <v>30</v>
      </c>
      <c r="M1976" s="23" t="s">
        <v>30</v>
      </c>
      <c r="N1976" s="22"/>
      <c r="O1976" s="22"/>
    </row>
    <row r="1977" spans="1:15" ht="13.5" customHeight="1" x14ac:dyDescent="0.25">
      <c r="A1977" s="1"/>
      <c r="B1977" s="20">
        <v>1965</v>
      </c>
      <c r="C1977" s="20">
        <v>2023</v>
      </c>
      <c r="D1977" s="20">
        <v>11431</v>
      </c>
      <c r="E1977" s="20" t="s">
        <v>7660</v>
      </c>
      <c r="F1977" s="20" t="s">
        <v>7661</v>
      </c>
      <c r="G1977" s="20" t="s">
        <v>7662</v>
      </c>
      <c r="H1977" s="20" t="s">
        <v>7663</v>
      </c>
      <c r="I1977" s="20" t="s">
        <v>7635</v>
      </c>
      <c r="J1977" s="21">
        <v>2000</v>
      </c>
      <c r="K1977" s="20" t="s">
        <v>67</v>
      </c>
      <c r="L1977" s="21" t="s">
        <v>30</v>
      </c>
      <c r="M1977" s="21" t="s">
        <v>30</v>
      </c>
      <c r="N1977" s="20"/>
      <c r="O1977" s="20"/>
    </row>
    <row r="1978" spans="1:15" ht="13.5" customHeight="1" x14ac:dyDescent="0.25">
      <c r="A1978" s="1"/>
      <c r="B1978" s="22">
        <v>1966</v>
      </c>
      <c r="C1978" s="22">
        <v>2023</v>
      </c>
      <c r="D1978" s="22">
        <v>11984</v>
      </c>
      <c r="E1978" s="22" t="s">
        <v>7664</v>
      </c>
      <c r="F1978" s="22" t="s">
        <v>7665</v>
      </c>
      <c r="G1978" s="22" t="s">
        <v>7666</v>
      </c>
      <c r="H1978" s="22" t="s">
        <v>7667</v>
      </c>
      <c r="I1978" s="22" t="s">
        <v>62</v>
      </c>
      <c r="J1978" s="23">
        <v>2007</v>
      </c>
      <c r="K1978" s="22" t="s">
        <v>114</v>
      </c>
      <c r="L1978" s="23" t="s">
        <v>30</v>
      </c>
      <c r="M1978" s="23" t="s">
        <v>30</v>
      </c>
      <c r="N1978" s="22" t="s">
        <v>74</v>
      </c>
      <c r="O1978" s="22"/>
    </row>
    <row r="1979" spans="1:15" ht="13.5" customHeight="1" x14ac:dyDescent="0.25">
      <c r="A1979" s="1"/>
      <c r="B1979" s="20">
        <v>1967</v>
      </c>
      <c r="C1979" s="20">
        <v>2023</v>
      </c>
      <c r="D1979" s="20">
        <v>11192</v>
      </c>
      <c r="E1979" s="20" t="s">
        <v>7668</v>
      </c>
      <c r="F1979" s="20" t="s">
        <v>7669</v>
      </c>
      <c r="G1979" s="20" t="s">
        <v>7670</v>
      </c>
      <c r="H1979" s="20" t="s">
        <v>7671</v>
      </c>
      <c r="I1979" s="20" t="s">
        <v>100</v>
      </c>
      <c r="J1979" s="21">
        <v>2000</v>
      </c>
      <c r="K1979" s="20" t="s">
        <v>114</v>
      </c>
      <c r="L1979" s="21" t="s">
        <v>30</v>
      </c>
      <c r="M1979" s="21" t="s">
        <v>30</v>
      </c>
      <c r="N1979" s="20"/>
      <c r="O1979" s="20"/>
    </row>
    <row r="1980" spans="1:15" ht="13.5" customHeight="1" x14ac:dyDescent="0.25">
      <c r="A1980" s="1"/>
      <c r="B1980" s="22">
        <v>1968</v>
      </c>
      <c r="C1980" s="22">
        <v>2023</v>
      </c>
      <c r="D1980" s="22">
        <v>11990</v>
      </c>
      <c r="E1980" s="22" t="s">
        <v>7672</v>
      </c>
      <c r="F1980" s="22" t="s">
        <v>7673</v>
      </c>
      <c r="G1980" s="22" t="s">
        <v>7674</v>
      </c>
      <c r="H1980" s="22" t="s">
        <v>7675</v>
      </c>
      <c r="I1980" s="22" t="s">
        <v>62</v>
      </c>
      <c r="J1980" s="23">
        <v>2007</v>
      </c>
      <c r="K1980" s="22" t="s">
        <v>95</v>
      </c>
      <c r="L1980" s="23" t="s">
        <v>30</v>
      </c>
      <c r="M1980" s="23" t="s">
        <v>30</v>
      </c>
      <c r="N1980" s="22" t="s">
        <v>74</v>
      </c>
      <c r="O1980" s="22"/>
    </row>
    <row r="1981" spans="1:15" ht="13.5" customHeight="1" x14ac:dyDescent="0.25">
      <c r="A1981" s="1"/>
      <c r="B1981" s="20">
        <v>1969</v>
      </c>
      <c r="C1981" s="20">
        <v>2023</v>
      </c>
      <c r="D1981" s="20">
        <v>29</v>
      </c>
      <c r="E1981" s="20" t="s">
        <v>7676</v>
      </c>
      <c r="F1981" s="20" t="s">
        <v>7677</v>
      </c>
      <c r="G1981" s="20" t="s">
        <v>7678</v>
      </c>
      <c r="H1981" s="20" t="s">
        <v>7679</v>
      </c>
      <c r="I1981" s="20" t="s">
        <v>223</v>
      </c>
      <c r="J1981" s="21">
        <v>2000</v>
      </c>
      <c r="K1981" s="20" t="s">
        <v>44</v>
      </c>
      <c r="L1981" s="21" t="s">
        <v>30</v>
      </c>
      <c r="M1981" s="21" t="s">
        <v>30</v>
      </c>
      <c r="N1981" s="20"/>
      <c r="O1981" s="20"/>
    </row>
    <row r="1982" spans="1:15" ht="13.5" customHeight="1" x14ac:dyDescent="0.25">
      <c r="A1982" s="1"/>
      <c r="B1982" s="22">
        <v>1970</v>
      </c>
      <c r="C1982" s="22">
        <v>2023</v>
      </c>
      <c r="D1982" s="22">
        <v>40324</v>
      </c>
      <c r="E1982" s="22" t="s">
        <v>7680</v>
      </c>
      <c r="F1982" s="22" t="s">
        <v>7681</v>
      </c>
      <c r="G1982" s="22" t="s">
        <v>7682</v>
      </c>
      <c r="H1982" s="22" t="s">
        <v>7683</v>
      </c>
      <c r="I1982" s="22" t="s">
        <v>23</v>
      </c>
      <c r="J1982" s="23">
        <v>2010</v>
      </c>
      <c r="K1982" s="22" t="s">
        <v>44</v>
      </c>
      <c r="L1982" s="23" t="s">
        <v>30</v>
      </c>
      <c r="M1982" s="23"/>
      <c r="N1982" s="22" t="s">
        <v>101</v>
      </c>
      <c r="O1982" s="22"/>
    </row>
    <row r="1983" spans="1:15" ht="13.5" customHeight="1" x14ac:dyDescent="0.25">
      <c r="A1983" s="1"/>
      <c r="B1983" s="20">
        <v>1971</v>
      </c>
      <c r="C1983" s="20">
        <v>2023</v>
      </c>
      <c r="D1983" s="20">
        <v>11453</v>
      </c>
      <c r="E1983" s="20" t="s">
        <v>7684</v>
      </c>
      <c r="F1983" s="20" t="s">
        <v>7685</v>
      </c>
      <c r="G1983" s="20" t="s">
        <v>7686</v>
      </c>
      <c r="H1983" s="20" t="s">
        <v>7687</v>
      </c>
      <c r="I1983" s="20" t="s">
        <v>62</v>
      </c>
      <c r="J1983" s="21">
        <v>2000</v>
      </c>
      <c r="K1983" s="20" t="s">
        <v>63</v>
      </c>
      <c r="L1983" s="21" t="s">
        <v>30</v>
      </c>
      <c r="M1983" s="21" t="s">
        <v>30</v>
      </c>
      <c r="N1983" s="20"/>
      <c r="O1983" s="20"/>
    </row>
    <row r="1984" spans="1:15" ht="13.5" customHeight="1" x14ac:dyDescent="0.25">
      <c r="A1984" s="1"/>
      <c r="B1984" s="22">
        <v>1972</v>
      </c>
      <c r="C1984" s="22">
        <v>2023</v>
      </c>
      <c r="D1984" s="22">
        <v>233</v>
      </c>
      <c r="E1984" s="22" t="s">
        <v>7688</v>
      </c>
      <c r="F1984" s="22" t="s">
        <v>7689</v>
      </c>
      <c r="G1984" s="22" t="s">
        <v>7690</v>
      </c>
      <c r="H1984" s="22" t="s">
        <v>7691</v>
      </c>
      <c r="I1984" s="22" t="s">
        <v>23</v>
      </c>
      <c r="J1984" s="23">
        <v>2000</v>
      </c>
      <c r="K1984" s="22" t="s">
        <v>44</v>
      </c>
      <c r="L1984" s="23" t="s">
        <v>30</v>
      </c>
      <c r="M1984" s="23" t="s">
        <v>30</v>
      </c>
      <c r="N1984" s="22"/>
      <c r="O1984" s="22"/>
    </row>
    <row r="1985" spans="1:15" ht="13.5" customHeight="1" x14ac:dyDescent="0.25">
      <c r="A1985" s="1"/>
      <c r="B1985" s="20">
        <v>1973</v>
      </c>
      <c r="C1985" s="20">
        <v>2023</v>
      </c>
      <c r="D1985" s="20">
        <v>281</v>
      </c>
      <c r="E1985" s="20" t="s">
        <v>7692</v>
      </c>
      <c r="F1985" s="20" t="s">
        <v>7693</v>
      </c>
      <c r="G1985" s="20" t="s">
        <v>7694</v>
      </c>
      <c r="H1985" s="20" t="s">
        <v>7695</v>
      </c>
      <c r="I1985" s="20" t="s">
        <v>23</v>
      </c>
      <c r="J1985" s="21">
        <v>2000</v>
      </c>
      <c r="K1985" s="20" t="s">
        <v>34</v>
      </c>
      <c r="L1985" s="21" t="s">
        <v>30</v>
      </c>
      <c r="M1985" s="21" t="s">
        <v>30</v>
      </c>
      <c r="N1985" s="20"/>
      <c r="O1985" s="20"/>
    </row>
    <row r="1986" spans="1:15" ht="13.5" customHeight="1" x14ac:dyDescent="0.25">
      <c r="A1986" s="1"/>
      <c r="B1986" s="22">
        <v>1974</v>
      </c>
      <c r="C1986" s="22">
        <v>2023</v>
      </c>
      <c r="D1986" s="22">
        <v>11220</v>
      </c>
      <c r="E1986" s="22" t="s">
        <v>7696</v>
      </c>
      <c r="F1986" s="22" t="s">
        <v>7697</v>
      </c>
      <c r="G1986" s="22"/>
      <c r="H1986" s="22" t="s">
        <v>7698</v>
      </c>
      <c r="I1986" s="22" t="s">
        <v>23</v>
      </c>
      <c r="J1986" s="23">
        <v>2000</v>
      </c>
      <c r="K1986" s="22" t="s">
        <v>67</v>
      </c>
      <c r="L1986" s="23"/>
      <c r="M1986" s="23" t="s">
        <v>30</v>
      </c>
      <c r="N1986" s="22"/>
      <c r="O1986" s="22"/>
    </row>
    <row r="1987" spans="1:15" ht="13.5" customHeight="1" x14ac:dyDescent="0.25">
      <c r="A1987" s="1"/>
      <c r="B1987" s="20">
        <v>1975</v>
      </c>
      <c r="C1987" s="20">
        <v>2023</v>
      </c>
      <c r="D1987" s="20">
        <v>11628</v>
      </c>
      <c r="E1987" s="20" t="s">
        <v>7699</v>
      </c>
      <c r="F1987" s="20" t="s">
        <v>7700</v>
      </c>
      <c r="G1987" s="20"/>
      <c r="H1987" s="20" t="s">
        <v>7701</v>
      </c>
      <c r="I1987" s="20" t="s">
        <v>23</v>
      </c>
      <c r="J1987" s="21">
        <v>2007</v>
      </c>
      <c r="K1987" s="20" t="s">
        <v>29</v>
      </c>
      <c r="L1987" s="21"/>
      <c r="M1987" s="21" t="s">
        <v>30</v>
      </c>
      <c r="N1987" s="20" t="s">
        <v>245</v>
      </c>
      <c r="O1987" s="20"/>
    </row>
    <row r="1988" spans="1:15" ht="13.5" customHeight="1" x14ac:dyDescent="0.25">
      <c r="A1988" s="1"/>
      <c r="B1988" s="22">
        <v>1976</v>
      </c>
      <c r="C1988" s="22">
        <v>2023</v>
      </c>
      <c r="D1988" s="22">
        <v>11761</v>
      </c>
      <c r="E1988" s="22" t="s">
        <v>7702</v>
      </c>
      <c r="F1988" s="22" t="s">
        <v>7703</v>
      </c>
      <c r="G1988" s="22"/>
      <c r="H1988" s="22" t="s">
        <v>7704</v>
      </c>
      <c r="I1988" s="22" t="s">
        <v>23</v>
      </c>
      <c r="J1988" s="23">
        <v>2007</v>
      </c>
      <c r="K1988" s="22" t="s">
        <v>114</v>
      </c>
      <c r="L1988" s="23"/>
      <c r="M1988" s="23" t="s">
        <v>30</v>
      </c>
      <c r="N1988" s="22" t="s">
        <v>245</v>
      </c>
      <c r="O1988" s="22"/>
    </row>
    <row r="1989" spans="1:15" ht="13.5" customHeight="1" x14ac:dyDescent="0.25">
      <c r="A1989" s="1"/>
      <c r="B1989" s="20">
        <v>1977</v>
      </c>
      <c r="C1989" s="20">
        <v>2023</v>
      </c>
      <c r="D1989" s="20">
        <v>11228</v>
      </c>
      <c r="E1989" s="20" t="s">
        <v>7705</v>
      </c>
      <c r="F1989" s="20" t="s">
        <v>7706</v>
      </c>
      <c r="G1989" s="20" t="s">
        <v>7707</v>
      </c>
      <c r="H1989" s="20" t="s">
        <v>7708</v>
      </c>
      <c r="I1989" s="20" t="s">
        <v>23</v>
      </c>
      <c r="J1989" s="21">
        <v>2000</v>
      </c>
      <c r="K1989" s="20" t="s">
        <v>44</v>
      </c>
      <c r="L1989" s="21" t="s">
        <v>30</v>
      </c>
      <c r="M1989" s="21" t="s">
        <v>30</v>
      </c>
      <c r="N1989" s="20"/>
      <c r="O1989" s="20"/>
    </row>
    <row r="1990" spans="1:15" ht="13.5" customHeight="1" x14ac:dyDescent="0.25">
      <c r="A1990" s="1"/>
      <c r="B1990" s="22">
        <v>1978</v>
      </c>
      <c r="C1990" s="22">
        <v>2023</v>
      </c>
      <c r="D1990" s="22">
        <v>11199</v>
      </c>
      <c r="E1990" s="22" t="s">
        <v>7709</v>
      </c>
      <c r="F1990" s="22" t="s">
        <v>7710</v>
      </c>
      <c r="G1990" s="22" t="s">
        <v>7711</v>
      </c>
      <c r="H1990" s="22" t="s">
        <v>7712</v>
      </c>
      <c r="I1990" s="22" t="s">
        <v>23</v>
      </c>
      <c r="J1990" s="23">
        <v>2000</v>
      </c>
      <c r="K1990" s="22" t="s">
        <v>203</v>
      </c>
      <c r="L1990" s="23" t="s">
        <v>30</v>
      </c>
      <c r="M1990" s="23" t="s">
        <v>30</v>
      </c>
      <c r="N1990" s="22"/>
      <c r="O1990" s="22"/>
    </row>
    <row r="1991" spans="1:15" ht="13.5" customHeight="1" x14ac:dyDescent="0.25">
      <c r="A1991" s="1"/>
      <c r="B1991" s="20">
        <v>1979</v>
      </c>
      <c r="C1991" s="20">
        <v>2023</v>
      </c>
      <c r="D1991" s="20">
        <v>12119</v>
      </c>
      <c r="E1991" s="20" t="s">
        <v>7713</v>
      </c>
      <c r="F1991" s="20" t="s">
        <v>7714</v>
      </c>
      <c r="G1991" s="20" t="s">
        <v>7715</v>
      </c>
      <c r="H1991" s="20" t="s">
        <v>7716</v>
      </c>
      <c r="I1991" s="20" t="s">
        <v>23</v>
      </c>
      <c r="J1991" s="21">
        <v>2000</v>
      </c>
      <c r="K1991" s="20" t="s">
        <v>184</v>
      </c>
      <c r="L1991" s="21" t="s">
        <v>30</v>
      </c>
      <c r="M1991" s="21" t="s">
        <v>30</v>
      </c>
      <c r="N1991" s="20" t="s">
        <v>74</v>
      </c>
      <c r="O1991" s="20"/>
    </row>
    <row r="1992" spans="1:15" ht="13.5" customHeight="1" x14ac:dyDescent="0.25">
      <c r="A1992" s="1"/>
      <c r="B1992" s="22">
        <v>1980</v>
      </c>
      <c r="C1992" s="22">
        <v>2023</v>
      </c>
      <c r="D1992" s="22">
        <v>11195</v>
      </c>
      <c r="E1992" s="22" t="s">
        <v>7717</v>
      </c>
      <c r="F1992" s="22" t="s">
        <v>7718</v>
      </c>
      <c r="G1992" s="22" t="s">
        <v>7719</v>
      </c>
      <c r="H1992" s="22" t="s">
        <v>7720</v>
      </c>
      <c r="I1992" s="22" t="s">
        <v>23</v>
      </c>
      <c r="J1992" s="23">
        <v>2000</v>
      </c>
      <c r="K1992" s="22" t="s">
        <v>203</v>
      </c>
      <c r="L1992" s="23" t="s">
        <v>30</v>
      </c>
      <c r="M1992" s="23" t="s">
        <v>30</v>
      </c>
      <c r="N1992" s="22"/>
      <c r="O1992" s="22"/>
    </row>
    <row r="1993" spans="1:15" ht="13.5" customHeight="1" x14ac:dyDescent="0.25">
      <c r="A1993" s="1"/>
      <c r="B1993" s="20">
        <v>1981</v>
      </c>
      <c r="C1993" s="20">
        <v>2023</v>
      </c>
      <c r="D1993" s="20">
        <v>13178</v>
      </c>
      <c r="E1993" s="20" t="s">
        <v>7721</v>
      </c>
      <c r="F1993" s="20" t="s">
        <v>7722</v>
      </c>
      <c r="G1993" s="20"/>
      <c r="H1993" s="20" t="s">
        <v>7723</v>
      </c>
      <c r="I1993" s="20" t="s">
        <v>23</v>
      </c>
      <c r="J1993" s="21">
        <v>2004</v>
      </c>
      <c r="K1993" s="20" t="s">
        <v>203</v>
      </c>
      <c r="L1993" s="21"/>
      <c r="M1993" s="21"/>
      <c r="N1993" s="20" t="s">
        <v>173</v>
      </c>
      <c r="O1993" s="20"/>
    </row>
    <row r="1994" spans="1:15" ht="13.5" customHeight="1" x14ac:dyDescent="0.25">
      <c r="A1994" s="1"/>
      <c r="B1994" s="22">
        <v>1982</v>
      </c>
      <c r="C1994" s="22">
        <v>2023</v>
      </c>
      <c r="D1994" s="22">
        <v>40830</v>
      </c>
      <c r="E1994" s="22" t="s">
        <v>7724</v>
      </c>
      <c r="F1994" s="22" t="s">
        <v>7725</v>
      </c>
      <c r="G1994" s="22" t="s">
        <v>7726</v>
      </c>
      <c r="H1994" s="22" t="s">
        <v>7727</v>
      </c>
      <c r="I1994" s="22" t="s">
        <v>23</v>
      </c>
      <c r="J1994" s="23">
        <v>2015</v>
      </c>
      <c r="K1994" s="22" t="s">
        <v>24</v>
      </c>
      <c r="L1994" s="23" t="s">
        <v>30</v>
      </c>
      <c r="M1994" s="23"/>
      <c r="N1994" s="22" t="s">
        <v>185</v>
      </c>
      <c r="O1994" s="22"/>
    </row>
    <row r="1995" spans="1:15" ht="13.5" customHeight="1" x14ac:dyDescent="0.25">
      <c r="A1995" s="1"/>
      <c r="B1995" s="20">
        <v>1983</v>
      </c>
      <c r="C1995" s="20">
        <v>2023</v>
      </c>
      <c r="D1995" s="20">
        <v>193</v>
      </c>
      <c r="E1995" s="20" t="s">
        <v>7728</v>
      </c>
      <c r="F1995" s="20" t="s">
        <v>7729</v>
      </c>
      <c r="G1995" s="20" t="s">
        <v>7730</v>
      </c>
      <c r="H1995" s="20" t="s">
        <v>7731</v>
      </c>
      <c r="I1995" s="20" t="s">
        <v>23</v>
      </c>
      <c r="J1995" s="21">
        <v>2000</v>
      </c>
      <c r="K1995" s="20" t="s">
        <v>67</v>
      </c>
      <c r="L1995" s="21" t="s">
        <v>30</v>
      </c>
      <c r="M1995" s="21" t="s">
        <v>30</v>
      </c>
      <c r="N1995" s="20"/>
      <c r="O1995" s="20"/>
    </row>
    <row r="1996" spans="1:15" ht="13.5" customHeight="1" x14ac:dyDescent="0.25">
      <c r="A1996" s="1"/>
      <c r="B1996" s="22">
        <v>1984</v>
      </c>
      <c r="C1996" s="22">
        <v>2023</v>
      </c>
      <c r="D1996" s="22">
        <v>12002</v>
      </c>
      <c r="E1996" s="22" t="s">
        <v>7732</v>
      </c>
      <c r="F1996" s="22" t="s">
        <v>7733</v>
      </c>
      <c r="G1996" s="22" t="s">
        <v>7734</v>
      </c>
      <c r="H1996" s="22" t="s">
        <v>7735</v>
      </c>
      <c r="I1996" s="22" t="s">
        <v>62</v>
      </c>
      <c r="J1996" s="23">
        <v>2007</v>
      </c>
      <c r="K1996" s="22" t="s">
        <v>44</v>
      </c>
      <c r="L1996" s="23" t="s">
        <v>30</v>
      </c>
      <c r="M1996" s="23" t="s">
        <v>30</v>
      </c>
      <c r="N1996" s="22" t="s">
        <v>74</v>
      </c>
      <c r="O1996" s="22"/>
    </row>
    <row r="1997" spans="1:15" ht="13.5" customHeight="1" x14ac:dyDescent="0.25">
      <c r="A1997" s="1"/>
      <c r="B1997" s="20">
        <v>1985</v>
      </c>
      <c r="C1997" s="20">
        <v>2023</v>
      </c>
      <c r="D1997" s="20">
        <v>11202</v>
      </c>
      <c r="E1997" s="20" t="s">
        <v>7736</v>
      </c>
      <c r="F1997" s="20" t="s">
        <v>7737</v>
      </c>
      <c r="G1997" s="20" t="s">
        <v>7738</v>
      </c>
      <c r="H1997" s="20" t="s">
        <v>7739</v>
      </c>
      <c r="I1997" s="20" t="s">
        <v>62</v>
      </c>
      <c r="J1997" s="21">
        <v>2000</v>
      </c>
      <c r="K1997" s="20" t="s">
        <v>44</v>
      </c>
      <c r="L1997" s="21" t="s">
        <v>30</v>
      </c>
      <c r="M1997" s="21" t="s">
        <v>30</v>
      </c>
      <c r="N1997" s="20"/>
      <c r="O1997" s="20"/>
    </row>
    <row r="1998" spans="1:15" ht="13.5" customHeight="1" x14ac:dyDescent="0.25">
      <c r="A1998" s="1"/>
      <c r="B1998" s="22">
        <v>1986</v>
      </c>
      <c r="C1998" s="22">
        <v>2023</v>
      </c>
      <c r="D1998" s="22">
        <v>11760</v>
      </c>
      <c r="E1998" s="22" t="s">
        <v>7740</v>
      </c>
      <c r="F1998" s="22" t="s">
        <v>7741</v>
      </c>
      <c r="G1998" s="22"/>
      <c r="H1998" s="22" t="s">
        <v>7742</v>
      </c>
      <c r="I1998" s="22" t="s">
        <v>23</v>
      </c>
      <c r="J1998" s="23">
        <v>2007</v>
      </c>
      <c r="K1998" s="22" t="s">
        <v>114</v>
      </c>
      <c r="L1998" s="23"/>
      <c r="M1998" s="23" t="s">
        <v>30</v>
      </c>
      <c r="N1998" s="22" t="s">
        <v>245</v>
      </c>
      <c r="O1998" s="22"/>
    </row>
    <row r="1999" spans="1:15" ht="13.5" customHeight="1" x14ac:dyDescent="0.25">
      <c r="A1999" s="1"/>
      <c r="B1999" s="20">
        <v>1987</v>
      </c>
      <c r="C1999" s="20">
        <v>2023</v>
      </c>
      <c r="D1999" s="20">
        <v>12633</v>
      </c>
      <c r="E1999" s="20" t="s">
        <v>7743</v>
      </c>
      <c r="F1999" s="20" t="s">
        <v>7744</v>
      </c>
      <c r="G1999" s="20"/>
      <c r="H1999" s="20" t="s">
        <v>7745</v>
      </c>
      <c r="I1999" s="20" t="s">
        <v>23</v>
      </c>
      <c r="J1999" s="21">
        <v>2009</v>
      </c>
      <c r="K1999" s="20" t="s">
        <v>24</v>
      </c>
      <c r="L1999" s="21"/>
      <c r="M1999" s="21" t="s">
        <v>30</v>
      </c>
      <c r="N1999" s="20"/>
      <c r="O1999" s="20"/>
    </row>
    <row r="2000" spans="1:15" ht="13.5" customHeight="1" x14ac:dyDescent="0.25">
      <c r="A2000" s="1"/>
      <c r="B2000" s="22">
        <v>1988</v>
      </c>
      <c r="C2000" s="22">
        <v>2023</v>
      </c>
      <c r="D2000" s="22">
        <v>256</v>
      </c>
      <c r="E2000" s="22" t="s">
        <v>7746</v>
      </c>
      <c r="F2000" s="22" t="s">
        <v>7747</v>
      </c>
      <c r="G2000" s="22" t="s">
        <v>7748</v>
      </c>
      <c r="H2000" s="22" t="s">
        <v>7749</v>
      </c>
      <c r="I2000" s="22" t="s">
        <v>23</v>
      </c>
      <c r="J2000" s="23">
        <v>2000</v>
      </c>
      <c r="K2000" s="22" t="s">
        <v>39</v>
      </c>
      <c r="L2000" s="23" t="s">
        <v>30</v>
      </c>
      <c r="M2000" s="23" t="s">
        <v>30</v>
      </c>
      <c r="N2000" s="22"/>
      <c r="O2000" s="22"/>
    </row>
    <row r="2001" spans="1:15" ht="13.5" customHeight="1" x14ac:dyDescent="0.25">
      <c r="A2001" s="1"/>
      <c r="B2001" s="20">
        <v>1989</v>
      </c>
      <c r="C2001" s="20">
        <v>2023</v>
      </c>
      <c r="D2001" s="20">
        <v>41105</v>
      </c>
      <c r="E2001" s="20" t="s">
        <v>7750</v>
      </c>
      <c r="F2001" s="20" t="s">
        <v>7751</v>
      </c>
      <c r="G2001" s="20" t="s">
        <v>7752</v>
      </c>
      <c r="H2001" s="20" t="s">
        <v>7753</v>
      </c>
      <c r="I2001" s="20" t="s">
        <v>23</v>
      </c>
      <c r="J2001" s="21">
        <v>2003</v>
      </c>
      <c r="K2001" s="20" t="s">
        <v>34</v>
      </c>
      <c r="L2001" s="21" t="s">
        <v>30</v>
      </c>
      <c r="M2001" s="21"/>
      <c r="N2001" s="20" t="s">
        <v>1470</v>
      </c>
      <c r="O2001" s="20"/>
    </row>
    <row r="2002" spans="1:15" ht="13.5" customHeight="1" x14ac:dyDescent="0.25">
      <c r="A2002" s="1"/>
      <c r="B2002" s="22">
        <v>1990</v>
      </c>
      <c r="C2002" s="22">
        <v>2023</v>
      </c>
      <c r="D2002" s="22">
        <v>11325</v>
      </c>
      <c r="E2002" s="22" t="s">
        <v>7754</v>
      </c>
      <c r="F2002" s="22" t="s">
        <v>7755</v>
      </c>
      <c r="G2002" s="22"/>
      <c r="H2002" s="22" t="s">
        <v>7756</v>
      </c>
      <c r="I2002" s="22" t="s">
        <v>23</v>
      </c>
      <c r="J2002" s="23">
        <v>2000</v>
      </c>
      <c r="K2002" s="22" t="s">
        <v>39</v>
      </c>
      <c r="L2002" s="23"/>
      <c r="M2002" s="23" t="s">
        <v>30</v>
      </c>
      <c r="N2002" s="22"/>
      <c r="O2002" s="22"/>
    </row>
    <row r="2003" spans="1:15" ht="13.5" customHeight="1" x14ac:dyDescent="0.25">
      <c r="A2003" s="1"/>
      <c r="B2003" s="20">
        <v>1991</v>
      </c>
      <c r="C2003" s="20">
        <v>2023</v>
      </c>
      <c r="D2003" s="20">
        <v>41782</v>
      </c>
      <c r="E2003" s="20" t="s">
        <v>7757</v>
      </c>
      <c r="F2003" s="20" t="s">
        <v>7758</v>
      </c>
      <c r="G2003" s="20"/>
      <c r="H2003" s="20" t="s">
        <v>7759</v>
      </c>
      <c r="I2003" s="20" t="s">
        <v>23</v>
      </c>
      <c r="J2003" s="21">
        <v>2017</v>
      </c>
      <c r="K2003" s="20" t="s">
        <v>34</v>
      </c>
      <c r="L2003" s="21"/>
      <c r="M2003" s="21"/>
      <c r="N2003" s="20" t="s">
        <v>265</v>
      </c>
      <c r="O2003" s="20"/>
    </row>
    <row r="2004" spans="1:15" ht="13.5" customHeight="1" x14ac:dyDescent="0.25">
      <c r="A2004" s="1"/>
      <c r="B2004" s="22">
        <v>1992</v>
      </c>
      <c r="C2004" s="22">
        <v>2023</v>
      </c>
      <c r="D2004" s="22">
        <v>11187</v>
      </c>
      <c r="E2004" s="22" t="s">
        <v>7760</v>
      </c>
      <c r="F2004" s="22" t="s">
        <v>7761</v>
      </c>
      <c r="G2004" s="22" t="s">
        <v>7762</v>
      </c>
      <c r="H2004" s="22" t="s">
        <v>7763</v>
      </c>
      <c r="I2004" s="22" t="s">
        <v>23</v>
      </c>
      <c r="J2004" s="23">
        <v>2000</v>
      </c>
      <c r="K2004" s="22" t="s">
        <v>29</v>
      </c>
      <c r="L2004" s="23" t="s">
        <v>30</v>
      </c>
      <c r="M2004" s="23" t="s">
        <v>30</v>
      </c>
      <c r="N2004" s="22"/>
      <c r="O2004" s="22"/>
    </row>
    <row r="2005" spans="1:15" ht="13.5" customHeight="1" x14ac:dyDescent="0.25">
      <c r="A2005" s="1"/>
      <c r="B2005" s="20">
        <v>1993</v>
      </c>
      <c r="C2005" s="20">
        <v>2023</v>
      </c>
      <c r="D2005" s="20">
        <v>11842</v>
      </c>
      <c r="E2005" s="20" t="s">
        <v>7764</v>
      </c>
      <c r="F2005" s="20" t="s">
        <v>7765</v>
      </c>
      <c r="G2005" s="20" t="s">
        <v>7766</v>
      </c>
      <c r="H2005" s="20" t="s">
        <v>7767</v>
      </c>
      <c r="I2005" s="20" t="s">
        <v>23</v>
      </c>
      <c r="J2005" s="21">
        <v>2002</v>
      </c>
      <c r="K2005" s="20" t="s">
        <v>34</v>
      </c>
      <c r="L2005" s="21" t="s">
        <v>30</v>
      </c>
      <c r="M2005" s="21" t="s">
        <v>30</v>
      </c>
      <c r="N2005" s="20" t="s">
        <v>74</v>
      </c>
      <c r="O2005" s="20"/>
    </row>
    <row r="2006" spans="1:15" ht="13.5" customHeight="1" x14ac:dyDescent="0.25">
      <c r="A2006" s="1"/>
      <c r="B2006" s="22">
        <v>1994</v>
      </c>
      <c r="C2006" s="22">
        <v>2023</v>
      </c>
      <c r="D2006" s="22">
        <v>43546</v>
      </c>
      <c r="E2006" s="22" t="s">
        <v>7768</v>
      </c>
      <c r="F2006" s="22" t="s">
        <v>7769</v>
      </c>
      <c r="G2006" s="22"/>
      <c r="H2006" s="22" t="s">
        <v>7770</v>
      </c>
      <c r="I2006" s="22" t="s">
        <v>2040</v>
      </c>
      <c r="J2006" s="23">
        <v>2021</v>
      </c>
      <c r="K2006" s="22" t="s">
        <v>29</v>
      </c>
      <c r="L2006" s="23"/>
      <c r="M2006" s="23"/>
      <c r="N2006" s="22" t="s">
        <v>236</v>
      </c>
      <c r="O2006" s="22"/>
    </row>
    <row r="2007" spans="1:15" ht="13.5" customHeight="1" x14ac:dyDescent="0.25">
      <c r="A2007" s="1"/>
      <c r="B2007" s="20">
        <v>1995</v>
      </c>
      <c r="C2007" s="20">
        <v>2023</v>
      </c>
      <c r="D2007" s="20">
        <v>42399</v>
      </c>
      <c r="E2007" s="20" t="s">
        <v>7771</v>
      </c>
      <c r="F2007" s="20" t="s">
        <v>7772</v>
      </c>
      <c r="G2007" s="20"/>
      <c r="H2007" s="20" t="s">
        <v>7773</v>
      </c>
      <c r="I2007" s="20" t="s">
        <v>2040</v>
      </c>
      <c r="J2007" s="21">
        <v>2019</v>
      </c>
      <c r="K2007" s="20" t="s">
        <v>39</v>
      </c>
      <c r="L2007" s="21"/>
      <c r="M2007" s="21" t="s">
        <v>30</v>
      </c>
      <c r="N2007" s="20" t="s">
        <v>218</v>
      </c>
      <c r="O2007" s="20"/>
    </row>
    <row r="2008" spans="1:15" ht="13.5" customHeight="1" x14ac:dyDescent="0.25">
      <c r="A2008" s="1"/>
      <c r="B2008" s="22">
        <v>1996</v>
      </c>
      <c r="C2008" s="22">
        <v>2023</v>
      </c>
      <c r="D2008" s="22">
        <v>42979</v>
      </c>
      <c r="E2008" s="22" t="s">
        <v>7774</v>
      </c>
      <c r="F2008" s="22" t="s">
        <v>7775</v>
      </c>
      <c r="G2008" s="22"/>
      <c r="H2008" s="22" t="s">
        <v>7776</v>
      </c>
      <c r="I2008" s="22" t="s">
        <v>2040</v>
      </c>
      <c r="J2008" s="23">
        <v>2020</v>
      </c>
      <c r="K2008" s="22" t="s">
        <v>114</v>
      </c>
      <c r="L2008" s="23"/>
      <c r="M2008" s="23" t="s">
        <v>30</v>
      </c>
      <c r="N2008" s="22" t="s">
        <v>48</v>
      </c>
      <c r="O2008" s="22"/>
    </row>
    <row r="2009" spans="1:15" ht="13.5" customHeight="1" x14ac:dyDescent="0.25">
      <c r="A2009" s="1"/>
      <c r="B2009" s="20">
        <v>1997</v>
      </c>
      <c r="C2009" s="20">
        <v>2023</v>
      </c>
      <c r="D2009" s="20">
        <v>43545</v>
      </c>
      <c r="E2009" s="20" t="s">
        <v>7777</v>
      </c>
      <c r="F2009" s="20" t="s">
        <v>7778</v>
      </c>
      <c r="G2009" s="20"/>
      <c r="H2009" s="20" t="s">
        <v>7779</v>
      </c>
      <c r="I2009" s="20" t="s">
        <v>2040</v>
      </c>
      <c r="J2009" s="21">
        <v>2021</v>
      </c>
      <c r="K2009" s="20" t="s">
        <v>184</v>
      </c>
      <c r="L2009" s="21"/>
      <c r="M2009" s="21"/>
      <c r="N2009" s="20" t="s">
        <v>236</v>
      </c>
      <c r="O2009" s="20"/>
    </row>
    <row r="2010" spans="1:15" ht="13.5" customHeight="1" x14ac:dyDescent="0.25">
      <c r="A2010" s="1"/>
      <c r="B2010" s="22">
        <v>1998</v>
      </c>
      <c r="C2010" s="22">
        <v>2023</v>
      </c>
      <c r="D2010" s="22">
        <v>355</v>
      </c>
      <c r="E2010" s="22" t="s">
        <v>7780</v>
      </c>
      <c r="F2010" s="22" t="s">
        <v>7781</v>
      </c>
      <c r="G2010" s="22" t="s">
        <v>7782</v>
      </c>
      <c r="H2010" s="22" t="s">
        <v>7783</v>
      </c>
      <c r="I2010" s="22" t="s">
        <v>23</v>
      </c>
      <c r="J2010" s="23">
        <v>2000</v>
      </c>
      <c r="K2010" s="22" t="s">
        <v>475</v>
      </c>
      <c r="L2010" s="23" t="s">
        <v>30</v>
      </c>
      <c r="M2010" s="23" t="s">
        <v>30</v>
      </c>
      <c r="N2010" s="22"/>
      <c r="O2010" s="22"/>
    </row>
    <row r="2011" spans="1:15" ht="13.5" customHeight="1" x14ac:dyDescent="0.25">
      <c r="A2011" s="1"/>
      <c r="B2011" s="20">
        <v>1999</v>
      </c>
      <c r="C2011" s="20">
        <v>2023</v>
      </c>
      <c r="D2011" s="20">
        <v>11205</v>
      </c>
      <c r="E2011" s="20" t="s">
        <v>7784</v>
      </c>
      <c r="F2011" s="20" t="s">
        <v>7785</v>
      </c>
      <c r="G2011" s="20" t="s">
        <v>7786</v>
      </c>
      <c r="H2011" s="20" t="s">
        <v>7787</v>
      </c>
      <c r="I2011" s="20" t="s">
        <v>23</v>
      </c>
      <c r="J2011" s="21">
        <v>2000</v>
      </c>
      <c r="K2011" s="20" t="s">
        <v>184</v>
      </c>
      <c r="L2011" s="21" t="s">
        <v>30</v>
      </c>
      <c r="M2011" s="21" t="s">
        <v>30</v>
      </c>
      <c r="N2011" s="20"/>
      <c r="O2011" s="20"/>
    </row>
    <row r="2012" spans="1:15" ht="13.5" customHeight="1" x14ac:dyDescent="0.25">
      <c r="A2012" s="1"/>
      <c r="B2012" s="22">
        <v>2000</v>
      </c>
      <c r="C2012" s="22">
        <v>2023</v>
      </c>
      <c r="D2012" s="22">
        <v>11211</v>
      </c>
      <c r="E2012" s="22" t="s">
        <v>7788</v>
      </c>
      <c r="F2012" s="22" t="s">
        <v>7789</v>
      </c>
      <c r="G2012" s="22" t="s">
        <v>7790</v>
      </c>
      <c r="H2012" s="22" t="s">
        <v>7791</v>
      </c>
      <c r="I2012" s="22" t="s">
        <v>23</v>
      </c>
      <c r="J2012" s="23">
        <v>2000</v>
      </c>
      <c r="K2012" s="22" t="s">
        <v>203</v>
      </c>
      <c r="L2012" s="23" t="s">
        <v>30</v>
      </c>
      <c r="M2012" s="23" t="s">
        <v>30</v>
      </c>
      <c r="N2012" s="22"/>
      <c r="O2012" s="22"/>
    </row>
    <row r="2013" spans="1:15" ht="13.5" customHeight="1" x14ac:dyDescent="0.25">
      <c r="A2013" s="1"/>
      <c r="B2013" s="20">
        <v>2001</v>
      </c>
      <c r="C2013" s="20">
        <v>2023</v>
      </c>
      <c r="D2013" s="20">
        <v>13278</v>
      </c>
      <c r="E2013" s="20" t="s">
        <v>7792</v>
      </c>
      <c r="F2013" s="20" t="s">
        <v>7793</v>
      </c>
      <c r="G2013" s="20"/>
      <c r="H2013" s="20" t="s">
        <v>7794</v>
      </c>
      <c r="I2013" s="20" t="s">
        <v>23</v>
      </c>
      <c r="J2013" s="21">
        <v>2011</v>
      </c>
      <c r="K2013" s="20" t="s">
        <v>114</v>
      </c>
      <c r="L2013" s="21"/>
      <c r="M2013" s="21"/>
      <c r="N2013" s="20" t="s">
        <v>250</v>
      </c>
      <c r="O2013" s="20"/>
    </row>
    <row r="2014" spans="1:15" ht="13.5" customHeight="1" x14ac:dyDescent="0.25">
      <c r="A2014" s="1"/>
      <c r="B2014" s="22">
        <v>2002</v>
      </c>
      <c r="C2014" s="22">
        <v>2023</v>
      </c>
      <c r="D2014" s="22">
        <v>127</v>
      </c>
      <c r="E2014" s="22" t="s">
        <v>7795</v>
      </c>
      <c r="F2014" s="22" t="s">
        <v>7796</v>
      </c>
      <c r="G2014" s="22" t="s">
        <v>7797</v>
      </c>
      <c r="H2014" s="22" t="s">
        <v>7798</v>
      </c>
      <c r="I2014" s="22" t="s">
        <v>23</v>
      </c>
      <c r="J2014" s="23">
        <v>2000</v>
      </c>
      <c r="K2014" s="22" t="s">
        <v>39</v>
      </c>
      <c r="L2014" s="23" t="s">
        <v>30</v>
      </c>
      <c r="M2014" s="23" t="s">
        <v>30</v>
      </c>
      <c r="N2014" s="22"/>
      <c r="O2014" s="22"/>
    </row>
    <row r="2015" spans="1:15" ht="13.5" customHeight="1" x14ac:dyDescent="0.25">
      <c r="A2015" s="1"/>
      <c r="B2015" s="20">
        <v>2003</v>
      </c>
      <c r="C2015" s="20">
        <v>2023</v>
      </c>
      <c r="D2015" s="20">
        <v>11218</v>
      </c>
      <c r="E2015" s="20" t="s">
        <v>7799</v>
      </c>
      <c r="F2015" s="20" t="s">
        <v>7800</v>
      </c>
      <c r="G2015" s="20" t="s">
        <v>7801</v>
      </c>
      <c r="H2015" s="20" t="s">
        <v>7802</v>
      </c>
      <c r="I2015" s="20" t="s">
        <v>23</v>
      </c>
      <c r="J2015" s="21">
        <v>2000</v>
      </c>
      <c r="K2015" s="20" t="s">
        <v>73</v>
      </c>
      <c r="L2015" s="21" t="s">
        <v>30</v>
      </c>
      <c r="M2015" s="21" t="s">
        <v>30</v>
      </c>
      <c r="N2015" s="20"/>
      <c r="O2015" s="20"/>
    </row>
    <row r="2016" spans="1:15" ht="13.5" customHeight="1" x14ac:dyDescent="0.25">
      <c r="A2016" s="1"/>
      <c r="B2016" s="22">
        <v>2004</v>
      </c>
      <c r="C2016" s="22">
        <v>2023</v>
      </c>
      <c r="D2016" s="22">
        <v>12115</v>
      </c>
      <c r="E2016" s="22" t="s">
        <v>7803</v>
      </c>
      <c r="F2016" s="22" t="s">
        <v>7804</v>
      </c>
      <c r="G2016" s="22" t="s">
        <v>7805</v>
      </c>
      <c r="H2016" s="22" t="s">
        <v>7806</v>
      </c>
      <c r="I2016" s="22" t="s">
        <v>23</v>
      </c>
      <c r="J2016" s="23">
        <v>2000</v>
      </c>
      <c r="K2016" s="22" t="s">
        <v>184</v>
      </c>
      <c r="L2016" s="23" t="s">
        <v>30</v>
      </c>
      <c r="M2016" s="23" t="s">
        <v>30</v>
      </c>
      <c r="N2016" s="22" t="s">
        <v>74</v>
      </c>
      <c r="O2016" s="22"/>
    </row>
    <row r="2017" spans="1:15" ht="13.5" customHeight="1" x14ac:dyDescent="0.25">
      <c r="A2017" s="1"/>
      <c r="B2017" s="20">
        <v>2005</v>
      </c>
      <c r="C2017" s="20">
        <v>2023</v>
      </c>
      <c r="D2017" s="20">
        <v>42532</v>
      </c>
      <c r="E2017" s="20" t="s">
        <v>7807</v>
      </c>
      <c r="F2017" s="20" t="s">
        <v>7808</v>
      </c>
      <c r="G2017" s="20" t="s">
        <v>7809</v>
      </c>
      <c r="H2017" s="20" t="s">
        <v>7810</v>
      </c>
      <c r="I2017" s="20" t="s">
        <v>23</v>
      </c>
      <c r="J2017" s="21">
        <v>2019</v>
      </c>
      <c r="K2017" s="20" t="s">
        <v>95</v>
      </c>
      <c r="L2017" s="21" t="s">
        <v>30</v>
      </c>
      <c r="M2017" s="21"/>
      <c r="N2017" s="20" t="s">
        <v>218</v>
      </c>
      <c r="O2017" s="20"/>
    </row>
    <row r="2018" spans="1:15" ht="13.5" customHeight="1" x14ac:dyDescent="0.25">
      <c r="A2018" s="1"/>
      <c r="B2018" s="22">
        <v>2006</v>
      </c>
      <c r="C2018" s="22">
        <v>2023</v>
      </c>
      <c r="D2018" s="22">
        <v>500</v>
      </c>
      <c r="E2018" s="22" t="s">
        <v>7811</v>
      </c>
      <c r="F2018" s="22" t="s">
        <v>7812</v>
      </c>
      <c r="G2018" s="22" t="s">
        <v>7813</v>
      </c>
      <c r="H2018" s="22" t="s">
        <v>7814</v>
      </c>
      <c r="I2018" s="22" t="s">
        <v>23</v>
      </c>
      <c r="J2018" s="23">
        <v>2000</v>
      </c>
      <c r="K2018" s="22" t="s">
        <v>67</v>
      </c>
      <c r="L2018" s="23" t="s">
        <v>30</v>
      </c>
      <c r="M2018" s="23" t="s">
        <v>30</v>
      </c>
      <c r="N2018" s="22"/>
      <c r="O2018" s="22"/>
    </row>
    <row r="2019" spans="1:15" ht="13.5" customHeight="1" x14ac:dyDescent="0.25">
      <c r="A2019" s="1"/>
      <c r="B2019" s="20">
        <v>2007</v>
      </c>
      <c r="C2019" s="20">
        <v>2023</v>
      </c>
      <c r="D2019" s="20">
        <v>10270</v>
      </c>
      <c r="E2019" s="20" t="s">
        <v>7815</v>
      </c>
      <c r="F2019" s="20" t="s">
        <v>7816</v>
      </c>
      <c r="G2019" s="20" t="s">
        <v>7817</v>
      </c>
      <c r="H2019" s="20" t="s">
        <v>7818</v>
      </c>
      <c r="I2019" s="20" t="s">
        <v>23</v>
      </c>
      <c r="J2019" s="21">
        <v>2002</v>
      </c>
      <c r="K2019" s="20" t="s">
        <v>114</v>
      </c>
      <c r="L2019" s="21" t="s">
        <v>30</v>
      </c>
      <c r="M2019" s="21" t="s">
        <v>30</v>
      </c>
      <c r="N2019" s="20"/>
      <c r="O2019" s="20"/>
    </row>
    <row r="2020" spans="1:15" ht="13.5" customHeight="1" x14ac:dyDescent="0.25">
      <c r="A2020" s="1"/>
      <c r="B2020" s="22">
        <v>2008</v>
      </c>
      <c r="C2020" s="22">
        <v>2023</v>
      </c>
      <c r="D2020" s="22">
        <v>11219</v>
      </c>
      <c r="E2020" s="22" t="s">
        <v>7819</v>
      </c>
      <c r="F2020" s="22" t="s">
        <v>7820</v>
      </c>
      <c r="G2020" s="22" t="s">
        <v>7821</v>
      </c>
      <c r="H2020" s="22" t="s">
        <v>7822</v>
      </c>
      <c r="I2020" s="22" t="s">
        <v>23</v>
      </c>
      <c r="J2020" s="23">
        <v>2000</v>
      </c>
      <c r="K2020" s="22" t="s">
        <v>114</v>
      </c>
      <c r="L2020" s="23" t="s">
        <v>30</v>
      </c>
      <c r="M2020" s="23" t="s">
        <v>30</v>
      </c>
      <c r="N2020" s="22"/>
      <c r="O2020" s="22"/>
    </row>
    <row r="2021" spans="1:15" ht="13.5" customHeight="1" x14ac:dyDescent="0.25">
      <c r="A2021" s="1"/>
      <c r="B2021" s="20">
        <v>2009</v>
      </c>
      <c r="C2021" s="20">
        <v>2023</v>
      </c>
      <c r="D2021" s="20">
        <v>42832</v>
      </c>
      <c r="E2021" s="20" t="s">
        <v>7823</v>
      </c>
      <c r="F2021" s="20" t="s">
        <v>7824</v>
      </c>
      <c r="G2021" s="20" t="s">
        <v>7825</v>
      </c>
      <c r="H2021" s="20" t="s">
        <v>7826</v>
      </c>
      <c r="I2021" s="20" t="s">
        <v>3008</v>
      </c>
      <c r="J2021" s="21">
        <v>2019</v>
      </c>
      <c r="K2021" s="20" t="s">
        <v>95</v>
      </c>
      <c r="L2021" s="21" t="s">
        <v>30</v>
      </c>
      <c r="M2021" s="21"/>
      <c r="N2021" s="20" t="s">
        <v>218</v>
      </c>
      <c r="O2021" s="20"/>
    </row>
    <row r="2022" spans="1:15" ht="13.5" customHeight="1" x14ac:dyDescent="0.25">
      <c r="A2022" s="1"/>
      <c r="B2022" s="22">
        <v>2010</v>
      </c>
      <c r="C2022" s="22">
        <v>2023</v>
      </c>
      <c r="D2022" s="22">
        <v>11204</v>
      </c>
      <c r="E2022" s="22" t="s">
        <v>7827</v>
      </c>
      <c r="F2022" s="22" t="s">
        <v>7828</v>
      </c>
      <c r="G2022" s="22" t="s">
        <v>7829</v>
      </c>
      <c r="H2022" s="22" t="s">
        <v>7830</v>
      </c>
      <c r="I2022" s="22" t="s">
        <v>23</v>
      </c>
      <c r="J2022" s="23">
        <v>2000</v>
      </c>
      <c r="K2022" s="22" t="s">
        <v>67</v>
      </c>
      <c r="L2022" s="23" t="s">
        <v>30</v>
      </c>
      <c r="M2022" s="23" t="s">
        <v>30</v>
      </c>
      <c r="N2022" s="22"/>
      <c r="O2022" s="22"/>
    </row>
    <row r="2023" spans="1:15" ht="13.5" customHeight="1" x14ac:dyDescent="0.25">
      <c r="A2023" s="1"/>
      <c r="B2023" s="20">
        <v>2011</v>
      </c>
      <c r="C2023" s="20">
        <v>2023</v>
      </c>
      <c r="D2023" s="20">
        <v>11207</v>
      </c>
      <c r="E2023" s="20" t="s">
        <v>7831</v>
      </c>
      <c r="F2023" s="20" t="s">
        <v>7832</v>
      </c>
      <c r="G2023" s="20"/>
      <c r="H2023" s="20" t="s">
        <v>7833</v>
      </c>
      <c r="I2023" s="20" t="s">
        <v>23</v>
      </c>
      <c r="J2023" s="21">
        <v>2000</v>
      </c>
      <c r="K2023" s="20" t="s">
        <v>63</v>
      </c>
      <c r="L2023" s="21"/>
      <c r="M2023" s="21" t="s">
        <v>30</v>
      </c>
      <c r="N2023" s="20"/>
      <c r="O2023" s="20"/>
    </row>
    <row r="2024" spans="1:15" ht="13.5" customHeight="1" x14ac:dyDescent="0.25">
      <c r="A2024" s="1"/>
      <c r="B2024" s="22">
        <v>2012</v>
      </c>
      <c r="C2024" s="22">
        <v>2023</v>
      </c>
      <c r="D2024" s="22">
        <v>11208</v>
      </c>
      <c r="E2024" s="22" t="s">
        <v>7834</v>
      </c>
      <c r="F2024" s="22" t="s">
        <v>7835</v>
      </c>
      <c r="G2024" s="22" t="s">
        <v>7836</v>
      </c>
      <c r="H2024" s="22" t="s">
        <v>7837</v>
      </c>
      <c r="I2024" s="22" t="s">
        <v>62</v>
      </c>
      <c r="J2024" s="23">
        <v>2000</v>
      </c>
      <c r="K2024" s="22" t="s">
        <v>63</v>
      </c>
      <c r="L2024" s="23" t="s">
        <v>30</v>
      </c>
      <c r="M2024" s="23" t="s">
        <v>30</v>
      </c>
      <c r="N2024" s="22"/>
      <c r="O2024" s="22"/>
    </row>
    <row r="2025" spans="1:15" ht="13.5" customHeight="1" x14ac:dyDescent="0.25">
      <c r="A2025" s="1"/>
      <c r="B2025" s="20">
        <v>2013</v>
      </c>
      <c r="C2025" s="20">
        <v>2023</v>
      </c>
      <c r="D2025" s="20">
        <v>11985</v>
      </c>
      <c r="E2025" s="20" t="s">
        <v>7838</v>
      </c>
      <c r="F2025" s="20" t="s">
        <v>7839</v>
      </c>
      <c r="G2025" s="20" t="s">
        <v>7840</v>
      </c>
      <c r="H2025" s="20" t="s">
        <v>7841</v>
      </c>
      <c r="I2025" s="20" t="s">
        <v>62</v>
      </c>
      <c r="J2025" s="21">
        <v>2007</v>
      </c>
      <c r="K2025" s="20" t="s">
        <v>24</v>
      </c>
      <c r="L2025" s="21" t="s">
        <v>30</v>
      </c>
      <c r="M2025" s="21" t="s">
        <v>30</v>
      </c>
      <c r="N2025" s="20" t="s">
        <v>74</v>
      </c>
      <c r="O2025" s="20"/>
    </row>
    <row r="2026" spans="1:15" ht="13.5" customHeight="1" x14ac:dyDescent="0.25">
      <c r="A2026" s="1"/>
      <c r="B2026" s="22">
        <v>2014</v>
      </c>
      <c r="C2026" s="22">
        <v>2023</v>
      </c>
      <c r="D2026" s="22">
        <v>11818</v>
      </c>
      <c r="E2026" s="22" t="s">
        <v>7842</v>
      </c>
      <c r="F2026" s="22" t="s">
        <v>7843</v>
      </c>
      <c r="G2026" s="22" t="s">
        <v>7844</v>
      </c>
      <c r="H2026" s="22" t="s">
        <v>7845</v>
      </c>
      <c r="I2026" s="22" t="s">
        <v>357</v>
      </c>
      <c r="J2026" s="23">
        <v>2000</v>
      </c>
      <c r="K2026" s="22" t="s">
        <v>39</v>
      </c>
      <c r="L2026" s="23" t="s">
        <v>30</v>
      </c>
      <c r="M2026" s="23" t="s">
        <v>30</v>
      </c>
      <c r="N2026" s="22" t="s">
        <v>74</v>
      </c>
      <c r="O2026" s="22"/>
    </row>
    <row r="2027" spans="1:15" ht="13.5" customHeight="1" x14ac:dyDescent="0.25">
      <c r="A2027" s="1"/>
      <c r="B2027" s="20">
        <v>2015</v>
      </c>
      <c r="C2027" s="20">
        <v>2023</v>
      </c>
      <c r="D2027" s="20">
        <v>11841</v>
      </c>
      <c r="E2027" s="20" t="s">
        <v>7846</v>
      </c>
      <c r="F2027" s="20" t="s">
        <v>7847</v>
      </c>
      <c r="G2027" s="20" t="s">
        <v>7848</v>
      </c>
      <c r="H2027" s="20" t="s">
        <v>7849</v>
      </c>
      <c r="I2027" s="20" t="s">
        <v>23</v>
      </c>
      <c r="J2027" s="21">
        <v>2000</v>
      </c>
      <c r="K2027" s="20" t="s">
        <v>73</v>
      </c>
      <c r="L2027" s="21" t="s">
        <v>30</v>
      </c>
      <c r="M2027" s="21" t="s">
        <v>30</v>
      </c>
      <c r="N2027" s="20" t="s">
        <v>74</v>
      </c>
      <c r="O2027" s="20"/>
    </row>
    <row r="2028" spans="1:15" ht="13.5" customHeight="1" x14ac:dyDescent="0.25">
      <c r="A2028" s="1"/>
      <c r="B2028" s="22">
        <v>2016</v>
      </c>
      <c r="C2028" s="22">
        <v>2023</v>
      </c>
      <c r="D2028" s="22">
        <v>12054</v>
      </c>
      <c r="E2028" s="22" t="s">
        <v>7850</v>
      </c>
      <c r="F2028" s="22" t="s">
        <v>7851</v>
      </c>
      <c r="G2028" s="22" t="s">
        <v>7852</v>
      </c>
      <c r="H2028" s="22" t="s">
        <v>7853</v>
      </c>
      <c r="I2028" s="22" t="s">
        <v>960</v>
      </c>
      <c r="J2028" s="23">
        <v>2004</v>
      </c>
      <c r="K2028" s="22" t="s">
        <v>184</v>
      </c>
      <c r="L2028" s="23" t="s">
        <v>30</v>
      </c>
      <c r="M2028" s="23" t="s">
        <v>30</v>
      </c>
      <c r="N2028" s="22" t="s">
        <v>74</v>
      </c>
      <c r="O2028" s="22"/>
    </row>
    <row r="2029" spans="1:15" ht="13.5" customHeight="1" x14ac:dyDescent="0.25">
      <c r="A2029" s="1"/>
      <c r="B2029" s="20">
        <v>2017</v>
      </c>
      <c r="C2029" s="20">
        <v>2023</v>
      </c>
      <c r="D2029" s="20">
        <v>12592</v>
      </c>
      <c r="E2029" s="20" t="s">
        <v>7854</v>
      </c>
      <c r="F2029" s="20" t="s">
        <v>7855</v>
      </c>
      <c r="G2029" s="20" t="s">
        <v>7856</v>
      </c>
      <c r="H2029" s="20" t="s">
        <v>7857</v>
      </c>
      <c r="I2029" s="20" t="s">
        <v>960</v>
      </c>
      <c r="J2029" s="21">
        <v>2009</v>
      </c>
      <c r="K2029" s="20" t="s">
        <v>184</v>
      </c>
      <c r="L2029" s="21" t="s">
        <v>30</v>
      </c>
      <c r="M2029" s="21" t="s">
        <v>30</v>
      </c>
      <c r="N2029" s="20" t="s">
        <v>1103</v>
      </c>
      <c r="O2029" s="20"/>
    </row>
    <row r="2030" spans="1:15" ht="13.5" customHeight="1" x14ac:dyDescent="0.25">
      <c r="A2030" s="1"/>
      <c r="B2030" s="22">
        <v>2018</v>
      </c>
      <c r="C2030" s="22">
        <v>2023</v>
      </c>
      <c r="D2030" s="22">
        <v>11214</v>
      </c>
      <c r="E2030" s="22" t="s">
        <v>7858</v>
      </c>
      <c r="F2030" s="22" t="s">
        <v>7859</v>
      </c>
      <c r="G2030" s="22"/>
      <c r="H2030" s="22" t="s">
        <v>7860</v>
      </c>
      <c r="I2030" s="22" t="s">
        <v>23</v>
      </c>
      <c r="J2030" s="23">
        <v>2000</v>
      </c>
      <c r="K2030" s="22" t="s">
        <v>63</v>
      </c>
      <c r="L2030" s="23"/>
      <c r="M2030" s="23" t="s">
        <v>30</v>
      </c>
      <c r="N2030" s="22"/>
      <c r="O2030" s="22"/>
    </row>
    <row r="2031" spans="1:15" ht="13.5" customHeight="1" x14ac:dyDescent="0.25">
      <c r="A2031" s="1"/>
      <c r="B2031" s="20">
        <v>2019</v>
      </c>
      <c r="C2031" s="20">
        <v>2023</v>
      </c>
      <c r="D2031" s="20">
        <v>40980</v>
      </c>
      <c r="E2031" s="20" t="s">
        <v>7861</v>
      </c>
      <c r="F2031" s="20" t="s">
        <v>7862</v>
      </c>
      <c r="G2031" s="20" t="s">
        <v>7863</v>
      </c>
      <c r="H2031" s="20" t="s">
        <v>7864</v>
      </c>
      <c r="I2031" s="20" t="s">
        <v>23</v>
      </c>
      <c r="J2031" s="21">
        <v>2013</v>
      </c>
      <c r="K2031" s="20" t="s">
        <v>184</v>
      </c>
      <c r="L2031" s="21" t="s">
        <v>30</v>
      </c>
      <c r="M2031" s="21"/>
      <c r="N2031" s="20" t="s">
        <v>68</v>
      </c>
      <c r="O2031" s="20"/>
    </row>
    <row r="2032" spans="1:15" ht="13.5" customHeight="1" x14ac:dyDescent="0.25">
      <c r="A2032" s="1"/>
      <c r="B2032" s="22">
        <v>2020</v>
      </c>
      <c r="C2032" s="22">
        <v>2023</v>
      </c>
      <c r="D2032" s="22">
        <v>41324</v>
      </c>
      <c r="E2032" s="22" t="s">
        <v>7865</v>
      </c>
      <c r="F2032" s="22" t="s">
        <v>7866</v>
      </c>
      <c r="G2032" s="22" t="s">
        <v>7867</v>
      </c>
      <c r="H2032" s="22" t="s">
        <v>7868</v>
      </c>
      <c r="I2032" s="22" t="s">
        <v>7869</v>
      </c>
      <c r="J2032" s="23">
        <v>2016</v>
      </c>
      <c r="K2032" s="22" t="s">
        <v>95</v>
      </c>
      <c r="L2032" s="23" t="s">
        <v>30</v>
      </c>
      <c r="M2032" s="23"/>
      <c r="N2032" s="22" t="s">
        <v>1470</v>
      </c>
      <c r="O2032" s="22"/>
    </row>
    <row r="2033" spans="1:15" ht="13.5" customHeight="1" x14ac:dyDescent="0.25">
      <c r="A2033" s="1"/>
      <c r="B2033" s="20">
        <v>2021</v>
      </c>
      <c r="C2033" s="20">
        <v>2023</v>
      </c>
      <c r="D2033" s="20">
        <v>717</v>
      </c>
      <c r="E2033" s="20" t="s">
        <v>7870</v>
      </c>
      <c r="F2033" s="20" t="s">
        <v>7871</v>
      </c>
      <c r="G2033" s="20" t="s">
        <v>7872</v>
      </c>
      <c r="H2033" s="20" t="s">
        <v>7873</v>
      </c>
      <c r="I2033" s="20" t="s">
        <v>357</v>
      </c>
      <c r="J2033" s="21">
        <v>2000</v>
      </c>
      <c r="K2033" s="20" t="s">
        <v>39</v>
      </c>
      <c r="L2033" s="21" t="s">
        <v>30</v>
      </c>
      <c r="M2033" s="21" t="s">
        <v>30</v>
      </c>
      <c r="N2033" s="20"/>
      <c r="O2033" s="20"/>
    </row>
    <row r="2034" spans="1:15" ht="13.5" customHeight="1" x14ac:dyDescent="0.25">
      <c r="A2034" s="1"/>
      <c r="B2034" s="22">
        <v>2022</v>
      </c>
      <c r="C2034" s="22">
        <v>2023</v>
      </c>
      <c r="D2034" s="22">
        <v>43390</v>
      </c>
      <c r="E2034" s="22" t="s">
        <v>7874</v>
      </c>
      <c r="F2034" s="22" t="s">
        <v>7875</v>
      </c>
      <c r="G2034" s="22" t="s">
        <v>7876</v>
      </c>
      <c r="H2034" s="22" t="s">
        <v>7877</v>
      </c>
      <c r="I2034" s="22" t="s">
        <v>23</v>
      </c>
      <c r="J2034" s="23">
        <v>2013</v>
      </c>
      <c r="K2034" s="22" t="s">
        <v>39</v>
      </c>
      <c r="L2034" s="23" t="s">
        <v>30</v>
      </c>
      <c r="M2034" s="23"/>
      <c r="N2034" s="22" t="s">
        <v>270</v>
      </c>
      <c r="O2034" s="22"/>
    </row>
    <row r="2035" spans="1:15" ht="13.5" customHeight="1" x14ac:dyDescent="0.25">
      <c r="A2035" s="1"/>
      <c r="B2035" s="20">
        <v>2023</v>
      </c>
      <c r="C2035" s="20">
        <v>2023</v>
      </c>
      <c r="D2035" s="20">
        <v>11332</v>
      </c>
      <c r="E2035" s="20" t="s">
        <v>7878</v>
      </c>
      <c r="F2035" s="20" t="s">
        <v>7879</v>
      </c>
      <c r="G2035" s="20"/>
      <c r="H2035" s="20" t="s">
        <v>7880</v>
      </c>
      <c r="I2035" s="20" t="s">
        <v>23</v>
      </c>
      <c r="J2035" s="21">
        <v>2004</v>
      </c>
      <c r="K2035" s="20" t="s">
        <v>39</v>
      </c>
      <c r="L2035" s="21"/>
      <c r="M2035" s="21" t="s">
        <v>30</v>
      </c>
      <c r="N2035" s="20"/>
      <c r="O2035" s="20"/>
    </row>
    <row r="2036" spans="1:15" ht="13.5" customHeight="1" x14ac:dyDescent="0.25">
      <c r="A2036" s="1"/>
      <c r="B2036" s="22">
        <v>2024</v>
      </c>
      <c r="C2036" s="22">
        <v>2023</v>
      </c>
      <c r="D2036" s="22">
        <v>12283</v>
      </c>
      <c r="E2036" s="22" t="s">
        <v>7881</v>
      </c>
      <c r="F2036" s="22" t="s">
        <v>7882</v>
      </c>
      <c r="G2036" s="22" t="s">
        <v>7883</v>
      </c>
      <c r="H2036" s="22" t="s">
        <v>7884</v>
      </c>
      <c r="I2036" s="22" t="s">
        <v>23</v>
      </c>
      <c r="J2036" s="23">
        <v>2003</v>
      </c>
      <c r="K2036" s="22" t="s">
        <v>67</v>
      </c>
      <c r="L2036" s="23" t="s">
        <v>30</v>
      </c>
      <c r="M2036" s="23" t="s">
        <v>30</v>
      </c>
      <c r="N2036" s="22" t="s">
        <v>35</v>
      </c>
      <c r="O2036" s="22"/>
    </row>
    <row r="2037" spans="1:15" ht="13.5" customHeight="1" x14ac:dyDescent="0.25">
      <c r="A2037" s="1"/>
      <c r="B2037" s="20">
        <v>2025</v>
      </c>
      <c r="C2037" s="20">
        <v>2023</v>
      </c>
      <c r="D2037" s="20">
        <v>40279</v>
      </c>
      <c r="E2037" s="20" t="s">
        <v>7885</v>
      </c>
      <c r="F2037" s="20" t="s">
        <v>7886</v>
      </c>
      <c r="G2037" s="20" t="s">
        <v>7887</v>
      </c>
      <c r="H2037" s="20" t="s">
        <v>7888</v>
      </c>
      <c r="I2037" s="20" t="s">
        <v>23</v>
      </c>
      <c r="J2037" s="21">
        <v>2000</v>
      </c>
      <c r="K2037" s="20" t="s">
        <v>39</v>
      </c>
      <c r="L2037" s="21" t="s">
        <v>30</v>
      </c>
      <c r="M2037" s="21"/>
      <c r="N2037" s="20"/>
      <c r="O2037" s="20"/>
    </row>
    <row r="2038" spans="1:15" ht="13.5" customHeight="1" x14ac:dyDescent="0.25">
      <c r="A2038" s="1"/>
      <c r="B2038" s="22">
        <v>2026</v>
      </c>
      <c r="C2038" s="22">
        <v>2023</v>
      </c>
      <c r="D2038" s="22">
        <v>548</v>
      </c>
      <c r="E2038" s="22" t="s">
        <v>7889</v>
      </c>
      <c r="F2038" s="22" t="s">
        <v>7890</v>
      </c>
      <c r="G2038" s="22" t="s">
        <v>7891</v>
      </c>
      <c r="H2038" s="22" t="s">
        <v>7892</v>
      </c>
      <c r="I2038" s="22" t="s">
        <v>23</v>
      </c>
      <c r="J2038" s="23">
        <v>2000</v>
      </c>
      <c r="K2038" s="22" t="s">
        <v>95</v>
      </c>
      <c r="L2038" s="23" t="s">
        <v>30</v>
      </c>
      <c r="M2038" s="23" t="s">
        <v>30</v>
      </c>
      <c r="N2038" s="22"/>
      <c r="O2038" s="22"/>
    </row>
    <row r="2039" spans="1:15" ht="13.5" customHeight="1" x14ac:dyDescent="0.25">
      <c r="A2039" s="1"/>
      <c r="B2039" s="20">
        <v>2027</v>
      </c>
      <c r="C2039" s="20">
        <v>2023</v>
      </c>
      <c r="D2039" s="20">
        <v>11203</v>
      </c>
      <c r="E2039" s="20" t="s">
        <v>7893</v>
      </c>
      <c r="F2039" s="20" t="s">
        <v>7894</v>
      </c>
      <c r="G2039" s="20" t="s">
        <v>7895</v>
      </c>
      <c r="H2039" s="20" t="s">
        <v>7896</v>
      </c>
      <c r="I2039" s="20" t="s">
        <v>23</v>
      </c>
      <c r="J2039" s="21">
        <v>2000</v>
      </c>
      <c r="K2039" s="20" t="s">
        <v>44</v>
      </c>
      <c r="L2039" s="21" t="s">
        <v>30</v>
      </c>
      <c r="M2039" s="21" t="s">
        <v>30</v>
      </c>
      <c r="N2039" s="20"/>
      <c r="O2039" s="20"/>
    </row>
    <row r="2040" spans="1:15" ht="13.5" customHeight="1" x14ac:dyDescent="0.25">
      <c r="A2040" s="1"/>
      <c r="B2040" s="22">
        <v>2028</v>
      </c>
      <c r="C2040" s="22">
        <v>2023</v>
      </c>
      <c r="D2040" s="22">
        <v>10260</v>
      </c>
      <c r="E2040" s="22" t="s">
        <v>7897</v>
      </c>
      <c r="F2040" s="22" t="s">
        <v>7898</v>
      </c>
      <c r="G2040" s="22" t="s">
        <v>7899</v>
      </c>
      <c r="H2040" s="22" t="s">
        <v>7900</v>
      </c>
      <c r="I2040" s="22" t="s">
        <v>23</v>
      </c>
      <c r="J2040" s="23">
        <v>2000</v>
      </c>
      <c r="K2040" s="22" t="s">
        <v>44</v>
      </c>
      <c r="L2040" s="23" t="s">
        <v>30</v>
      </c>
      <c r="M2040" s="23" t="s">
        <v>30</v>
      </c>
      <c r="N2040" s="22"/>
      <c r="O2040" s="22"/>
    </row>
    <row r="2041" spans="1:15" ht="13.5" customHeight="1" x14ac:dyDescent="0.25">
      <c r="A2041" s="1"/>
      <c r="B2041" s="20">
        <v>2029</v>
      </c>
      <c r="C2041" s="20">
        <v>2023</v>
      </c>
      <c r="D2041" s="20">
        <v>362</v>
      </c>
      <c r="E2041" s="20" t="s">
        <v>7901</v>
      </c>
      <c r="F2041" s="20" t="s">
        <v>7902</v>
      </c>
      <c r="G2041" s="20" t="s">
        <v>7903</v>
      </c>
      <c r="H2041" s="20" t="s">
        <v>7904</v>
      </c>
      <c r="I2041" s="20" t="s">
        <v>23</v>
      </c>
      <c r="J2041" s="21">
        <v>2000</v>
      </c>
      <c r="K2041" s="20" t="s">
        <v>44</v>
      </c>
      <c r="L2041" s="21" t="s">
        <v>30</v>
      </c>
      <c r="M2041" s="21" t="s">
        <v>30</v>
      </c>
      <c r="N2041" s="20"/>
      <c r="O2041" s="20"/>
    </row>
    <row r="2042" spans="1:15" ht="13.5" customHeight="1" x14ac:dyDescent="0.25">
      <c r="A2042" s="1"/>
      <c r="B2042" s="22">
        <v>2030</v>
      </c>
      <c r="C2042" s="22">
        <v>2023</v>
      </c>
      <c r="D2042" s="22">
        <v>11222</v>
      </c>
      <c r="E2042" s="22" t="s">
        <v>7905</v>
      </c>
      <c r="F2042" s="22" t="s">
        <v>7906</v>
      </c>
      <c r="G2042" s="22" t="s">
        <v>7907</v>
      </c>
      <c r="H2042" s="22" t="s">
        <v>7908</v>
      </c>
      <c r="I2042" s="22" t="s">
        <v>23</v>
      </c>
      <c r="J2042" s="23">
        <v>2000</v>
      </c>
      <c r="K2042" s="22" t="s">
        <v>114</v>
      </c>
      <c r="L2042" s="23" t="s">
        <v>30</v>
      </c>
      <c r="M2042" s="23" t="s">
        <v>30</v>
      </c>
      <c r="N2042" s="22"/>
      <c r="O2042" s="22"/>
    </row>
    <row r="2043" spans="1:15" ht="13.5" customHeight="1" x14ac:dyDescent="0.25">
      <c r="A2043" s="1"/>
      <c r="B2043" s="20">
        <v>2031</v>
      </c>
      <c r="C2043" s="20">
        <v>2023</v>
      </c>
      <c r="D2043" s="20">
        <v>12561</v>
      </c>
      <c r="E2043" s="20" t="s">
        <v>7909</v>
      </c>
      <c r="F2043" s="20" t="s">
        <v>7910</v>
      </c>
      <c r="G2043" s="20" t="s">
        <v>7911</v>
      </c>
      <c r="H2043" s="20" t="s">
        <v>7912</v>
      </c>
      <c r="I2043" s="20" t="s">
        <v>23</v>
      </c>
      <c r="J2043" s="21">
        <v>2009</v>
      </c>
      <c r="K2043" s="20" t="s">
        <v>44</v>
      </c>
      <c r="L2043" s="21" t="s">
        <v>30</v>
      </c>
      <c r="M2043" s="21" t="s">
        <v>30</v>
      </c>
      <c r="N2043" s="20" t="s">
        <v>1103</v>
      </c>
      <c r="O2043" s="20"/>
    </row>
    <row r="2044" spans="1:15" ht="13.5" customHeight="1" x14ac:dyDescent="0.25">
      <c r="A2044" s="1"/>
      <c r="B2044" s="22">
        <v>2032</v>
      </c>
      <c r="C2044" s="22">
        <v>2023</v>
      </c>
      <c r="D2044" s="22">
        <v>11986</v>
      </c>
      <c r="E2044" s="22" t="s">
        <v>7913</v>
      </c>
      <c r="F2044" s="22" t="s">
        <v>7914</v>
      </c>
      <c r="G2044" s="22" t="s">
        <v>7915</v>
      </c>
      <c r="H2044" s="22" t="s">
        <v>7916</v>
      </c>
      <c r="I2044" s="22" t="s">
        <v>62</v>
      </c>
      <c r="J2044" s="23">
        <v>2007</v>
      </c>
      <c r="K2044" s="22" t="s">
        <v>24</v>
      </c>
      <c r="L2044" s="23" t="s">
        <v>30</v>
      </c>
      <c r="M2044" s="23" t="s">
        <v>30</v>
      </c>
      <c r="N2044" s="22" t="s">
        <v>74</v>
      </c>
      <c r="O2044" s="22"/>
    </row>
    <row r="2045" spans="1:15" ht="13.5" customHeight="1" x14ac:dyDescent="0.25">
      <c r="A2045" s="1"/>
      <c r="B2045" s="20">
        <v>2033</v>
      </c>
      <c r="C2045" s="20">
        <v>2023</v>
      </c>
      <c r="D2045" s="20">
        <v>12015</v>
      </c>
      <c r="E2045" s="20" t="s">
        <v>7917</v>
      </c>
      <c r="F2045" s="20" t="s">
        <v>7918</v>
      </c>
      <c r="G2045" s="20"/>
      <c r="H2045" s="20" t="s">
        <v>7919</v>
      </c>
      <c r="I2045" s="20" t="s">
        <v>23</v>
      </c>
      <c r="J2045" s="21">
        <v>2005</v>
      </c>
      <c r="K2045" s="20" t="s">
        <v>34</v>
      </c>
      <c r="L2045" s="21"/>
      <c r="M2045" s="21" t="s">
        <v>30</v>
      </c>
      <c r="N2045" s="20" t="s">
        <v>74</v>
      </c>
      <c r="O2045" s="20"/>
    </row>
    <row r="2046" spans="1:15" ht="13.5" customHeight="1" x14ac:dyDescent="0.25">
      <c r="A2046" s="1"/>
      <c r="B2046" s="22">
        <v>2034</v>
      </c>
      <c r="C2046" s="22">
        <v>2023</v>
      </c>
      <c r="D2046" s="22">
        <v>477</v>
      </c>
      <c r="E2046" s="22" t="s">
        <v>7920</v>
      </c>
      <c r="F2046" s="22" t="s">
        <v>7921</v>
      </c>
      <c r="G2046" s="22" t="s">
        <v>7922</v>
      </c>
      <c r="H2046" s="22" t="s">
        <v>7923</v>
      </c>
      <c r="I2046" s="22" t="s">
        <v>23</v>
      </c>
      <c r="J2046" s="23">
        <v>2000</v>
      </c>
      <c r="K2046" s="22" t="s">
        <v>95</v>
      </c>
      <c r="L2046" s="23" t="s">
        <v>30</v>
      </c>
      <c r="M2046" s="23" t="s">
        <v>30</v>
      </c>
      <c r="N2046" s="22"/>
      <c r="O2046" s="22"/>
    </row>
    <row r="2047" spans="1:15" ht="13.5" customHeight="1" x14ac:dyDescent="0.25">
      <c r="A2047" s="1"/>
      <c r="B2047" s="20">
        <v>2035</v>
      </c>
      <c r="C2047" s="20">
        <v>2023</v>
      </c>
      <c r="D2047" s="20">
        <v>40072</v>
      </c>
      <c r="E2047" s="20" t="s">
        <v>7924</v>
      </c>
      <c r="F2047" s="20" t="s">
        <v>7925</v>
      </c>
      <c r="G2047" s="20" t="s">
        <v>7926</v>
      </c>
      <c r="H2047" s="20" t="s">
        <v>7927</v>
      </c>
      <c r="I2047" s="20" t="s">
        <v>23</v>
      </c>
      <c r="J2047" s="21">
        <v>2013</v>
      </c>
      <c r="K2047" s="20" t="s">
        <v>44</v>
      </c>
      <c r="L2047" s="21" t="s">
        <v>30</v>
      </c>
      <c r="M2047" s="21"/>
      <c r="N2047" s="20" t="s">
        <v>260</v>
      </c>
      <c r="O2047" s="20"/>
    </row>
    <row r="2048" spans="1:15" ht="13.5" customHeight="1" x14ac:dyDescent="0.25">
      <c r="A2048" s="1"/>
      <c r="B2048" s="22">
        <v>2036</v>
      </c>
      <c r="C2048" s="22">
        <v>2023</v>
      </c>
      <c r="D2048" s="22">
        <v>66</v>
      </c>
      <c r="E2048" s="22" t="s">
        <v>7928</v>
      </c>
      <c r="F2048" s="22" t="s">
        <v>7929</v>
      </c>
      <c r="G2048" s="22" t="s">
        <v>7930</v>
      </c>
      <c r="H2048" s="22" t="s">
        <v>7931</v>
      </c>
      <c r="I2048" s="22" t="s">
        <v>23</v>
      </c>
      <c r="J2048" s="23">
        <v>2000</v>
      </c>
      <c r="K2048" s="22" t="s">
        <v>39</v>
      </c>
      <c r="L2048" s="23" t="s">
        <v>30</v>
      </c>
      <c r="M2048" s="23" t="s">
        <v>30</v>
      </c>
      <c r="N2048" s="22"/>
      <c r="O2048" s="22"/>
    </row>
    <row r="2049" spans="1:15" ht="13.5" customHeight="1" x14ac:dyDescent="0.25">
      <c r="A2049" s="1"/>
      <c r="B2049" s="20">
        <v>2037</v>
      </c>
      <c r="C2049" s="20">
        <v>2023</v>
      </c>
      <c r="D2049" s="20">
        <v>11506</v>
      </c>
      <c r="E2049" s="20" t="s">
        <v>7932</v>
      </c>
      <c r="F2049" s="20" t="s">
        <v>7933</v>
      </c>
      <c r="G2049" s="20" t="s">
        <v>7934</v>
      </c>
      <c r="H2049" s="20" t="s">
        <v>7935</v>
      </c>
      <c r="I2049" s="20" t="s">
        <v>62</v>
      </c>
      <c r="J2049" s="21">
        <v>2006</v>
      </c>
      <c r="K2049" s="20" t="s">
        <v>95</v>
      </c>
      <c r="L2049" s="21" t="s">
        <v>30</v>
      </c>
      <c r="M2049" s="21" t="s">
        <v>30</v>
      </c>
      <c r="N2049" s="20"/>
      <c r="O2049" s="20"/>
    </row>
    <row r="2050" spans="1:15" ht="13.5" customHeight="1" x14ac:dyDescent="0.25">
      <c r="A2050" s="1"/>
      <c r="B2050" s="22">
        <v>2038</v>
      </c>
      <c r="C2050" s="22">
        <v>2023</v>
      </c>
      <c r="D2050" s="22">
        <v>11223</v>
      </c>
      <c r="E2050" s="22" t="s">
        <v>7936</v>
      </c>
      <c r="F2050" s="22" t="s">
        <v>7937</v>
      </c>
      <c r="G2050" s="22" t="s">
        <v>7938</v>
      </c>
      <c r="H2050" s="22" t="s">
        <v>7939</v>
      </c>
      <c r="I2050" s="22" t="s">
        <v>23</v>
      </c>
      <c r="J2050" s="23">
        <v>2000</v>
      </c>
      <c r="K2050" s="22" t="s">
        <v>24</v>
      </c>
      <c r="L2050" s="23" t="s">
        <v>30</v>
      </c>
      <c r="M2050" s="23" t="s">
        <v>30</v>
      </c>
      <c r="N2050" s="22"/>
      <c r="O2050" s="22"/>
    </row>
    <row r="2051" spans="1:15" ht="13.5" customHeight="1" x14ac:dyDescent="0.25">
      <c r="A2051" s="1"/>
      <c r="B2051" s="20">
        <v>2039</v>
      </c>
      <c r="C2051" s="20">
        <v>2023</v>
      </c>
      <c r="D2051" s="20">
        <v>158</v>
      </c>
      <c r="E2051" s="20" t="s">
        <v>7940</v>
      </c>
      <c r="F2051" s="20" t="s">
        <v>7941</v>
      </c>
      <c r="G2051" s="20" t="s">
        <v>7942</v>
      </c>
      <c r="H2051" s="20" t="s">
        <v>7943</v>
      </c>
      <c r="I2051" s="20" t="s">
        <v>23</v>
      </c>
      <c r="J2051" s="21">
        <v>2000</v>
      </c>
      <c r="K2051" s="20" t="s">
        <v>67</v>
      </c>
      <c r="L2051" s="21" t="s">
        <v>30</v>
      </c>
      <c r="M2051" s="21" t="s">
        <v>30</v>
      </c>
      <c r="N2051" s="20"/>
      <c r="O2051" s="20"/>
    </row>
    <row r="2052" spans="1:15" ht="13.5" customHeight="1" x14ac:dyDescent="0.25">
      <c r="A2052" s="1"/>
      <c r="B2052" s="22">
        <v>2040</v>
      </c>
      <c r="C2052" s="22">
        <v>2023</v>
      </c>
      <c r="D2052" s="22">
        <v>11224</v>
      </c>
      <c r="E2052" s="22" t="s">
        <v>7944</v>
      </c>
      <c r="F2052" s="22" t="s">
        <v>7945</v>
      </c>
      <c r="G2052" s="22" t="s">
        <v>7946</v>
      </c>
      <c r="H2052" s="22" t="s">
        <v>7947</v>
      </c>
      <c r="I2052" s="22" t="s">
        <v>23</v>
      </c>
      <c r="J2052" s="23">
        <v>2000</v>
      </c>
      <c r="K2052" s="22" t="s">
        <v>24</v>
      </c>
      <c r="L2052" s="23" t="s">
        <v>30</v>
      </c>
      <c r="M2052" s="23" t="s">
        <v>30</v>
      </c>
      <c r="N2052" s="22"/>
      <c r="O2052" s="22"/>
    </row>
    <row r="2053" spans="1:15" ht="13.5" customHeight="1" x14ac:dyDescent="0.25">
      <c r="A2053" s="1"/>
      <c r="B2053" s="20">
        <v>2041</v>
      </c>
      <c r="C2053" s="20">
        <v>2023</v>
      </c>
      <c r="D2053" s="20">
        <v>11200</v>
      </c>
      <c r="E2053" s="20" t="s">
        <v>7948</v>
      </c>
      <c r="F2053" s="20" t="s">
        <v>7949</v>
      </c>
      <c r="G2053" s="20" t="s">
        <v>7950</v>
      </c>
      <c r="H2053" s="20" t="s">
        <v>7951</v>
      </c>
      <c r="I2053" s="20" t="s">
        <v>23</v>
      </c>
      <c r="J2053" s="21">
        <v>2000</v>
      </c>
      <c r="K2053" s="20" t="s">
        <v>95</v>
      </c>
      <c r="L2053" s="21" t="s">
        <v>30</v>
      </c>
      <c r="M2053" s="21" t="s">
        <v>30</v>
      </c>
      <c r="N2053" s="20"/>
      <c r="O2053" s="20"/>
    </row>
    <row r="2054" spans="1:15" ht="13.5" customHeight="1" x14ac:dyDescent="0.25">
      <c r="A2054" s="1"/>
      <c r="B2054" s="22">
        <v>2042</v>
      </c>
      <c r="C2054" s="22">
        <v>2023</v>
      </c>
      <c r="D2054" s="22">
        <v>11225</v>
      </c>
      <c r="E2054" s="22" t="s">
        <v>7952</v>
      </c>
      <c r="F2054" s="22" t="s">
        <v>7953</v>
      </c>
      <c r="G2054" s="22" t="s">
        <v>7954</v>
      </c>
      <c r="H2054" s="22" t="s">
        <v>7955</v>
      </c>
      <c r="I2054" s="22" t="s">
        <v>23</v>
      </c>
      <c r="J2054" s="23">
        <v>2000</v>
      </c>
      <c r="K2054" s="22" t="s">
        <v>73</v>
      </c>
      <c r="L2054" s="23" t="s">
        <v>30</v>
      </c>
      <c r="M2054" s="23" t="s">
        <v>30</v>
      </c>
      <c r="N2054" s="22"/>
      <c r="O2054" s="22"/>
    </row>
    <row r="2055" spans="1:15" ht="13.5" customHeight="1" x14ac:dyDescent="0.25">
      <c r="A2055" s="1"/>
      <c r="B2055" s="20">
        <v>2043</v>
      </c>
      <c r="C2055" s="20">
        <v>2023</v>
      </c>
      <c r="D2055" s="20">
        <v>12116</v>
      </c>
      <c r="E2055" s="20" t="s">
        <v>7956</v>
      </c>
      <c r="F2055" s="20" t="s">
        <v>7957</v>
      </c>
      <c r="G2055" s="20" t="s">
        <v>7958</v>
      </c>
      <c r="H2055" s="20" t="s">
        <v>7959</v>
      </c>
      <c r="I2055" s="20" t="s">
        <v>23</v>
      </c>
      <c r="J2055" s="21">
        <v>2000</v>
      </c>
      <c r="K2055" s="20" t="s">
        <v>184</v>
      </c>
      <c r="L2055" s="21" t="s">
        <v>30</v>
      </c>
      <c r="M2055" s="21" t="s">
        <v>30</v>
      </c>
      <c r="N2055" s="20" t="s">
        <v>74</v>
      </c>
      <c r="O2055" s="20"/>
    </row>
    <row r="2056" spans="1:15" ht="13.5" customHeight="1" x14ac:dyDescent="0.25">
      <c r="A2056" s="1"/>
      <c r="B2056" s="22">
        <v>2044</v>
      </c>
      <c r="C2056" s="22">
        <v>2023</v>
      </c>
      <c r="D2056" s="22">
        <v>11212</v>
      </c>
      <c r="E2056" s="22" t="s">
        <v>7960</v>
      </c>
      <c r="F2056" s="22" t="s">
        <v>7961</v>
      </c>
      <c r="G2056" s="22" t="s">
        <v>7962</v>
      </c>
      <c r="H2056" s="22" t="s">
        <v>7963</v>
      </c>
      <c r="I2056" s="22" t="s">
        <v>23</v>
      </c>
      <c r="J2056" s="23">
        <v>2000</v>
      </c>
      <c r="K2056" s="22" t="s">
        <v>73</v>
      </c>
      <c r="L2056" s="23" t="s">
        <v>30</v>
      </c>
      <c r="M2056" s="23" t="s">
        <v>30</v>
      </c>
      <c r="N2056" s="22"/>
      <c r="O2056" s="22"/>
    </row>
    <row r="2057" spans="1:15" ht="13.5" customHeight="1" x14ac:dyDescent="0.25">
      <c r="A2057" s="1"/>
      <c r="B2057" s="20">
        <v>2045</v>
      </c>
      <c r="C2057" s="20">
        <v>2023</v>
      </c>
      <c r="D2057" s="20">
        <v>11217</v>
      </c>
      <c r="E2057" s="20" t="s">
        <v>7964</v>
      </c>
      <c r="F2057" s="20" t="s">
        <v>7965</v>
      </c>
      <c r="G2057" s="20" t="s">
        <v>7966</v>
      </c>
      <c r="H2057" s="20" t="s">
        <v>7967</v>
      </c>
      <c r="I2057" s="20" t="s">
        <v>23</v>
      </c>
      <c r="J2057" s="21">
        <v>2000</v>
      </c>
      <c r="K2057" s="20" t="s">
        <v>73</v>
      </c>
      <c r="L2057" s="21" t="s">
        <v>30</v>
      </c>
      <c r="M2057" s="21" t="s">
        <v>30</v>
      </c>
      <c r="N2057" s="20"/>
      <c r="O2057" s="20"/>
    </row>
    <row r="2058" spans="1:15" ht="13.5" customHeight="1" x14ac:dyDescent="0.25">
      <c r="A2058" s="1"/>
      <c r="B2058" s="22">
        <v>2046</v>
      </c>
      <c r="C2058" s="22">
        <v>2023</v>
      </c>
      <c r="D2058" s="22">
        <v>11507</v>
      </c>
      <c r="E2058" s="22" t="s">
        <v>7968</v>
      </c>
      <c r="F2058" s="22" t="s">
        <v>7969</v>
      </c>
      <c r="G2058" s="22" t="s">
        <v>7970</v>
      </c>
      <c r="H2058" s="22" t="s">
        <v>7971</v>
      </c>
      <c r="I2058" s="22" t="s">
        <v>62</v>
      </c>
      <c r="J2058" s="23">
        <v>2006</v>
      </c>
      <c r="K2058" s="22" t="s">
        <v>475</v>
      </c>
      <c r="L2058" s="23" t="s">
        <v>30</v>
      </c>
      <c r="M2058" s="23" t="s">
        <v>30</v>
      </c>
      <c r="N2058" s="22"/>
      <c r="O2058" s="22"/>
    </row>
    <row r="2059" spans="1:15" ht="13.5" customHeight="1" x14ac:dyDescent="0.25">
      <c r="A2059" s="1"/>
      <c r="B2059" s="20">
        <v>2047</v>
      </c>
      <c r="C2059" s="20">
        <v>2023</v>
      </c>
      <c r="D2059" s="20">
        <v>12355</v>
      </c>
      <c r="E2059" s="20" t="s">
        <v>7972</v>
      </c>
      <c r="F2059" s="20" t="s">
        <v>7973</v>
      </c>
      <c r="G2059" s="20" t="s">
        <v>7974</v>
      </c>
      <c r="H2059" s="20" t="s">
        <v>7975</v>
      </c>
      <c r="I2059" s="20" t="s">
        <v>23</v>
      </c>
      <c r="J2059" s="21">
        <v>2000</v>
      </c>
      <c r="K2059" s="20" t="s">
        <v>34</v>
      </c>
      <c r="L2059" s="21" t="s">
        <v>30</v>
      </c>
      <c r="M2059" s="21" t="s">
        <v>30</v>
      </c>
      <c r="N2059" s="20" t="s">
        <v>35</v>
      </c>
      <c r="O2059" s="20"/>
    </row>
    <row r="2060" spans="1:15" ht="13.5" customHeight="1" x14ac:dyDescent="0.25">
      <c r="A2060" s="1"/>
      <c r="B2060" s="22">
        <v>2048</v>
      </c>
      <c r="C2060" s="22">
        <v>2023</v>
      </c>
      <c r="D2060" s="22">
        <v>520</v>
      </c>
      <c r="E2060" s="22" t="s">
        <v>7976</v>
      </c>
      <c r="F2060" s="22" t="s">
        <v>7977</v>
      </c>
      <c r="G2060" s="22" t="s">
        <v>7978</v>
      </c>
      <c r="H2060" s="22" t="s">
        <v>7979</v>
      </c>
      <c r="I2060" s="22" t="s">
        <v>23</v>
      </c>
      <c r="J2060" s="23">
        <v>2000</v>
      </c>
      <c r="K2060" s="22" t="s">
        <v>39</v>
      </c>
      <c r="L2060" s="23" t="s">
        <v>30</v>
      </c>
      <c r="M2060" s="23" t="s">
        <v>30</v>
      </c>
      <c r="N2060" s="22"/>
      <c r="O2060" s="22"/>
    </row>
    <row r="2061" spans="1:15" ht="13.5" customHeight="1" x14ac:dyDescent="0.25">
      <c r="A2061" s="1"/>
      <c r="B2061" s="20">
        <v>2049</v>
      </c>
      <c r="C2061" s="20">
        <v>2023</v>
      </c>
      <c r="D2061" s="20">
        <v>11987</v>
      </c>
      <c r="E2061" s="20" t="s">
        <v>7980</v>
      </c>
      <c r="F2061" s="20" t="s">
        <v>7981</v>
      </c>
      <c r="G2061" s="20" t="s">
        <v>7982</v>
      </c>
      <c r="H2061" s="20" t="s">
        <v>7983</v>
      </c>
      <c r="I2061" s="20" t="s">
        <v>62</v>
      </c>
      <c r="J2061" s="21">
        <v>2007</v>
      </c>
      <c r="K2061" s="20" t="s">
        <v>67</v>
      </c>
      <c r="L2061" s="21" t="s">
        <v>30</v>
      </c>
      <c r="M2061" s="21" t="s">
        <v>30</v>
      </c>
      <c r="N2061" s="20" t="s">
        <v>74</v>
      </c>
      <c r="O2061" s="20"/>
    </row>
    <row r="2062" spans="1:15" ht="13.5" customHeight="1" x14ac:dyDescent="0.25">
      <c r="A2062" s="1"/>
      <c r="B2062" s="22">
        <v>2050</v>
      </c>
      <c r="C2062" s="22">
        <v>2023</v>
      </c>
      <c r="D2062" s="22">
        <v>595</v>
      </c>
      <c r="E2062" s="22" t="s">
        <v>7984</v>
      </c>
      <c r="F2062" s="22" t="s">
        <v>7985</v>
      </c>
      <c r="G2062" s="22" t="s">
        <v>7986</v>
      </c>
      <c r="H2062" s="22" t="s">
        <v>7987</v>
      </c>
      <c r="I2062" s="22" t="s">
        <v>23</v>
      </c>
      <c r="J2062" s="23">
        <v>2000</v>
      </c>
      <c r="K2062" s="22" t="s">
        <v>39</v>
      </c>
      <c r="L2062" s="23" t="s">
        <v>30</v>
      </c>
      <c r="M2062" s="23" t="s">
        <v>30</v>
      </c>
      <c r="N2062" s="22"/>
      <c r="O2062" s="22"/>
    </row>
    <row r="2063" spans="1:15" ht="13.5" customHeight="1" x14ac:dyDescent="0.25">
      <c r="A2063" s="1"/>
      <c r="B2063" s="20">
        <v>2051</v>
      </c>
      <c r="C2063" s="20">
        <v>2023</v>
      </c>
      <c r="D2063" s="20">
        <v>276</v>
      </c>
      <c r="E2063" s="20" t="s">
        <v>7988</v>
      </c>
      <c r="F2063" s="20" t="s">
        <v>7989</v>
      </c>
      <c r="G2063" s="20"/>
      <c r="H2063" s="20" t="s">
        <v>7990</v>
      </c>
      <c r="I2063" s="20" t="s">
        <v>23</v>
      </c>
      <c r="J2063" s="21">
        <v>2000</v>
      </c>
      <c r="K2063" s="20" t="s">
        <v>39</v>
      </c>
      <c r="L2063" s="21"/>
      <c r="M2063" s="21" t="s">
        <v>30</v>
      </c>
      <c r="N2063" s="20"/>
      <c r="O2063" s="20"/>
    </row>
    <row r="2064" spans="1:15" ht="13.5" customHeight="1" x14ac:dyDescent="0.25">
      <c r="A2064" s="1"/>
      <c r="B2064" s="22">
        <v>2052</v>
      </c>
      <c r="C2064" s="22">
        <v>2023</v>
      </c>
      <c r="D2064" s="22">
        <v>464</v>
      </c>
      <c r="E2064" s="22" t="s">
        <v>7991</v>
      </c>
      <c r="F2064" s="22" t="s">
        <v>7992</v>
      </c>
      <c r="G2064" s="22" t="s">
        <v>7993</v>
      </c>
      <c r="H2064" s="22" t="s">
        <v>7994</v>
      </c>
      <c r="I2064" s="22" t="s">
        <v>23</v>
      </c>
      <c r="J2064" s="23">
        <v>2000</v>
      </c>
      <c r="K2064" s="22" t="s">
        <v>39</v>
      </c>
      <c r="L2064" s="23" t="s">
        <v>30</v>
      </c>
      <c r="M2064" s="23" t="s">
        <v>30</v>
      </c>
      <c r="N2064" s="22"/>
      <c r="O2064" s="22"/>
    </row>
    <row r="2065" spans="1:15" ht="13.5" customHeight="1" x14ac:dyDescent="0.25">
      <c r="A2065" s="1"/>
      <c r="B2065" s="20">
        <v>2053</v>
      </c>
      <c r="C2065" s="20">
        <v>2023</v>
      </c>
      <c r="D2065" s="20">
        <v>10712</v>
      </c>
      <c r="E2065" s="20" t="s">
        <v>7995</v>
      </c>
      <c r="F2065" s="20" t="s">
        <v>7996</v>
      </c>
      <c r="G2065" s="20" t="s">
        <v>7997</v>
      </c>
      <c r="H2065" s="20" t="s">
        <v>7998</v>
      </c>
      <c r="I2065" s="20" t="s">
        <v>23</v>
      </c>
      <c r="J2065" s="21">
        <v>2000</v>
      </c>
      <c r="K2065" s="20" t="s">
        <v>95</v>
      </c>
      <c r="L2065" s="21" t="s">
        <v>30</v>
      </c>
      <c r="M2065" s="21" t="s">
        <v>30</v>
      </c>
      <c r="N2065" s="20"/>
      <c r="O2065" s="20"/>
    </row>
    <row r="2066" spans="1:15" ht="13.5" customHeight="1" x14ac:dyDescent="0.25">
      <c r="A2066" s="1"/>
      <c r="B2066" s="22">
        <v>2054</v>
      </c>
      <c r="C2066" s="22">
        <v>2023</v>
      </c>
      <c r="D2066" s="22">
        <v>550</v>
      </c>
      <c r="E2066" s="22" t="s">
        <v>7999</v>
      </c>
      <c r="F2066" s="22" t="s">
        <v>8000</v>
      </c>
      <c r="G2066" s="22" t="s">
        <v>8001</v>
      </c>
      <c r="H2066" s="22" t="s">
        <v>8002</v>
      </c>
      <c r="I2066" s="22" t="s">
        <v>23</v>
      </c>
      <c r="J2066" s="23">
        <v>2007</v>
      </c>
      <c r="K2066" s="22" t="s">
        <v>475</v>
      </c>
      <c r="L2066" s="23" t="s">
        <v>30</v>
      </c>
      <c r="M2066" s="23" t="s">
        <v>30</v>
      </c>
      <c r="N2066" s="22"/>
      <c r="O2066" s="22"/>
    </row>
    <row r="2067" spans="1:15" ht="13.5" customHeight="1" x14ac:dyDescent="0.25">
      <c r="A2067" s="1"/>
      <c r="B2067" s="20">
        <v>2055</v>
      </c>
      <c r="C2067" s="20">
        <v>2023</v>
      </c>
      <c r="D2067" s="20">
        <v>11625</v>
      </c>
      <c r="E2067" s="20" t="s">
        <v>8003</v>
      </c>
      <c r="F2067" s="20" t="s">
        <v>8004</v>
      </c>
      <c r="G2067" s="20" t="s">
        <v>8005</v>
      </c>
      <c r="H2067" s="20" t="s">
        <v>8006</v>
      </c>
      <c r="I2067" s="20" t="s">
        <v>23</v>
      </c>
      <c r="J2067" s="21">
        <v>2006</v>
      </c>
      <c r="K2067" s="20" t="s">
        <v>95</v>
      </c>
      <c r="L2067" s="21" t="s">
        <v>30</v>
      </c>
      <c r="M2067" s="21" t="s">
        <v>30</v>
      </c>
      <c r="N2067" s="20" t="s">
        <v>245</v>
      </c>
      <c r="O2067" s="20"/>
    </row>
    <row r="2068" spans="1:15" ht="13.5" customHeight="1" x14ac:dyDescent="0.25">
      <c r="A2068" s="1"/>
      <c r="B2068" s="22">
        <v>2056</v>
      </c>
      <c r="C2068" s="22">
        <v>2023</v>
      </c>
      <c r="D2068" s="22">
        <v>40899</v>
      </c>
      <c r="E2068" s="22" t="s">
        <v>8007</v>
      </c>
      <c r="F2068" s="22" t="s">
        <v>8008</v>
      </c>
      <c r="G2068" s="22" t="s">
        <v>8009</v>
      </c>
      <c r="H2068" s="22" t="s">
        <v>8010</v>
      </c>
      <c r="I2068" s="22" t="s">
        <v>23</v>
      </c>
      <c r="J2068" s="23">
        <v>2015</v>
      </c>
      <c r="K2068" s="22" t="s">
        <v>95</v>
      </c>
      <c r="L2068" s="23" t="s">
        <v>30</v>
      </c>
      <c r="M2068" s="23"/>
      <c r="N2068" s="22" t="s">
        <v>185</v>
      </c>
      <c r="O2068" s="22"/>
    </row>
    <row r="2069" spans="1:15" ht="13.5" customHeight="1" x14ac:dyDescent="0.25">
      <c r="A2069" s="1"/>
      <c r="B2069" s="20">
        <v>2057</v>
      </c>
      <c r="C2069" s="20">
        <v>2023</v>
      </c>
      <c r="D2069" s="20">
        <v>11721</v>
      </c>
      <c r="E2069" s="20" t="s">
        <v>8011</v>
      </c>
      <c r="F2069" s="20" t="s">
        <v>8012</v>
      </c>
      <c r="G2069" s="20" t="s">
        <v>8013</v>
      </c>
      <c r="H2069" s="20" t="s">
        <v>8014</v>
      </c>
      <c r="I2069" s="20" t="s">
        <v>23</v>
      </c>
      <c r="J2069" s="21">
        <v>2007</v>
      </c>
      <c r="K2069" s="20" t="s">
        <v>114</v>
      </c>
      <c r="L2069" s="21" t="s">
        <v>30</v>
      </c>
      <c r="M2069" s="21" t="s">
        <v>30</v>
      </c>
      <c r="N2069" s="20" t="s">
        <v>245</v>
      </c>
      <c r="O2069" s="20"/>
    </row>
    <row r="2070" spans="1:15" ht="13.5" customHeight="1" x14ac:dyDescent="0.25">
      <c r="A2070" s="1"/>
      <c r="B2070" s="22">
        <v>2058</v>
      </c>
      <c r="C2070" s="22">
        <v>2023</v>
      </c>
      <c r="D2070" s="22">
        <v>13199</v>
      </c>
      <c r="E2070" s="22" t="s">
        <v>8015</v>
      </c>
      <c r="F2070" s="22" t="s">
        <v>8016</v>
      </c>
      <c r="G2070" s="22" t="s">
        <v>8017</v>
      </c>
      <c r="H2070" s="22" t="s">
        <v>8018</v>
      </c>
      <c r="I2070" s="22" t="s">
        <v>23</v>
      </c>
      <c r="J2070" s="23">
        <v>2009</v>
      </c>
      <c r="K2070" s="22" t="s">
        <v>34</v>
      </c>
      <c r="L2070" s="23" t="s">
        <v>30</v>
      </c>
      <c r="M2070" s="23"/>
      <c r="N2070" s="22" t="s">
        <v>431</v>
      </c>
      <c r="O2070" s="22"/>
    </row>
    <row r="2071" spans="1:15" ht="13.5" customHeight="1" x14ac:dyDescent="0.25">
      <c r="A2071" s="1"/>
      <c r="B2071" s="20">
        <v>2059</v>
      </c>
      <c r="C2071" s="20">
        <v>2023</v>
      </c>
      <c r="D2071" s="20">
        <v>11229</v>
      </c>
      <c r="E2071" s="20" t="s">
        <v>8019</v>
      </c>
      <c r="F2071" s="20" t="s">
        <v>8020</v>
      </c>
      <c r="G2071" s="20"/>
      <c r="H2071" s="20" t="s">
        <v>8021</v>
      </c>
      <c r="I2071" s="20" t="s">
        <v>23</v>
      </c>
      <c r="J2071" s="21">
        <v>2000</v>
      </c>
      <c r="K2071" s="20" t="s">
        <v>73</v>
      </c>
      <c r="L2071" s="21"/>
      <c r="M2071" s="21" t="s">
        <v>30</v>
      </c>
      <c r="N2071" s="20"/>
      <c r="O2071" s="20"/>
    </row>
    <row r="2072" spans="1:15" ht="13.5" customHeight="1" x14ac:dyDescent="0.25">
      <c r="A2072" s="1"/>
      <c r="B2072" s="22">
        <v>2060</v>
      </c>
      <c r="C2072" s="22">
        <v>2023</v>
      </c>
      <c r="D2072" s="22">
        <v>11230</v>
      </c>
      <c r="E2072" s="22" t="s">
        <v>8022</v>
      </c>
      <c r="F2072" s="22" t="s">
        <v>8023</v>
      </c>
      <c r="G2072" s="22" t="s">
        <v>8024</v>
      </c>
      <c r="H2072" s="22" t="s">
        <v>8025</v>
      </c>
      <c r="I2072" s="22" t="s">
        <v>23</v>
      </c>
      <c r="J2072" s="23">
        <v>2000</v>
      </c>
      <c r="K2072" s="22" t="s">
        <v>34</v>
      </c>
      <c r="L2072" s="23" t="s">
        <v>30</v>
      </c>
      <c r="M2072" s="23" t="s">
        <v>30</v>
      </c>
      <c r="N2072" s="22"/>
      <c r="O2072" s="22"/>
    </row>
    <row r="2073" spans="1:15" ht="13.5" customHeight="1" x14ac:dyDescent="0.25">
      <c r="A2073" s="1"/>
      <c r="B2073" s="20">
        <v>2061</v>
      </c>
      <c r="C2073" s="20">
        <v>2023</v>
      </c>
      <c r="D2073" s="20">
        <v>11213</v>
      </c>
      <c r="E2073" s="20" t="s">
        <v>8026</v>
      </c>
      <c r="F2073" s="20" t="s">
        <v>8027</v>
      </c>
      <c r="G2073" s="20" t="s">
        <v>8028</v>
      </c>
      <c r="H2073" s="20" t="s">
        <v>8029</v>
      </c>
      <c r="I2073" s="20" t="s">
        <v>23</v>
      </c>
      <c r="J2073" s="21">
        <v>2000</v>
      </c>
      <c r="K2073" s="20" t="s">
        <v>29</v>
      </c>
      <c r="L2073" s="21" t="s">
        <v>30</v>
      </c>
      <c r="M2073" s="21" t="s">
        <v>30</v>
      </c>
      <c r="N2073" s="20"/>
      <c r="O2073" s="20"/>
    </row>
    <row r="2074" spans="1:15" ht="13.5" customHeight="1" x14ac:dyDescent="0.25">
      <c r="A2074" s="1"/>
      <c r="B2074" s="22">
        <v>2062</v>
      </c>
      <c r="C2074" s="22">
        <v>2023</v>
      </c>
      <c r="D2074" s="22">
        <v>43393</v>
      </c>
      <c r="E2074" s="22" t="s">
        <v>8030</v>
      </c>
      <c r="F2074" s="22" t="s">
        <v>8031</v>
      </c>
      <c r="G2074" s="22" t="s">
        <v>8032</v>
      </c>
      <c r="H2074" s="22" t="s">
        <v>8033</v>
      </c>
      <c r="I2074" s="22" t="s">
        <v>23</v>
      </c>
      <c r="J2074" s="23">
        <v>2021</v>
      </c>
      <c r="K2074" s="22" t="s">
        <v>34</v>
      </c>
      <c r="L2074" s="23" t="s">
        <v>30</v>
      </c>
      <c r="M2074" s="23"/>
      <c r="N2074" s="22" t="s">
        <v>236</v>
      </c>
      <c r="O2074" s="22"/>
    </row>
    <row r="2075" spans="1:15" ht="13.5" customHeight="1" x14ac:dyDescent="0.25">
      <c r="A2075" s="1"/>
      <c r="B2075" s="20">
        <v>2063</v>
      </c>
      <c r="C2075" s="20">
        <v>2023</v>
      </c>
      <c r="D2075" s="20">
        <v>11454</v>
      </c>
      <c r="E2075" s="20" t="s">
        <v>8034</v>
      </c>
      <c r="F2075" s="20" t="s">
        <v>8035</v>
      </c>
      <c r="G2075" s="20" t="s">
        <v>8036</v>
      </c>
      <c r="H2075" s="20" t="s">
        <v>8037</v>
      </c>
      <c r="I2075" s="20" t="s">
        <v>62</v>
      </c>
      <c r="J2075" s="21">
        <v>2000</v>
      </c>
      <c r="K2075" s="20" t="s">
        <v>63</v>
      </c>
      <c r="L2075" s="21" t="s">
        <v>30</v>
      </c>
      <c r="M2075" s="21" t="s">
        <v>30</v>
      </c>
      <c r="N2075" s="20"/>
      <c r="O2075" s="20"/>
    </row>
    <row r="2076" spans="1:15" ht="13.5" customHeight="1" x14ac:dyDescent="0.25">
      <c r="A2076" s="1"/>
      <c r="B2076" s="22">
        <v>2064</v>
      </c>
      <c r="C2076" s="22">
        <v>2023</v>
      </c>
      <c r="D2076" s="22">
        <v>11455</v>
      </c>
      <c r="E2076" s="22" t="s">
        <v>8038</v>
      </c>
      <c r="F2076" s="22" t="s">
        <v>8039</v>
      </c>
      <c r="G2076" s="22" t="s">
        <v>8040</v>
      </c>
      <c r="H2076" s="22" t="s">
        <v>8041</v>
      </c>
      <c r="I2076" s="22" t="s">
        <v>62</v>
      </c>
      <c r="J2076" s="23">
        <v>2000</v>
      </c>
      <c r="K2076" s="22" t="s">
        <v>63</v>
      </c>
      <c r="L2076" s="23" t="s">
        <v>30</v>
      </c>
      <c r="M2076" s="23" t="s">
        <v>30</v>
      </c>
      <c r="N2076" s="22"/>
      <c r="O2076" s="22"/>
    </row>
    <row r="2077" spans="1:15" ht="13.5" customHeight="1" x14ac:dyDescent="0.25">
      <c r="A2077" s="1"/>
      <c r="B2077" s="20">
        <v>2065</v>
      </c>
      <c r="C2077" s="20">
        <v>2023</v>
      </c>
      <c r="D2077" s="20">
        <v>10151</v>
      </c>
      <c r="E2077" s="20" t="s">
        <v>8042</v>
      </c>
      <c r="F2077" s="20" t="s">
        <v>8043</v>
      </c>
      <c r="G2077" s="20"/>
      <c r="H2077" s="20" t="s">
        <v>8044</v>
      </c>
      <c r="I2077" s="20" t="s">
        <v>23</v>
      </c>
      <c r="J2077" s="21">
        <v>2000</v>
      </c>
      <c r="K2077" s="20" t="s">
        <v>39</v>
      </c>
      <c r="L2077" s="21"/>
      <c r="M2077" s="21" t="s">
        <v>30</v>
      </c>
      <c r="N2077" s="20"/>
      <c r="O2077" s="20"/>
    </row>
    <row r="2078" spans="1:15" ht="13.5" customHeight="1" x14ac:dyDescent="0.25">
      <c r="A2078" s="1"/>
      <c r="B2078" s="22">
        <v>2066</v>
      </c>
      <c r="C2078" s="22">
        <v>2023</v>
      </c>
      <c r="D2078" s="22">
        <v>40866</v>
      </c>
      <c r="E2078" s="22" t="s">
        <v>8045</v>
      </c>
      <c r="F2078" s="22" t="s">
        <v>8046</v>
      </c>
      <c r="G2078" s="22"/>
      <c r="H2078" s="22" t="s">
        <v>8047</v>
      </c>
      <c r="I2078" s="22" t="s">
        <v>23</v>
      </c>
      <c r="J2078" s="23">
        <v>2016</v>
      </c>
      <c r="K2078" s="22" t="s">
        <v>1059</v>
      </c>
      <c r="L2078" s="23"/>
      <c r="M2078" s="23"/>
      <c r="N2078" s="22" t="s">
        <v>204</v>
      </c>
      <c r="O2078" s="22"/>
    </row>
    <row r="2079" spans="1:15" ht="13.5" customHeight="1" x14ac:dyDescent="0.25">
      <c r="A2079" s="1"/>
      <c r="B2079" s="20">
        <v>2067</v>
      </c>
      <c r="C2079" s="20">
        <v>2023</v>
      </c>
      <c r="D2079" s="20">
        <v>10758</v>
      </c>
      <c r="E2079" s="20" t="s">
        <v>8048</v>
      </c>
      <c r="F2079" s="20" t="s">
        <v>8049</v>
      </c>
      <c r="G2079" s="20" t="s">
        <v>8050</v>
      </c>
      <c r="H2079" s="20" t="s">
        <v>8051</v>
      </c>
      <c r="I2079" s="20" t="s">
        <v>23</v>
      </c>
      <c r="J2079" s="21">
        <v>2000</v>
      </c>
      <c r="K2079" s="20" t="s">
        <v>73</v>
      </c>
      <c r="L2079" s="21" t="s">
        <v>30</v>
      </c>
      <c r="M2079" s="21" t="s">
        <v>30</v>
      </c>
      <c r="N2079" s="20"/>
      <c r="O2079" s="20"/>
    </row>
    <row r="2080" spans="1:15" ht="13.5" customHeight="1" x14ac:dyDescent="0.25">
      <c r="A2080" s="1"/>
      <c r="B2080" s="22">
        <v>2068</v>
      </c>
      <c r="C2080" s="22">
        <v>2023</v>
      </c>
      <c r="D2080" s="22">
        <v>11528</v>
      </c>
      <c r="E2080" s="22" t="s">
        <v>8052</v>
      </c>
      <c r="F2080" s="22" t="s">
        <v>8053</v>
      </c>
      <c r="G2080" s="22" t="s">
        <v>8054</v>
      </c>
      <c r="H2080" s="22" t="s">
        <v>8055</v>
      </c>
      <c r="I2080" s="22" t="s">
        <v>23</v>
      </c>
      <c r="J2080" s="23">
        <v>2000</v>
      </c>
      <c r="K2080" s="22" t="s">
        <v>73</v>
      </c>
      <c r="L2080" s="23" t="s">
        <v>30</v>
      </c>
      <c r="M2080" s="23" t="s">
        <v>30</v>
      </c>
      <c r="N2080" s="22"/>
      <c r="O2080" s="22"/>
    </row>
    <row r="2081" spans="1:15" ht="13.5" customHeight="1" x14ac:dyDescent="0.25">
      <c r="A2081" s="1"/>
      <c r="B2081" s="20">
        <v>2069</v>
      </c>
      <c r="C2081" s="20">
        <v>2023</v>
      </c>
      <c r="D2081" s="20">
        <v>11235</v>
      </c>
      <c r="E2081" s="20" t="s">
        <v>8056</v>
      </c>
      <c r="F2081" s="20" t="s">
        <v>8057</v>
      </c>
      <c r="G2081" s="20" t="s">
        <v>8058</v>
      </c>
      <c r="H2081" s="20" t="s">
        <v>8059</v>
      </c>
      <c r="I2081" s="20" t="s">
        <v>23</v>
      </c>
      <c r="J2081" s="21">
        <v>2000</v>
      </c>
      <c r="K2081" s="20" t="s">
        <v>29</v>
      </c>
      <c r="L2081" s="21" t="s">
        <v>30</v>
      </c>
      <c r="M2081" s="21" t="s">
        <v>30</v>
      </c>
      <c r="N2081" s="20"/>
      <c r="O2081" s="20"/>
    </row>
    <row r="2082" spans="1:15" ht="13.5" customHeight="1" x14ac:dyDescent="0.25">
      <c r="A2082" s="1"/>
      <c r="B2082" s="22">
        <v>2070</v>
      </c>
      <c r="C2082" s="22">
        <v>2023</v>
      </c>
      <c r="D2082" s="22">
        <v>11233</v>
      </c>
      <c r="E2082" s="22" t="s">
        <v>8060</v>
      </c>
      <c r="F2082" s="22" t="s">
        <v>8061</v>
      </c>
      <c r="G2082" s="22" t="s">
        <v>8062</v>
      </c>
      <c r="H2082" s="22" t="s">
        <v>8063</v>
      </c>
      <c r="I2082" s="22" t="s">
        <v>23</v>
      </c>
      <c r="J2082" s="23">
        <v>2000</v>
      </c>
      <c r="K2082" s="22" t="s">
        <v>73</v>
      </c>
      <c r="L2082" s="23" t="s">
        <v>30</v>
      </c>
      <c r="M2082" s="23"/>
      <c r="N2082" s="22" t="s">
        <v>123</v>
      </c>
      <c r="O2082" s="22"/>
    </row>
    <row r="2083" spans="1:15" ht="13.5" customHeight="1" x14ac:dyDescent="0.25">
      <c r="A2083" s="1"/>
      <c r="B2083" s="20">
        <v>2071</v>
      </c>
      <c r="C2083" s="20">
        <v>2023</v>
      </c>
      <c r="D2083" s="20">
        <v>11749</v>
      </c>
      <c r="E2083" s="20" t="s">
        <v>8064</v>
      </c>
      <c r="F2083" s="20" t="s">
        <v>8065</v>
      </c>
      <c r="G2083" s="20" t="s">
        <v>8066</v>
      </c>
      <c r="H2083" s="20" t="s">
        <v>8067</v>
      </c>
      <c r="I2083" s="20" t="s">
        <v>23</v>
      </c>
      <c r="J2083" s="21">
        <v>2000</v>
      </c>
      <c r="K2083" s="20" t="s">
        <v>44</v>
      </c>
      <c r="L2083" s="21" t="s">
        <v>30</v>
      </c>
      <c r="M2083" s="21" t="s">
        <v>30</v>
      </c>
      <c r="N2083" s="20" t="s">
        <v>74</v>
      </c>
      <c r="O2083" s="20"/>
    </row>
    <row r="2084" spans="1:15" ht="13.5" customHeight="1" x14ac:dyDescent="0.25">
      <c r="A2084" s="1"/>
      <c r="B2084" s="22">
        <v>2072</v>
      </c>
      <c r="C2084" s="22">
        <v>2023</v>
      </c>
      <c r="D2084" s="22">
        <v>41208</v>
      </c>
      <c r="E2084" s="22" t="s">
        <v>8068</v>
      </c>
      <c r="F2084" s="22" t="s">
        <v>8069</v>
      </c>
      <c r="G2084" s="22" t="s">
        <v>8070</v>
      </c>
      <c r="H2084" s="22" t="s">
        <v>8071</v>
      </c>
      <c r="I2084" s="22" t="s">
        <v>23</v>
      </c>
      <c r="J2084" s="23">
        <v>2016</v>
      </c>
      <c r="K2084" s="22" t="s">
        <v>95</v>
      </c>
      <c r="L2084" s="23" t="s">
        <v>30</v>
      </c>
      <c r="M2084" s="23"/>
      <c r="N2084" s="22" t="s">
        <v>1470</v>
      </c>
      <c r="O2084" s="22"/>
    </row>
    <row r="2085" spans="1:15" ht="13.5" customHeight="1" x14ac:dyDescent="0.25">
      <c r="A2085" s="1"/>
      <c r="B2085" s="20">
        <v>2073</v>
      </c>
      <c r="C2085" s="20">
        <v>2023</v>
      </c>
      <c r="D2085" s="20">
        <v>12248</v>
      </c>
      <c r="E2085" s="20" t="s">
        <v>8072</v>
      </c>
      <c r="F2085" s="20" t="s">
        <v>8073</v>
      </c>
      <c r="G2085" s="20"/>
      <c r="H2085" s="20" t="s">
        <v>8074</v>
      </c>
      <c r="I2085" s="20" t="s">
        <v>23</v>
      </c>
      <c r="J2085" s="21">
        <v>2000</v>
      </c>
      <c r="K2085" s="20" t="s">
        <v>34</v>
      </c>
      <c r="L2085" s="21"/>
      <c r="M2085" s="21" t="s">
        <v>30</v>
      </c>
      <c r="N2085" s="20" t="s">
        <v>35</v>
      </c>
      <c r="O2085" s="20"/>
    </row>
    <row r="2086" spans="1:15" ht="13.5" customHeight="1" x14ac:dyDescent="0.25">
      <c r="A2086" s="1"/>
      <c r="B2086" s="22">
        <v>2074</v>
      </c>
      <c r="C2086" s="22">
        <v>2023</v>
      </c>
      <c r="D2086" s="22">
        <v>12108</v>
      </c>
      <c r="E2086" s="22" t="s">
        <v>8075</v>
      </c>
      <c r="F2086" s="22" t="s">
        <v>8076</v>
      </c>
      <c r="G2086" s="22" t="s">
        <v>8077</v>
      </c>
      <c r="H2086" s="22" t="s">
        <v>8078</v>
      </c>
      <c r="I2086" s="22" t="s">
        <v>23</v>
      </c>
      <c r="J2086" s="23">
        <v>2000</v>
      </c>
      <c r="K2086" s="22" t="s">
        <v>184</v>
      </c>
      <c r="L2086" s="23" t="s">
        <v>30</v>
      </c>
      <c r="M2086" s="23" t="s">
        <v>30</v>
      </c>
      <c r="N2086" s="22" t="s">
        <v>74</v>
      </c>
      <c r="O2086" s="22"/>
    </row>
    <row r="2087" spans="1:15" ht="13.5" customHeight="1" x14ac:dyDescent="0.25">
      <c r="A2087" s="1"/>
      <c r="B2087" s="20">
        <v>2075</v>
      </c>
      <c r="C2087" s="20">
        <v>2023</v>
      </c>
      <c r="D2087" s="20">
        <v>40616</v>
      </c>
      <c r="E2087" s="20" t="s">
        <v>8079</v>
      </c>
      <c r="F2087" s="20" t="s">
        <v>8080</v>
      </c>
      <c r="G2087" s="20" t="s">
        <v>8081</v>
      </c>
      <c r="H2087" s="20" t="s">
        <v>8082</v>
      </c>
      <c r="I2087" s="20" t="s">
        <v>23</v>
      </c>
      <c r="J2087" s="21">
        <v>2000</v>
      </c>
      <c r="K2087" s="20" t="s">
        <v>203</v>
      </c>
      <c r="L2087" s="21" t="s">
        <v>30</v>
      </c>
      <c r="M2087" s="21"/>
      <c r="N2087" s="20" t="s">
        <v>53</v>
      </c>
      <c r="O2087" s="20"/>
    </row>
    <row r="2088" spans="1:15" ht="13.5" customHeight="1" x14ac:dyDescent="0.25">
      <c r="A2088" s="1"/>
      <c r="B2088" s="22">
        <v>2076</v>
      </c>
      <c r="C2088" s="22">
        <v>2023</v>
      </c>
      <c r="D2088" s="22">
        <v>168</v>
      </c>
      <c r="E2088" s="22" t="s">
        <v>8083</v>
      </c>
      <c r="F2088" s="22" t="s">
        <v>8084</v>
      </c>
      <c r="G2088" s="22" t="s">
        <v>8085</v>
      </c>
      <c r="H2088" s="22" t="s">
        <v>8086</v>
      </c>
      <c r="I2088" s="22" t="s">
        <v>23</v>
      </c>
      <c r="J2088" s="23">
        <v>2000</v>
      </c>
      <c r="K2088" s="22" t="s">
        <v>475</v>
      </c>
      <c r="L2088" s="23" t="s">
        <v>30</v>
      </c>
      <c r="M2088" s="23" t="s">
        <v>30</v>
      </c>
      <c r="N2088" s="22"/>
      <c r="O2088" s="22"/>
    </row>
    <row r="2089" spans="1:15" ht="13.5" customHeight="1" x14ac:dyDescent="0.25">
      <c r="A2089" s="1"/>
      <c r="B2089" s="20">
        <v>2077</v>
      </c>
      <c r="C2089" s="20">
        <v>2023</v>
      </c>
      <c r="D2089" s="20">
        <v>40299</v>
      </c>
      <c r="E2089" s="20" t="s">
        <v>8087</v>
      </c>
      <c r="F2089" s="20" t="s">
        <v>8088</v>
      </c>
      <c r="G2089" s="20" t="s">
        <v>8089</v>
      </c>
      <c r="H2089" s="20" t="s">
        <v>8090</v>
      </c>
      <c r="I2089" s="20" t="s">
        <v>23</v>
      </c>
      <c r="J2089" s="21">
        <v>2013</v>
      </c>
      <c r="K2089" s="20" t="s">
        <v>73</v>
      </c>
      <c r="L2089" s="21" t="s">
        <v>30</v>
      </c>
      <c r="M2089" s="21"/>
      <c r="N2089" s="20" t="s">
        <v>101</v>
      </c>
      <c r="O2089" s="20"/>
    </row>
    <row r="2090" spans="1:15" ht="13.5" customHeight="1" x14ac:dyDescent="0.25">
      <c r="A2090" s="1"/>
      <c r="B2090" s="22">
        <v>2078</v>
      </c>
      <c r="C2090" s="22">
        <v>2023</v>
      </c>
      <c r="D2090" s="22">
        <v>159</v>
      </c>
      <c r="E2090" s="22" t="s">
        <v>8091</v>
      </c>
      <c r="F2090" s="22" t="s">
        <v>8092</v>
      </c>
      <c r="G2090" s="22" t="s">
        <v>8093</v>
      </c>
      <c r="H2090" s="22" t="s">
        <v>8094</v>
      </c>
      <c r="I2090" s="22" t="s">
        <v>23</v>
      </c>
      <c r="J2090" s="23">
        <v>2000</v>
      </c>
      <c r="K2090" s="22" t="s">
        <v>63</v>
      </c>
      <c r="L2090" s="23" t="s">
        <v>30</v>
      </c>
      <c r="M2090" s="23" t="s">
        <v>30</v>
      </c>
      <c r="N2090" s="22"/>
      <c r="O2090" s="22"/>
    </row>
    <row r="2091" spans="1:15" ht="13.5" customHeight="1" x14ac:dyDescent="0.25">
      <c r="A2091" s="1"/>
      <c r="B2091" s="20">
        <v>2079</v>
      </c>
      <c r="C2091" s="20">
        <v>2023</v>
      </c>
      <c r="D2091" s="20">
        <v>13384</v>
      </c>
      <c r="E2091" s="20" t="s">
        <v>8095</v>
      </c>
      <c r="F2091" s="20" t="s">
        <v>8096</v>
      </c>
      <c r="G2091" s="20" t="s">
        <v>8097</v>
      </c>
      <c r="H2091" s="20" t="s">
        <v>8098</v>
      </c>
      <c r="I2091" s="20" t="s">
        <v>23</v>
      </c>
      <c r="J2091" s="21">
        <v>2000</v>
      </c>
      <c r="K2091" s="20" t="s">
        <v>73</v>
      </c>
      <c r="L2091" s="21" t="s">
        <v>30</v>
      </c>
      <c r="M2091" s="21"/>
      <c r="N2091" s="20" t="s">
        <v>275</v>
      </c>
      <c r="O2091" s="20"/>
    </row>
    <row r="2092" spans="1:15" ht="13.5" customHeight="1" x14ac:dyDescent="0.25">
      <c r="A2092" s="1"/>
      <c r="B2092" s="22">
        <v>2080</v>
      </c>
      <c r="C2092" s="22">
        <v>2023</v>
      </c>
      <c r="D2092" s="22">
        <v>12229</v>
      </c>
      <c r="E2092" s="22" t="s">
        <v>8099</v>
      </c>
      <c r="F2092" s="22" t="s">
        <v>8100</v>
      </c>
      <c r="G2092" s="22" t="s">
        <v>8101</v>
      </c>
      <c r="H2092" s="22" t="s">
        <v>8102</v>
      </c>
      <c r="I2092" s="22" t="s">
        <v>23</v>
      </c>
      <c r="J2092" s="23">
        <v>2000</v>
      </c>
      <c r="K2092" s="22" t="s">
        <v>34</v>
      </c>
      <c r="L2092" s="23" t="s">
        <v>30</v>
      </c>
      <c r="M2092" s="23" t="s">
        <v>30</v>
      </c>
      <c r="N2092" s="22" t="s">
        <v>35</v>
      </c>
      <c r="O2092" s="22"/>
    </row>
    <row r="2093" spans="1:15" ht="13.5" customHeight="1" x14ac:dyDescent="0.25">
      <c r="A2093" s="1"/>
      <c r="B2093" s="20">
        <v>2081</v>
      </c>
      <c r="C2093" s="20">
        <v>2023</v>
      </c>
      <c r="D2093" s="20">
        <v>12311</v>
      </c>
      <c r="E2093" s="20" t="s">
        <v>8103</v>
      </c>
      <c r="F2093" s="20" t="s">
        <v>8104</v>
      </c>
      <c r="G2093" s="20"/>
      <c r="H2093" s="20" t="s">
        <v>8105</v>
      </c>
      <c r="I2093" s="20" t="s">
        <v>23</v>
      </c>
      <c r="J2093" s="21">
        <v>2002</v>
      </c>
      <c r="K2093" s="20" t="s">
        <v>34</v>
      </c>
      <c r="L2093" s="21"/>
      <c r="M2093" s="21" t="s">
        <v>30</v>
      </c>
      <c r="N2093" s="20" t="s">
        <v>35</v>
      </c>
      <c r="O2093" s="20"/>
    </row>
    <row r="2094" spans="1:15" ht="13.5" customHeight="1" x14ac:dyDescent="0.25">
      <c r="A2094" s="1"/>
      <c r="B2094" s="22">
        <v>2082</v>
      </c>
      <c r="C2094" s="22">
        <v>2023</v>
      </c>
      <c r="D2094" s="22">
        <v>10198</v>
      </c>
      <c r="E2094" s="22" t="s">
        <v>8106</v>
      </c>
      <c r="F2094" s="22" t="s">
        <v>8107</v>
      </c>
      <c r="G2094" s="22" t="s">
        <v>8108</v>
      </c>
      <c r="H2094" s="22" t="s">
        <v>8109</v>
      </c>
      <c r="I2094" s="22" t="s">
        <v>23</v>
      </c>
      <c r="J2094" s="23">
        <v>2000</v>
      </c>
      <c r="K2094" s="22" t="s">
        <v>39</v>
      </c>
      <c r="L2094" s="23" t="s">
        <v>30</v>
      </c>
      <c r="M2094" s="23" t="s">
        <v>30</v>
      </c>
      <c r="N2094" s="22"/>
      <c r="O2094" s="22"/>
    </row>
    <row r="2095" spans="1:15" ht="13.5" customHeight="1" x14ac:dyDescent="0.25">
      <c r="A2095" s="1"/>
      <c r="B2095" s="20">
        <v>2083</v>
      </c>
      <c r="C2095" s="20">
        <v>2023</v>
      </c>
      <c r="D2095" s="20">
        <v>10050</v>
      </c>
      <c r="E2095" s="20" t="s">
        <v>8110</v>
      </c>
      <c r="F2095" s="20" t="s">
        <v>8111</v>
      </c>
      <c r="G2095" s="20"/>
      <c r="H2095" s="20" t="s">
        <v>8112</v>
      </c>
      <c r="I2095" s="20" t="s">
        <v>23</v>
      </c>
      <c r="J2095" s="21">
        <v>2000</v>
      </c>
      <c r="K2095" s="20" t="s">
        <v>63</v>
      </c>
      <c r="L2095" s="21"/>
      <c r="M2095" s="21" t="s">
        <v>30</v>
      </c>
      <c r="N2095" s="20"/>
      <c r="O2095" s="20"/>
    </row>
    <row r="2096" spans="1:15" ht="13.5" customHeight="1" x14ac:dyDescent="0.25">
      <c r="A2096" s="1"/>
      <c r="B2096" s="22">
        <v>2084</v>
      </c>
      <c r="C2096" s="22">
        <v>2023</v>
      </c>
      <c r="D2096" s="22">
        <v>10051</v>
      </c>
      <c r="E2096" s="22" t="s">
        <v>8113</v>
      </c>
      <c r="F2096" s="22" t="s">
        <v>8114</v>
      </c>
      <c r="G2096" s="22" t="s">
        <v>8115</v>
      </c>
      <c r="H2096" s="22" t="s">
        <v>8116</v>
      </c>
      <c r="I2096" s="22" t="s">
        <v>23</v>
      </c>
      <c r="J2096" s="23">
        <v>2000</v>
      </c>
      <c r="K2096" s="22" t="s">
        <v>63</v>
      </c>
      <c r="L2096" s="23" t="s">
        <v>30</v>
      </c>
      <c r="M2096" s="23" t="s">
        <v>30</v>
      </c>
      <c r="N2096" s="22"/>
      <c r="O2096" s="22"/>
    </row>
    <row r="2097" spans="1:15" ht="13.5" customHeight="1" x14ac:dyDescent="0.25">
      <c r="A2097" s="1"/>
      <c r="B2097" s="20">
        <v>2085</v>
      </c>
      <c r="C2097" s="20">
        <v>2023</v>
      </c>
      <c r="D2097" s="20">
        <v>10053</v>
      </c>
      <c r="E2097" s="20" t="s">
        <v>8117</v>
      </c>
      <c r="F2097" s="20" t="s">
        <v>8118</v>
      </c>
      <c r="G2097" s="20" t="s">
        <v>8119</v>
      </c>
      <c r="H2097" s="20" t="s">
        <v>8120</v>
      </c>
      <c r="I2097" s="20" t="s">
        <v>23</v>
      </c>
      <c r="J2097" s="21">
        <v>2000</v>
      </c>
      <c r="K2097" s="20" t="s">
        <v>63</v>
      </c>
      <c r="L2097" s="21" t="s">
        <v>30</v>
      </c>
      <c r="M2097" s="21" t="s">
        <v>30</v>
      </c>
      <c r="N2097" s="20"/>
      <c r="O2097" s="20"/>
    </row>
    <row r="2098" spans="1:15" ht="13.5" customHeight="1" x14ac:dyDescent="0.25">
      <c r="A2098" s="1"/>
      <c r="B2098" s="22">
        <v>2086</v>
      </c>
      <c r="C2098" s="22">
        <v>2023</v>
      </c>
      <c r="D2098" s="22">
        <v>10189</v>
      </c>
      <c r="E2098" s="22" t="s">
        <v>8121</v>
      </c>
      <c r="F2098" s="22" t="s">
        <v>8122</v>
      </c>
      <c r="G2098" s="22" t="s">
        <v>8123</v>
      </c>
      <c r="H2098" s="22" t="s">
        <v>8124</v>
      </c>
      <c r="I2098" s="22" t="s">
        <v>23</v>
      </c>
      <c r="J2098" s="23">
        <v>2000</v>
      </c>
      <c r="K2098" s="22" t="s">
        <v>63</v>
      </c>
      <c r="L2098" s="23" t="s">
        <v>30</v>
      </c>
      <c r="M2098" s="23" t="s">
        <v>30</v>
      </c>
      <c r="N2098" s="22"/>
      <c r="O2098" s="22"/>
    </row>
    <row r="2099" spans="1:15" ht="13.5" customHeight="1" x14ac:dyDescent="0.25">
      <c r="A2099" s="1"/>
      <c r="B2099" s="20">
        <v>2087</v>
      </c>
      <c r="C2099" s="20">
        <v>2023</v>
      </c>
      <c r="D2099" s="20">
        <v>13129</v>
      </c>
      <c r="E2099" s="20" t="s">
        <v>8125</v>
      </c>
      <c r="F2099" s="20" t="s">
        <v>8126</v>
      </c>
      <c r="G2099" s="20" t="s">
        <v>8127</v>
      </c>
      <c r="H2099" s="20" t="s">
        <v>8128</v>
      </c>
      <c r="I2099" s="20" t="s">
        <v>23</v>
      </c>
      <c r="J2099" s="21">
        <v>2010</v>
      </c>
      <c r="K2099" s="20" t="s">
        <v>63</v>
      </c>
      <c r="L2099" s="21" t="s">
        <v>30</v>
      </c>
      <c r="M2099" s="21"/>
      <c r="N2099" s="20" t="s">
        <v>173</v>
      </c>
      <c r="O2099" s="20"/>
    </row>
    <row r="2100" spans="1:15" ht="13.5" customHeight="1" x14ac:dyDescent="0.25">
      <c r="A2100" s="1"/>
      <c r="B2100" s="22">
        <v>2088</v>
      </c>
      <c r="C2100" s="22">
        <v>2023</v>
      </c>
      <c r="D2100" s="22">
        <v>13360</v>
      </c>
      <c r="E2100" s="22" t="s">
        <v>8129</v>
      </c>
      <c r="F2100" s="22" t="s">
        <v>8130</v>
      </c>
      <c r="G2100" s="22"/>
      <c r="H2100" s="22" t="s">
        <v>8131</v>
      </c>
      <c r="I2100" s="22" t="s">
        <v>23</v>
      </c>
      <c r="J2100" s="23">
        <v>2011</v>
      </c>
      <c r="K2100" s="22" t="s">
        <v>63</v>
      </c>
      <c r="L2100" s="23"/>
      <c r="M2100" s="23"/>
      <c r="N2100" s="22" t="s">
        <v>275</v>
      </c>
      <c r="O2100" s="22"/>
    </row>
    <row r="2101" spans="1:15" ht="13.5" customHeight="1" x14ac:dyDescent="0.25">
      <c r="A2101" s="1"/>
      <c r="B2101" s="20">
        <v>2089</v>
      </c>
      <c r="C2101" s="20">
        <v>2023</v>
      </c>
      <c r="D2101" s="20">
        <v>11734</v>
      </c>
      <c r="E2101" s="20" t="s">
        <v>8132</v>
      </c>
      <c r="F2101" s="20" t="s">
        <v>8133</v>
      </c>
      <c r="G2101" s="20" t="s">
        <v>8134</v>
      </c>
      <c r="H2101" s="20" t="s">
        <v>8135</v>
      </c>
      <c r="I2101" s="20" t="s">
        <v>23</v>
      </c>
      <c r="J2101" s="21">
        <v>2007</v>
      </c>
      <c r="K2101" s="20" t="s">
        <v>63</v>
      </c>
      <c r="L2101" s="21" t="s">
        <v>30</v>
      </c>
      <c r="M2101" s="21" t="s">
        <v>30</v>
      </c>
      <c r="N2101" s="20" t="s">
        <v>74</v>
      </c>
      <c r="O2101" s="20"/>
    </row>
    <row r="2102" spans="1:15" ht="13.5" customHeight="1" x14ac:dyDescent="0.25">
      <c r="A2102" s="1"/>
      <c r="B2102" s="22">
        <v>2090</v>
      </c>
      <c r="C2102" s="22">
        <v>2023</v>
      </c>
      <c r="D2102" s="22">
        <v>41027</v>
      </c>
      <c r="E2102" s="22" t="s">
        <v>8136</v>
      </c>
      <c r="F2102" s="22" t="s">
        <v>8137</v>
      </c>
      <c r="G2102" s="22" t="s">
        <v>8138</v>
      </c>
      <c r="H2102" s="22" t="s">
        <v>8139</v>
      </c>
      <c r="I2102" s="22" t="s">
        <v>23</v>
      </c>
      <c r="J2102" s="23">
        <v>2015</v>
      </c>
      <c r="K2102" s="22" t="s">
        <v>475</v>
      </c>
      <c r="L2102" s="23" t="s">
        <v>30</v>
      </c>
      <c r="M2102" s="23"/>
      <c r="N2102" s="22" t="s">
        <v>68</v>
      </c>
      <c r="O2102" s="22"/>
    </row>
    <row r="2103" spans="1:15" ht="13.5" customHeight="1" x14ac:dyDescent="0.25">
      <c r="A2103" s="1"/>
      <c r="B2103" s="20">
        <v>2091</v>
      </c>
      <c r="C2103" s="20">
        <v>2023</v>
      </c>
      <c r="D2103" s="20">
        <v>170</v>
      </c>
      <c r="E2103" s="20" t="s">
        <v>8140</v>
      </c>
      <c r="F2103" s="20" t="s">
        <v>8141</v>
      </c>
      <c r="G2103" s="20" t="s">
        <v>8142</v>
      </c>
      <c r="H2103" s="20" t="s">
        <v>8143</v>
      </c>
      <c r="I2103" s="20" t="s">
        <v>23</v>
      </c>
      <c r="J2103" s="21">
        <v>2000</v>
      </c>
      <c r="K2103" s="20" t="s">
        <v>67</v>
      </c>
      <c r="L2103" s="21" t="s">
        <v>30</v>
      </c>
      <c r="M2103" s="21" t="s">
        <v>30</v>
      </c>
      <c r="N2103" s="20"/>
      <c r="O2103" s="20"/>
    </row>
    <row r="2104" spans="1:15" ht="13.5" customHeight="1" x14ac:dyDescent="0.25">
      <c r="A2104" s="1"/>
      <c r="B2104" s="22">
        <v>2092</v>
      </c>
      <c r="C2104" s="22">
        <v>2023</v>
      </c>
      <c r="D2104" s="22">
        <v>10554</v>
      </c>
      <c r="E2104" s="22" t="s">
        <v>8144</v>
      </c>
      <c r="F2104" s="22" t="s">
        <v>8145</v>
      </c>
      <c r="G2104" s="22"/>
      <c r="H2104" s="22" t="s">
        <v>8146</v>
      </c>
      <c r="I2104" s="22" t="s">
        <v>23</v>
      </c>
      <c r="J2104" s="23">
        <v>2000</v>
      </c>
      <c r="K2104" s="22" t="s">
        <v>39</v>
      </c>
      <c r="L2104" s="23"/>
      <c r="M2104" s="23" t="s">
        <v>30</v>
      </c>
      <c r="N2104" s="22"/>
      <c r="O2104" s="22"/>
    </row>
    <row r="2105" spans="1:15" ht="13.5" customHeight="1" x14ac:dyDescent="0.25">
      <c r="A2105" s="1"/>
      <c r="B2105" s="20">
        <v>2093</v>
      </c>
      <c r="C2105" s="20">
        <v>2023</v>
      </c>
      <c r="D2105" s="20">
        <v>11367</v>
      </c>
      <c r="E2105" s="20" t="s">
        <v>8147</v>
      </c>
      <c r="F2105" s="20" t="s">
        <v>8148</v>
      </c>
      <c r="G2105" s="20" t="s">
        <v>8149</v>
      </c>
      <c r="H2105" s="20" t="s">
        <v>8150</v>
      </c>
      <c r="I2105" s="20" t="s">
        <v>23</v>
      </c>
      <c r="J2105" s="21">
        <v>2000</v>
      </c>
      <c r="K2105" s="20" t="s">
        <v>95</v>
      </c>
      <c r="L2105" s="21" t="s">
        <v>30</v>
      </c>
      <c r="M2105" s="21" t="s">
        <v>30</v>
      </c>
      <c r="N2105" s="20"/>
      <c r="O2105" s="20"/>
    </row>
    <row r="2106" spans="1:15" ht="13.5" customHeight="1" x14ac:dyDescent="0.25">
      <c r="A2106" s="1"/>
      <c r="B2106" s="22">
        <v>2094</v>
      </c>
      <c r="C2106" s="22">
        <v>2023</v>
      </c>
      <c r="D2106" s="22">
        <v>40318</v>
      </c>
      <c r="E2106" s="22" t="s">
        <v>8151</v>
      </c>
      <c r="F2106" s="22" t="s">
        <v>8152</v>
      </c>
      <c r="G2106" s="22" t="s">
        <v>8153</v>
      </c>
      <c r="H2106" s="22" t="s">
        <v>8154</v>
      </c>
      <c r="I2106" s="22" t="s">
        <v>23</v>
      </c>
      <c r="J2106" s="23">
        <v>2013</v>
      </c>
      <c r="K2106" s="22" t="s">
        <v>394</v>
      </c>
      <c r="L2106" s="23" t="s">
        <v>30</v>
      </c>
      <c r="M2106" s="23"/>
      <c r="N2106" s="22" t="s">
        <v>101</v>
      </c>
      <c r="O2106" s="22"/>
    </row>
    <row r="2107" spans="1:15" ht="13.5" customHeight="1" x14ac:dyDescent="0.25">
      <c r="A2107" s="1"/>
      <c r="B2107" s="20">
        <v>2095</v>
      </c>
      <c r="C2107" s="20">
        <v>2023</v>
      </c>
      <c r="D2107" s="20">
        <v>42973</v>
      </c>
      <c r="E2107" s="20" t="s">
        <v>8155</v>
      </c>
      <c r="F2107" s="20" t="s">
        <v>8156</v>
      </c>
      <c r="G2107" s="20" t="s">
        <v>8157</v>
      </c>
      <c r="H2107" s="20" t="s">
        <v>8158</v>
      </c>
      <c r="I2107" s="20" t="s">
        <v>23</v>
      </c>
      <c r="J2107" s="21">
        <v>2000</v>
      </c>
      <c r="K2107" s="20" t="s">
        <v>475</v>
      </c>
      <c r="L2107" s="21" t="s">
        <v>30</v>
      </c>
      <c r="M2107" s="21"/>
      <c r="N2107" s="20" t="s">
        <v>270</v>
      </c>
      <c r="O2107" s="20"/>
    </row>
    <row r="2108" spans="1:15" ht="13.5" customHeight="1" x14ac:dyDescent="0.25">
      <c r="A2108" s="1"/>
      <c r="B2108" s="22">
        <v>2096</v>
      </c>
      <c r="C2108" s="22">
        <v>2023</v>
      </c>
      <c r="D2108" s="22">
        <v>41478</v>
      </c>
      <c r="E2108" s="22" t="s">
        <v>8159</v>
      </c>
      <c r="F2108" s="22" t="s">
        <v>8160</v>
      </c>
      <c r="G2108" s="22"/>
      <c r="H2108" s="22" t="s">
        <v>8161</v>
      </c>
      <c r="I2108" s="22" t="s">
        <v>23</v>
      </c>
      <c r="J2108" s="23">
        <v>2016</v>
      </c>
      <c r="K2108" s="22" t="s">
        <v>44</v>
      </c>
      <c r="L2108" s="23"/>
      <c r="M2108" s="23"/>
      <c r="N2108" s="22" t="s">
        <v>1470</v>
      </c>
      <c r="O2108" s="22"/>
    </row>
    <row r="2109" spans="1:15" ht="13.5" customHeight="1" x14ac:dyDescent="0.25">
      <c r="A2109" s="1"/>
      <c r="B2109" s="20">
        <v>2097</v>
      </c>
      <c r="C2109" s="20">
        <v>2023</v>
      </c>
      <c r="D2109" s="20">
        <v>11414</v>
      </c>
      <c r="E2109" s="20" t="s">
        <v>8162</v>
      </c>
      <c r="F2109" s="20" t="s">
        <v>8163</v>
      </c>
      <c r="G2109" s="20" t="s">
        <v>8164</v>
      </c>
      <c r="H2109" s="20" t="s">
        <v>8165</v>
      </c>
      <c r="I2109" s="20" t="s">
        <v>23</v>
      </c>
      <c r="J2109" s="21">
        <v>2000</v>
      </c>
      <c r="K2109" s="20" t="s">
        <v>39</v>
      </c>
      <c r="L2109" s="21" t="s">
        <v>30</v>
      </c>
      <c r="M2109" s="21" t="s">
        <v>30</v>
      </c>
      <c r="N2109" s="20"/>
      <c r="O2109" s="20"/>
    </row>
    <row r="2110" spans="1:15" ht="13.5" customHeight="1" x14ac:dyDescent="0.25">
      <c r="A2110" s="1"/>
      <c r="B2110" s="22">
        <v>2098</v>
      </c>
      <c r="C2110" s="22">
        <v>2023</v>
      </c>
      <c r="D2110" s="22">
        <v>43493</v>
      </c>
      <c r="E2110" s="22" t="s">
        <v>8166</v>
      </c>
      <c r="F2110" s="22" t="s">
        <v>8167</v>
      </c>
      <c r="G2110" s="22" t="s">
        <v>8168</v>
      </c>
      <c r="H2110" s="22" t="s">
        <v>8169</v>
      </c>
      <c r="I2110" s="22" t="s">
        <v>23</v>
      </c>
      <c r="J2110" s="23">
        <v>2021</v>
      </c>
      <c r="K2110" s="22" t="s">
        <v>73</v>
      </c>
      <c r="L2110" s="23" t="s">
        <v>30</v>
      </c>
      <c r="M2110" s="23"/>
      <c r="N2110" s="22" t="s">
        <v>236</v>
      </c>
      <c r="O2110" s="22"/>
    </row>
    <row r="2111" spans="1:15" ht="13.5" customHeight="1" x14ac:dyDescent="0.25">
      <c r="A2111" s="1"/>
      <c r="B2111" s="20">
        <v>2099</v>
      </c>
      <c r="C2111" s="20">
        <v>2023</v>
      </c>
      <c r="D2111" s="20">
        <v>10888</v>
      </c>
      <c r="E2111" s="20" t="s">
        <v>8170</v>
      </c>
      <c r="F2111" s="20" t="s">
        <v>8171</v>
      </c>
      <c r="G2111" s="20" t="s">
        <v>8172</v>
      </c>
      <c r="H2111" s="20" t="s">
        <v>8173</v>
      </c>
      <c r="I2111" s="20" t="s">
        <v>23</v>
      </c>
      <c r="J2111" s="21">
        <v>2003</v>
      </c>
      <c r="K2111" s="20" t="s">
        <v>475</v>
      </c>
      <c r="L2111" s="21" t="s">
        <v>30</v>
      </c>
      <c r="M2111" s="21" t="s">
        <v>30</v>
      </c>
      <c r="N2111" s="20"/>
      <c r="O2111" s="20"/>
    </row>
    <row r="2112" spans="1:15" ht="13.5" customHeight="1" x14ac:dyDescent="0.25">
      <c r="A2112" s="1"/>
      <c r="B2112" s="22">
        <v>2100</v>
      </c>
      <c r="C2112" s="22">
        <v>2023</v>
      </c>
      <c r="D2112" s="22">
        <v>10892</v>
      </c>
      <c r="E2112" s="22" t="s">
        <v>8174</v>
      </c>
      <c r="F2112" s="22" t="s">
        <v>8175</v>
      </c>
      <c r="G2112" s="22" t="s">
        <v>8176</v>
      </c>
      <c r="H2112" s="22" t="s">
        <v>8177</v>
      </c>
      <c r="I2112" s="22" t="s">
        <v>23</v>
      </c>
      <c r="J2112" s="23">
        <v>2000</v>
      </c>
      <c r="K2112" s="22" t="s">
        <v>73</v>
      </c>
      <c r="L2112" s="23" t="s">
        <v>30</v>
      </c>
      <c r="M2112" s="23" t="s">
        <v>30</v>
      </c>
      <c r="N2112" s="22"/>
      <c r="O2112" s="22"/>
    </row>
    <row r="2113" spans="1:15" ht="13.5" customHeight="1" x14ac:dyDescent="0.25">
      <c r="A2113" s="1"/>
      <c r="B2113" s="20">
        <v>2101</v>
      </c>
      <c r="C2113" s="20">
        <v>2023</v>
      </c>
      <c r="D2113" s="20">
        <v>42415</v>
      </c>
      <c r="E2113" s="20" t="s">
        <v>8178</v>
      </c>
      <c r="F2113" s="20" t="s">
        <v>8179</v>
      </c>
      <c r="G2113" s="20"/>
      <c r="H2113" s="20" t="s">
        <v>8180</v>
      </c>
      <c r="I2113" s="20" t="s">
        <v>8181</v>
      </c>
      <c r="J2113" s="21">
        <v>2018</v>
      </c>
      <c r="K2113" s="20" t="s">
        <v>39</v>
      </c>
      <c r="L2113" s="21"/>
      <c r="M2113" s="21"/>
      <c r="N2113" s="20" t="s">
        <v>151</v>
      </c>
      <c r="O2113" s="20"/>
    </row>
    <row r="2114" spans="1:15" ht="13.5" customHeight="1" x14ac:dyDescent="0.25">
      <c r="A2114" s="1"/>
      <c r="B2114" s="22">
        <v>2102</v>
      </c>
      <c r="C2114" s="22">
        <v>2023</v>
      </c>
      <c r="D2114" s="22">
        <v>12220</v>
      </c>
      <c r="E2114" s="22" t="s">
        <v>8182</v>
      </c>
      <c r="F2114" s="22" t="s">
        <v>8183</v>
      </c>
      <c r="G2114" s="22" t="s">
        <v>8184</v>
      </c>
      <c r="H2114" s="22" t="s">
        <v>8185</v>
      </c>
      <c r="I2114" s="22" t="s">
        <v>23</v>
      </c>
      <c r="J2114" s="23">
        <v>2000</v>
      </c>
      <c r="K2114" s="22" t="s">
        <v>44</v>
      </c>
      <c r="L2114" s="23" t="s">
        <v>30</v>
      </c>
      <c r="M2114" s="23" t="s">
        <v>30</v>
      </c>
      <c r="N2114" s="22" t="s">
        <v>35</v>
      </c>
      <c r="O2114" s="22"/>
    </row>
    <row r="2115" spans="1:15" ht="13.5" customHeight="1" x14ac:dyDescent="0.25">
      <c r="A2115" s="1"/>
      <c r="B2115" s="20">
        <v>2103</v>
      </c>
      <c r="C2115" s="20">
        <v>2023</v>
      </c>
      <c r="D2115" s="20">
        <v>232</v>
      </c>
      <c r="E2115" s="20" t="s">
        <v>8186</v>
      </c>
      <c r="F2115" s="20" t="s">
        <v>8187</v>
      </c>
      <c r="G2115" s="20"/>
      <c r="H2115" s="20" t="s">
        <v>8188</v>
      </c>
      <c r="I2115" s="20" t="s">
        <v>23</v>
      </c>
      <c r="J2115" s="21">
        <v>2000</v>
      </c>
      <c r="K2115" s="20" t="s">
        <v>34</v>
      </c>
      <c r="L2115" s="21"/>
      <c r="M2115" s="21" t="s">
        <v>30</v>
      </c>
      <c r="N2115" s="20"/>
      <c r="O2115" s="20"/>
    </row>
    <row r="2116" spans="1:15" ht="13.5" customHeight="1" x14ac:dyDescent="0.25">
      <c r="A2116" s="1"/>
      <c r="B2116" s="22">
        <v>2104</v>
      </c>
      <c r="C2116" s="22">
        <v>2023</v>
      </c>
      <c r="D2116" s="22">
        <v>12603</v>
      </c>
      <c r="E2116" s="22" t="s">
        <v>8189</v>
      </c>
      <c r="F2116" s="22" t="s">
        <v>8190</v>
      </c>
      <c r="G2116" s="22"/>
      <c r="H2116" s="22" t="s">
        <v>8191</v>
      </c>
      <c r="I2116" s="22" t="s">
        <v>8181</v>
      </c>
      <c r="J2116" s="23">
        <v>2008</v>
      </c>
      <c r="K2116" s="22" t="s">
        <v>39</v>
      </c>
      <c r="L2116" s="23"/>
      <c r="M2116" s="23"/>
      <c r="N2116" s="22" t="s">
        <v>431</v>
      </c>
      <c r="O2116" s="22"/>
    </row>
    <row r="2117" spans="1:15" ht="13.5" customHeight="1" x14ac:dyDescent="0.25">
      <c r="A2117" s="1"/>
      <c r="B2117" s="20">
        <v>2105</v>
      </c>
      <c r="C2117" s="20">
        <v>2023</v>
      </c>
      <c r="D2117" s="20">
        <v>13224</v>
      </c>
      <c r="E2117" s="20" t="s">
        <v>8192</v>
      </c>
      <c r="F2117" s="20" t="s">
        <v>8193</v>
      </c>
      <c r="G2117" s="20" t="s">
        <v>8194</v>
      </c>
      <c r="H2117" s="20" t="s">
        <v>8195</v>
      </c>
      <c r="I2117" s="20" t="s">
        <v>23</v>
      </c>
      <c r="J2117" s="21">
        <v>2010</v>
      </c>
      <c r="K2117" s="20" t="s">
        <v>39</v>
      </c>
      <c r="L2117" s="21" t="s">
        <v>30</v>
      </c>
      <c r="M2117" s="21"/>
      <c r="N2117" s="20" t="s">
        <v>173</v>
      </c>
      <c r="O2117" s="20"/>
    </row>
    <row r="2118" spans="1:15" ht="13.5" customHeight="1" x14ac:dyDescent="0.25">
      <c r="A2118" s="1"/>
      <c r="B2118" s="22">
        <v>2106</v>
      </c>
      <c r="C2118" s="22">
        <v>2023</v>
      </c>
      <c r="D2118" s="22">
        <v>42414</v>
      </c>
      <c r="E2118" s="22" t="s">
        <v>8196</v>
      </c>
      <c r="F2118" s="22" t="s">
        <v>8197</v>
      </c>
      <c r="G2118" s="22"/>
      <c r="H2118" s="22" t="s">
        <v>8198</v>
      </c>
      <c r="I2118" s="22" t="s">
        <v>8181</v>
      </c>
      <c r="J2118" s="23">
        <v>2018</v>
      </c>
      <c r="K2118" s="22" t="s">
        <v>39</v>
      </c>
      <c r="L2118" s="23"/>
      <c r="M2118" s="23"/>
      <c r="N2118" s="22" t="s">
        <v>151</v>
      </c>
      <c r="O2118" s="22"/>
    </row>
    <row r="2119" spans="1:15" ht="13.5" customHeight="1" x14ac:dyDescent="0.25">
      <c r="A2119" s="1"/>
      <c r="B2119" s="20">
        <v>2107</v>
      </c>
      <c r="C2119" s="20">
        <v>2023</v>
      </c>
      <c r="D2119" s="20">
        <v>11146</v>
      </c>
      <c r="E2119" s="20" t="s">
        <v>8199</v>
      </c>
      <c r="F2119" s="20" t="s">
        <v>8200</v>
      </c>
      <c r="G2119" s="20" t="s">
        <v>8201</v>
      </c>
      <c r="H2119" s="20" t="s">
        <v>8202</v>
      </c>
      <c r="I2119" s="20" t="s">
        <v>23</v>
      </c>
      <c r="J2119" s="21">
        <v>2000</v>
      </c>
      <c r="K2119" s="20" t="s">
        <v>475</v>
      </c>
      <c r="L2119" s="21" t="s">
        <v>30</v>
      </c>
      <c r="M2119" s="21" t="s">
        <v>30</v>
      </c>
      <c r="N2119" s="20"/>
      <c r="O2119" s="20"/>
    </row>
    <row r="2120" spans="1:15" ht="13.5" customHeight="1" x14ac:dyDescent="0.25">
      <c r="A2120" s="1"/>
      <c r="B2120" s="22">
        <v>2108</v>
      </c>
      <c r="C2120" s="22">
        <v>2023</v>
      </c>
      <c r="D2120" s="22">
        <v>11227</v>
      </c>
      <c r="E2120" s="22" t="s">
        <v>8203</v>
      </c>
      <c r="F2120" s="22" t="s">
        <v>8204</v>
      </c>
      <c r="G2120" s="22" t="s">
        <v>8205</v>
      </c>
      <c r="H2120" s="22" t="s">
        <v>8206</v>
      </c>
      <c r="I2120" s="22" t="s">
        <v>23</v>
      </c>
      <c r="J2120" s="23">
        <v>2000</v>
      </c>
      <c r="K2120" s="22" t="s">
        <v>114</v>
      </c>
      <c r="L2120" s="23" t="s">
        <v>30</v>
      </c>
      <c r="M2120" s="23" t="s">
        <v>30</v>
      </c>
      <c r="N2120" s="22"/>
      <c r="O2120" s="22"/>
    </row>
    <row r="2121" spans="1:15" ht="13.5" customHeight="1" x14ac:dyDescent="0.25">
      <c r="A2121" s="1"/>
      <c r="B2121" s="20">
        <v>2109</v>
      </c>
      <c r="C2121" s="20">
        <v>2023</v>
      </c>
      <c r="D2121" s="20">
        <v>10961</v>
      </c>
      <c r="E2121" s="20" t="s">
        <v>8207</v>
      </c>
      <c r="F2121" s="20" t="s">
        <v>8208</v>
      </c>
      <c r="G2121" s="20" t="s">
        <v>8209</v>
      </c>
      <c r="H2121" s="20" t="s">
        <v>8210</v>
      </c>
      <c r="I2121" s="20" t="s">
        <v>23</v>
      </c>
      <c r="J2121" s="21">
        <v>2000</v>
      </c>
      <c r="K2121" s="20" t="s">
        <v>29</v>
      </c>
      <c r="L2121" s="21" t="s">
        <v>30</v>
      </c>
      <c r="M2121" s="21" t="s">
        <v>30</v>
      </c>
      <c r="N2121" s="20"/>
      <c r="O2121" s="20"/>
    </row>
    <row r="2122" spans="1:15" ht="13.5" customHeight="1" x14ac:dyDescent="0.25">
      <c r="A2122" s="1"/>
      <c r="B2122" s="22">
        <v>2110</v>
      </c>
      <c r="C2122" s="22">
        <v>2023</v>
      </c>
      <c r="D2122" s="22">
        <v>40295</v>
      </c>
      <c r="E2122" s="22" t="s">
        <v>8211</v>
      </c>
      <c r="F2122" s="22" t="s">
        <v>8212</v>
      </c>
      <c r="G2122" s="22"/>
      <c r="H2122" s="22" t="s">
        <v>8213</v>
      </c>
      <c r="I2122" s="22" t="s">
        <v>23</v>
      </c>
      <c r="J2122" s="23">
        <v>2000</v>
      </c>
      <c r="K2122" s="22" t="s">
        <v>67</v>
      </c>
      <c r="L2122" s="23"/>
      <c r="M2122" s="23"/>
      <c r="N2122" s="22" t="s">
        <v>163</v>
      </c>
      <c r="O2122" s="22"/>
    </row>
    <row r="2123" spans="1:15" ht="13.5" customHeight="1" x14ac:dyDescent="0.25">
      <c r="A2123" s="1"/>
      <c r="B2123" s="20">
        <v>2111</v>
      </c>
      <c r="C2123" s="20">
        <v>2023</v>
      </c>
      <c r="D2123" s="20">
        <v>10790</v>
      </c>
      <c r="E2123" s="20" t="s">
        <v>8214</v>
      </c>
      <c r="F2123" s="20" t="s">
        <v>8215</v>
      </c>
      <c r="G2123" s="20" t="s">
        <v>8216</v>
      </c>
      <c r="H2123" s="20" t="s">
        <v>8217</v>
      </c>
      <c r="I2123" s="20" t="s">
        <v>23</v>
      </c>
      <c r="J2123" s="21">
        <v>2000</v>
      </c>
      <c r="K2123" s="20" t="s">
        <v>73</v>
      </c>
      <c r="L2123" s="21" t="s">
        <v>30</v>
      </c>
      <c r="M2123" s="21" t="s">
        <v>30</v>
      </c>
      <c r="N2123" s="20"/>
      <c r="O2123" s="20"/>
    </row>
    <row r="2124" spans="1:15" ht="13.5" customHeight="1" x14ac:dyDescent="0.25">
      <c r="A2124" s="1"/>
      <c r="B2124" s="22">
        <v>2112</v>
      </c>
      <c r="C2124" s="22">
        <v>2023</v>
      </c>
      <c r="D2124" s="22">
        <v>283</v>
      </c>
      <c r="E2124" s="22" t="s">
        <v>8218</v>
      </c>
      <c r="F2124" s="22" t="s">
        <v>8219</v>
      </c>
      <c r="G2124" s="22" t="s">
        <v>8220</v>
      </c>
      <c r="H2124" s="22" t="s">
        <v>8221</v>
      </c>
      <c r="I2124" s="22" t="s">
        <v>23</v>
      </c>
      <c r="J2124" s="23">
        <v>2000</v>
      </c>
      <c r="K2124" s="22" t="s">
        <v>44</v>
      </c>
      <c r="L2124" s="23" t="s">
        <v>30</v>
      </c>
      <c r="M2124" s="23" t="s">
        <v>30</v>
      </c>
      <c r="N2124" s="22"/>
      <c r="O2124" s="22"/>
    </row>
    <row r="2125" spans="1:15" ht="13.5" customHeight="1" x14ac:dyDescent="0.25">
      <c r="A2125" s="1"/>
      <c r="B2125" s="20">
        <v>2113</v>
      </c>
      <c r="C2125" s="20">
        <v>2023</v>
      </c>
      <c r="D2125" s="20">
        <v>13237</v>
      </c>
      <c r="E2125" s="20" t="s">
        <v>8222</v>
      </c>
      <c r="F2125" s="20" t="s">
        <v>8223</v>
      </c>
      <c r="G2125" s="20" t="s">
        <v>8224</v>
      </c>
      <c r="H2125" s="20" t="s">
        <v>8225</v>
      </c>
      <c r="I2125" s="20" t="s">
        <v>23</v>
      </c>
      <c r="J2125" s="21">
        <v>2010</v>
      </c>
      <c r="K2125" s="20" t="s">
        <v>34</v>
      </c>
      <c r="L2125" s="21" t="s">
        <v>30</v>
      </c>
      <c r="M2125" s="21"/>
      <c r="N2125" s="20" t="s">
        <v>173</v>
      </c>
      <c r="O2125" s="20"/>
    </row>
    <row r="2126" spans="1:15" ht="13.5" customHeight="1" x14ac:dyDescent="0.25">
      <c r="A2126" s="1"/>
      <c r="B2126" s="22">
        <v>2114</v>
      </c>
      <c r="C2126" s="22">
        <v>2023</v>
      </c>
      <c r="D2126" s="22">
        <v>10930</v>
      </c>
      <c r="E2126" s="22" t="s">
        <v>8226</v>
      </c>
      <c r="F2126" s="22" t="s">
        <v>8227</v>
      </c>
      <c r="G2126" s="22" t="s">
        <v>8228</v>
      </c>
      <c r="H2126" s="22" t="s">
        <v>8229</v>
      </c>
      <c r="I2126" s="22" t="s">
        <v>23</v>
      </c>
      <c r="J2126" s="23">
        <v>2000</v>
      </c>
      <c r="K2126" s="22" t="s">
        <v>24</v>
      </c>
      <c r="L2126" s="23" t="s">
        <v>30</v>
      </c>
      <c r="M2126" s="23" t="s">
        <v>30</v>
      </c>
      <c r="N2126" s="22"/>
      <c r="O2126" s="22"/>
    </row>
    <row r="2127" spans="1:15" ht="13.5" customHeight="1" x14ac:dyDescent="0.25">
      <c r="A2127" s="1"/>
      <c r="B2127" s="20">
        <v>2115</v>
      </c>
      <c r="C2127" s="20">
        <v>2023</v>
      </c>
      <c r="D2127" s="20">
        <v>40732</v>
      </c>
      <c r="E2127" s="20" t="s">
        <v>8230</v>
      </c>
      <c r="F2127" s="20" t="s">
        <v>8231</v>
      </c>
      <c r="G2127" s="20" t="s">
        <v>8232</v>
      </c>
      <c r="H2127" s="20" t="s">
        <v>8233</v>
      </c>
      <c r="I2127" s="20" t="s">
        <v>23</v>
      </c>
      <c r="J2127" s="21">
        <v>2000</v>
      </c>
      <c r="K2127" s="20" t="s">
        <v>203</v>
      </c>
      <c r="L2127" s="21" t="s">
        <v>30</v>
      </c>
      <c r="M2127" s="21"/>
      <c r="N2127" s="20" t="s">
        <v>53</v>
      </c>
      <c r="O2127" s="20"/>
    </row>
    <row r="2128" spans="1:15" ht="13.5" customHeight="1" x14ac:dyDescent="0.25">
      <c r="A2128" s="1"/>
      <c r="B2128" s="22">
        <v>2116</v>
      </c>
      <c r="C2128" s="22">
        <v>2023</v>
      </c>
      <c r="D2128" s="22">
        <v>11139</v>
      </c>
      <c r="E2128" s="22" t="s">
        <v>8234</v>
      </c>
      <c r="F2128" s="22" t="s">
        <v>8235</v>
      </c>
      <c r="G2128" s="22" t="s">
        <v>8236</v>
      </c>
      <c r="H2128" s="22" t="s">
        <v>8237</v>
      </c>
      <c r="I2128" s="22" t="s">
        <v>23</v>
      </c>
      <c r="J2128" s="23">
        <v>2000</v>
      </c>
      <c r="K2128" s="22" t="s">
        <v>44</v>
      </c>
      <c r="L2128" s="23" t="s">
        <v>30</v>
      </c>
      <c r="M2128" s="23" t="s">
        <v>30</v>
      </c>
      <c r="N2128" s="22"/>
      <c r="O2128" s="22"/>
    </row>
    <row r="2129" spans="1:15" ht="13.5" customHeight="1" x14ac:dyDescent="0.25">
      <c r="A2129" s="1"/>
      <c r="B2129" s="20">
        <v>2117</v>
      </c>
      <c r="C2129" s="20">
        <v>2023</v>
      </c>
      <c r="D2129" s="20">
        <v>11138</v>
      </c>
      <c r="E2129" s="20" t="s">
        <v>8238</v>
      </c>
      <c r="F2129" s="20" t="s">
        <v>8239</v>
      </c>
      <c r="G2129" s="20" t="s">
        <v>8240</v>
      </c>
      <c r="H2129" s="20" t="s">
        <v>8241</v>
      </c>
      <c r="I2129" s="20" t="s">
        <v>23</v>
      </c>
      <c r="J2129" s="21">
        <v>2000</v>
      </c>
      <c r="K2129" s="20" t="s">
        <v>475</v>
      </c>
      <c r="L2129" s="21" t="s">
        <v>30</v>
      </c>
      <c r="M2129" s="21" t="s">
        <v>30</v>
      </c>
      <c r="N2129" s="20"/>
      <c r="O2129" s="20"/>
    </row>
    <row r="2130" spans="1:15" ht="13.5" customHeight="1" x14ac:dyDescent="0.25">
      <c r="A2130" s="1"/>
      <c r="B2130" s="22">
        <v>2118</v>
      </c>
      <c r="C2130" s="22">
        <v>2023</v>
      </c>
      <c r="D2130" s="22">
        <v>11558</v>
      </c>
      <c r="E2130" s="22" t="s">
        <v>8242</v>
      </c>
      <c r="F2130" s="22" t="s">
        <v>8243</v>
      </c>
      <c r="G2130" s="22" t="s">
        <v>8244</v>
      </c>
      <c r="H2130" s="22" t="s">
        <v>8245</v>
      </c>
      <c r="I2130" s="22" t="s">
        <v>23</v>
      </c>
      <c r="J2130" s="23">
        <v>2006</v>
      </c>
      <c r="K2130" s="22" t="s">
        <v>184</v>
      </c>
      <c r="L2130" s="23" t="s">
        <v>30</v>
      </c>
      <c r="M2130" s="23" t="s">
        <v>30</v>
      </c>
      <c r="N2130" s="22"/>
      <c r="O2130" s="22"/>
    </row>
    <row r="2131" spans="1:15" ht="13.5" customHeight="1" x14ac:dyDescent="0.25">
      <c r="A2131" s="1"/>
      <c r="B2131" s="20">
        <v>2119</v>
      </c>
      <c r="C2131" s="20">
        <v>2023</v>
      </c>
      <c r="D2131" s="20">
        <v>12626</v>
      </c>
      <c r="E2131" s="20" t="s">
        <v>8246</v>
      </c>
      <c r="F2131" s="20" t="s">
        <v>8247</v>
      </c>
      <c r="G2131" s="20" t="s">
        <v>8248</v>
      </c>
      <c r="H2131" s="20" t="s">
        <v>8249</v>
      </c>
      <c r="I2131" s="20" t="s">
        <v>23</v>
      </c>
      <c r="J2131" s="21">
        <v>2007</v>
      </c>
      <c r="K2131" s="20" t="s">
        <v>29</v>
      </c>
      <c r="L2131" s="21" t="s">
        <v>30</v>
      </c>
      <c r="M2131" s="21" t="s">
        <v>30</v>
      </c>
      <c r="N2131" s="20" t="s">
        <v>35</v>
      </c>
      <c r="O2131" s="20"/>
    </row>
    <row r="2132" spans="1:15" ht="13.5" customHeight="1" x14ac:dyDescent="0.25">
      <c r="A2132" s="1"/>
      <c r="B2132" s="22">
        <v>2120</v>
      </c>
      <c r="C2132" s="22">
        <v>2023</v>
      </c>
      <c r="D2132" s="22">
        <v>114</v>
      </c>
      <c r="E2132" s="22" t="s">
        <v>8250</v>
      </c>
      <c r="F2132" s="22" t="s">
        <v>8251</v>
      </c>
      <c r="G2132" s="22" t="s">
        <v>8252</v>
      </c>
      <c r="H2132" s="22" t="s">
        <v>8253</v>
      </c>
      <c r="I2132" s="22" t="s">
        <v>23</v>
      </c>
      <c r="J2132" s="23">
        <v>2000</v>
      </c>
      <c r="K2132" s="22" t="s">
        <v>34</v>
      </c>
      <c r="L2132" s="23" t="s">
        <v>30</v>
      </c>
      <c r="M2132" s="23" t="s">
        <v>30</v>
      </c>
      <c r="N2132" s="22"/>
      <c r="O2132" s="22"/>
    </row>
    <row r="2133" spans="1:15" ht="13.5" customHeight="1" x14ac:dyDescent="0.25">
      <c r="A2133" s="1"/>
      <c r="B2133" s="20">
        <v>2121</v>
      </c>
      <c r="C2133" s="20">
        <v>2023</v>
      </c>
      <c r="D2133" s="20">
        <v>11256</v>
      </c>
      <c r="E2133" s="20" t="s">
        <v>8254</v>
      </c>
      <c r="F2133" s="20" t="s">
        <v>8255</v>
      </c>
      <c r="G2133" s="20" t="s">
        <v>8256</v>
      </c>
      <c r="H2133" s="20" t="s">
        <v>8257</v>
      </c>
      <c r="I2133" s="20" t="s">
        <v>23</v>
      </c>
      <c r="J2133" s="21">
        <v>2000</v>
      </c>
      <c r="K2133" s="20" t="s">
        <v>73</v>
      </c>
      <c r="L2133" s="21" t="s">
        <v>30</v>
      </c>
      <c r="M2133" s="21" t="s">
        <v>30</v>
      </c>
      <c r="N2133" s="20"/>
      <c r="O2133" s="20"/>
    </row>
    <row r="2134" spans="1:15" ht="13.5" customHeight="1" x14ac:dyDescent="0.25">
      <c r="A2134" s="1"/>
      <c r="B2134" s="22">
        <v>2122</v>
      </c>
      <c r="C2134" s="22">
        <v>2023</v>
      </c>
      <c r="D2134" s="22">
        <v>371</v>
      </c>
      <c r="E2134" s="22" t="s">
        <v>8258</v>
      </c>
      <c r="F2134" s="22" t="s">
        <v>8259</v>
      </c>
      <c r="G2134" s="22" t="s">
        <v>8260</v>
      </c>
      <c r="H2134" s="22" t="s">
        <v>8261</v>
      </c>
      <c r="I2134" s="22" t="s">
        <v>23</v>
      </c>
      <c r="J2134" s="23">
        <v>2000</v>
      </c>
      <c r="K2134" s="22" t="s">
        <v>114</v>
      </c>
      <c r="L2134" s="23" t="s">
        <v>30</v>
      </c>
      <c r="M2134" s="23" t="s">
        <v>30</v>
      </c>
      <c r="N2134" s="22"/>
      <c r="O2134" s="22"/>
    </row>
    <row r="2135" spans="1:15" ht="13.5" customHeight="1" x14ac:dyDescent="0.25">
      <c r="A2135" s="1"/>
      <c r="B2135" s="20">
        <v>2123</v>
      </c>
      <c r="C2135" s="20">
        <v>2023</v>
      </c>
      <c r="D2135" s="20">
        <v>778</v>
      </c>
      <c r="E2135" s="20" t="s">
        <v>8262</v>
      </c>
      <c r="F2135" s="20" t="s">
        <v>8263</v>
      </c>
      <c r="G2135" s="20" t="s">
        <v>8264</v>
      </c>
      <c r="H2135" s="20" t="s">
        <v>8265</v>
      </c>
      <c r="I2135" s="20" t="s">
        <v>23</v>
      </c>
      <c r="J2135" s="21">
        <v>2000</v>
      </c>
      <c r="K2135" s="20" t="s">
        <v>114</v>
      </c>
      <c r="L2135" s="21" t="s">
        <v>30</v>
      </c>
      <c r="M2135" s="21" t="s">
        <v>30</v>
      </c>
      <c r="N2135" s="20"/>
      <c r="O2135" s="20"/>
    </row>
    <row r="2136" spans="1:15" ht="13.5" customHeight="1" x14ac:dyDescent="0.25">
      <c r="A2136" s="1"/>
      <c r="B2136" s="22">
        <v>2124</v>
      </c>
      <c r="C2136" s="22">
        <v>2023</v>
      </c>
      <c r="D2136" s="22">
        <v>704</v>
      </c>
      <c r="E2136" s="22" t="s">
        <v>8266</v>
      </c>
      <c r="F2136" s="22" t="s">
        <v>8267</v>
      </c>
      <c r="G2136" s="22" t="s">
        <v>8268</v>
      </c>
      <c r="H2136" s="22" t="s">
        <v>8269</v>
      </c>
      <c r="I2136" s="22" t="s">
        <v>23</v>
      </c>
      <c r="J2136" s="23">
        <v>2000</v>
      </c>
      <c r="K2136" s="22" t="s">
        <v>95</v>
      </c>
      <c r="L2136" s="23" t="s">
        <v>30</v>
      </c>
      <c r="M2136" s="23" t="s">
        <v>30</v>
      </c>
      <c r="N2136" s="22"/>
      <c r="O2136" s="22"/>
    </row>
    <row r="2137" spans="1:15" ht="13.5" customHeight="1" x14ac:dyDescent="0.25">
      <c r="A2137" s="1"/>
      <c r="B2137" s="20">
        <v>2125</v>
      </c>
      <c r="C2137" s="20">
        <v>2023</v>
      </c>
      <c r="D2137" s="20">
        <v>122</v>
      </c>
      <c r="E2137" s="20" t="s">
        <v>8270</v>
      </c>
      <c r="F2137" s="20" t="s">
        <v>8271</v>
      </c>
      <c r="G2137" s="20" t="s">
        <v>8272</v>
      </c>
      <c r="H2137" s="20" t="s">
        <v>8273</v>
      </c>
      <c r="I2137" s="20" t="s">
        <v>23</v>
      </c>
      <c r="J2137" s="21">
        <v>2000</v>
      </c>
      <c r="K2137" s="20" t="s">
        <v>34</v>
      </c>
      <c r="L2137" s="21" t="s">
        <v>30</v>
      </c>
      <c r="M2137" s="21" t="s">
        <v>30</v>
      </c>
      <c r="N2137" s="20"/>
      <c r="O2137" s="20"/>
    </row>
    <row r="2138" spans="1:15" ht="13.5" customHeight="1" x14ac:dyDescent="0.25">
      <c r="A2138" s="1"/>
      <c r="B2138" s="22">
        <v>2126</v>
      </c>
      <c r="C2138" s="22">
        <v>2023</v>
      </c>
      <c r="D2138" s="22">
        <v>162</v>
      </c>
      <c r="E2138" s="22" t="s">
        <v>8274</v>
      </c>
      <c r="F2138" s="22" t="s">
        <v>8275</v>
      </c>
      <c r="G2138" s="22" t="s">
        <v>8276</v>
      </c>
      <c r="H2138" s="22" t="s">
        <v>8277</v>
      </c>
      <c r="I2138" s="22" t="s">
        <v>23</v>
      </c>
      <c r="J2138" s="23">
        <v>2000</v>
      </c>
      <c r="K2138" s="22" t="s">
        <v>67</v>
      </c>
      <c r="L2138" s="23" t="s">
        <v>30</v>
      </c>
      <c r="M2138" s="23" t="s">
        <v>30</v>
      </c>
      <c r="N2138" s="22"/>
      <c r="O2138" s="22"/>
    </row>
    <row r="2139" spans="1:15" ht="13.5" customHeight="1" x14ac:dyDescent="0.25">
      <c r="A2139" s="1"/>
      <c r="B2139" s="20">
        <v>2127</v>
      </c>
      <c r="C2139" s="20">
        <v>2023</v>
      </c>
      <c r="D2139" s="20">
        <v>11237</v>
      </c>
      <c r="E2139" s="20" t="s">
        <v>8278</v>
      </c>
      <c r="F2139" s="20" t="s">
        <v>8279</v>
      </c>
      <c r="G2139" s="20" t="s">
        <v>8280</v>
      </c>
      <c r="H2139" s="20" t="s">
        <v>8281</v>
      </c>
      <c r="I2139" s="20" t="s">
        <v>23</v>
      </c>
      <c r="J2139" s="21">
        <v>2000</v>
      </c>
      <c r="K2139" s="20" t="s">
        <v>24</v>
      </c>
      <c r="L2139" s="21" t="s">
        <v>30</v>
      </c>
      <c r="M2139" s="21" t="s">
        <v>30</v>
      </c>
      <c r="N2139" s="20"/>
      <c r="O2139" s="20"/>
    </row>
    <row r="2140" spans="1:15" ht="13.5" customHeight="1" x14ac:dyDescent="0.25">
      <c r="A2140" s="1"/>
      <c r="B2140" s="22">
        <v>2128</v>
      </c>
      <c r="C2140" s="22">
        <v>2023</v>
      </c>
      <c r="D2140" s="22">
        <v>40626</v>
      </c>
      <c r="E2140" s="22" t="s">
        <v>8282</v>
      </c>
      <c r="F2140" s="22" t="s">
        <v>8283</v>
      </c>
      <c r="G2140" s="22"/>
      <c r="H2140" s="22" t="s">
        <v>8284</v>
      </c>
      <c r="I2140" s="22" t="s">
        <v>23</v>
      </c>
      <c r="J2140" s="23">
        <v>2014</v>
      </c>
      <c r="K2140" s="22" t="s">
        <v>34</v>
      </c>
      <c r="L2140" s="23"/>
      <c r="M2140" s="23"/>
      <c r="N2140" s="22" t="s">
        <v>53</v>
      </c>
      <c r="O2140" s="22"/>
    </row>
    <row r="2141" spans="1:15" ht="13.5" customHeight="1" x14ac:dyDescent="0.25">
      <c r="A2141" s="1"/>
      <c r="B2141" s="20">
        <v>2129</v>
      </c>
      <c r="C2141" s="20">
        <v>2023</v>
      </c>
      <c r="D2141" s="20">
        <v>11232</v>
      </c>
      <c r="E2141" s="20" t="s">
        <v>8285</v>
      </c>
      <c r="F2141" s="20" t="s">
        <v>8286</v>
      </c>
      <c r="G2141" s="20" t="s">
        <v>8287</v>
      </c>
      <c r="H2141" s="20" t="s">
        <v>8288</v>
      </c>
      <c r="I2141" s="20" t="s">
        <v>62</v>
      </c>
      <c r="J2141" s="21">
        <v>2000</v>
      </c>
      <c r="K2141" s="20" t="s">
        <v>63</v>
      </c>
      <c r="L2141" s="21" t="s">
        <v>30</v>
      </c>
      <c r="M2141" s="21" t="s">
        <v>30</v>
      </c>
      <c r="N2141" s="20"/>
      <c r="O2141" s="20"/>
    </row>
    <row r="2142" spans="1:15" ht="13.5" customHeight="1" x14ac:dyDescent="0.25">
      <c r="A2142" s="1"/>
      <c r="B2142" s="22">
        <v>2130</v>
      </c>
      <c r="C2142" s="22">
        <v>2023</v>
      </c>
      <c r="D2142" s="22">
        <v>214</v>
      </c>
      <c r="E2142" s="22" t="s">
        <v>8289</v>
      </c>
      <c r="F2142" s="22" t="s">
        <v>8290</v>
      </c>
      <c r="G2142" s="22" t="s">
        <v>8291</v>
      </c>
      <c r="H2142" s="22" t="s">
        <v>8292</v>
      </c>
      <c r="I2142" s="22" t="s">
        <v>23</v>
      </c>
      <c r="J2142" s="23">
        <v>2000</v>
      </c>
      <c r="K2142" s="22" t="s">
        <v>24</v>
      </c>
      <c r="L2142" s="23" t="s">
        <v>30</v>
      </c>
      <c r="M2142" s="23" t="s">
        <v>30</v>
      </c>
      <c r="N2142" s="22"/>
      <c r="O2142" s="22"/>
    </row>
    <row r="2143" spans="1:15" ht="13.5" customHeight="1" x14ac:dyDescent="0.25">
      <c r="A2143" s="1"/>
      <c r="B2143" s="20">
        <v>2131</v>
      </c>
      <c r="C2143" s="20">
        <v>2023</v>
      </c>
      <c r="D2143" s="20">
        <v>12080</v>
      </c>
      <c r="E2143" s="20" t="s">
        <v>8293</v>
      </c>
      <c r="F2143" s="20" t="s">
        <v>8294</v>
      </c>
      <c r="G2143" s="20"/>
      <c r="H2143" s="20" t="s">
        <v>8295</v>
      </c>
      <c r="I2143" s="20" t="s">
        <v>23</v>
      </c>
      <c r="J2143" s="21">
        <v>2008</v>
      </c>
      <c r="K2143" s="20" t="s">
        <v>34</v>
      </c>
      <c r="L2143" s="21"/>
      <c r="M2143" s="21" t="s">
        <v>30</v>
      </c>
      <c r="N2143" s="20" t="s">
        <v>352</v>
      </c>
      <c r="O2143" s="20"/>
    </row>
    <row r="2144" spans="1:15" ht="13.5" customHeight="1" x14ac:dyDescent="0.25">
      <c r="A2144" s="1"/>
      <c r="B2144" s="22">
        <v>2132</v>
      </c>
      <c r="C2144" s="22">
        <v>2023</v>
      </c>
      <c r="D2144" s="22">
        <v>11236</v>
      </c>
      <c r="E2144" s="22" t="s">
        <v>8296</v>
      </c>
      <c r="F2144" s="22" t="s">
        <v>8297</v>
      </c>
      <c r="G2144" s="22" t="s">
        <v>8298</v>
      </c>
      <c r="H2144" s="22" t="s">
        <v>8299</v>
      </c>
      <c r="I2144" s="22" t="s">
        <v>62</v>
      </c>
      <c r="J2144" s="23">
        <v>2000</v>
      </c>
      <c r="K2144" s="22" t="s">
        <v>24</v>
      </c>
      <c r="L2144" s="23" t="s">
        <v>30</v>
      </c>
      <c r="M2144" s="23" t="s">
        <v>30</v>
      </c>
      <c r="N2144" s="22"/>
      <c r="O2144" s="22"/>
    </row>
    <row r="2145" spans="1:15" ht="13.5" customHeight="1" x14ac:dyDescent="0.25">
      <c r="A2145" s="1"/>
      <c r="B2145" s="20">
        <v>2133</v>
      </c>
      <c r="C2145" s="20">
        <v>2023</v>
      </c>
      <c r="D2145" s="20">
        <v>11017</v>
      </c>
      <c r="E2145" s="20" t="s">
        <v>8300</v>
      </c>
      <c r="F2145" s="20" t="s">
        <v>8301</v>
      </c>
      <c r="G2145" s="20" t="s">
        <v>8302</v>
      </c>
      <c r="H2145" s="20" t="s">
        <v>8303</v>
      </c>
      <c r="I2145" s="20" t="s">
        <v>23</v>
      </c>
      <c r="J2145" s="21">
        <v>2000</v>
      </c>
      <c r="K2145" s="20" t="s">
        <v>73</v>
      </c>
      <c r="L2145" s="21" t="s">
        <v>30</v>
      </c>
      <c r="M2145" s="21" t="s">
        <v>30</v>
      </c>
      <c r="N2145" s="20"/>
      <c r="O2145" s="20"/>
    </row>
    <row r="2146" spans="1:15" ht="13.5" customHeight="1" x14ac:dyDescent="0.25">
      <c r="A2146" s="1"/>
      <c r="B2146" s="22">
        <v>2134</v>
      </c>
      <c r="C2146" s="22">
        <v>2023</v>
      </c>
      <c r="D2146" s="22">
        <v>11238</v>
      </c>
      <c r="E2146" s="22" t="s">
        <v>8304</v>
      </c>
      <c r="F2146" s="22" t="s">
        <v>8305</v>
      </c>
      <c r="G2146" s="22" t="s">
        <v>8306</v>
      </c>
      <c r="H2146" s="22" t="s">
        <v>8307</v>
      </c>
      <c r="I2146" s="22" t="s">
        <v>23</v>
      </c>
      <c r="J2146" s="23">
        <v>2000</v>
      </c>
      <c r="K2146" s="22" t="s">
        <v>475</v>
      </c>
      <c r="L2146" s="23" t="s">
        <v>30</v>
      </c>
      <c r="M2146" s="23" t="s">
        <v>30</v>
      </c>
      <c r="N2146" s="22"/>
      <c r="O2146" s="22"/>
    </row>
    <row r="2147" spans="1:15" ht="13.5" customHeight="1" x14ac:dyDescent="0.25">
      <c r="A2147" s="1"/>
      <c r="B2147" s="20">
        <v>2135</v>
      </c>
      <c r="C2147" s="20">
        <v>2023</v>
      </c>
      <c r="D2147" s="20">
        <v>11186</v>
      </c>
      <c r="E2147" s="20" t="s">
        <v>8308</v>
      </c>
      <c r="F2147" s="20" t="s">
        <v>8309</v>
      </c>
      <c r="G2147" s="20" t="s">
        <v>8310</v>
      </c>
      <c r="H2147" s="20" t="s">
        <v>8311</v>
      </c>
      <c r="I2147" s="20" t="s">
        <v>23</v>
      </c>
      <c r="J2147" s="21">
        <v>2000</v>
      </c>
      <c r="K2147" s="20" t="s">
        <v>184</v>
      </c>
      <c r="L2147" s="21" t="s">
        <v>30</v>
      </c>
      <c r="M2147" s="21" t="s">
        <v>30</v>
      </c>
      <c r="N2147" s="20"/>
      <c r="O2147" s="20"/>
    </row>
    <row r="2148" spans="1:15" ht="13.5" customHeight="1" x14ac:dyDescent="0.25">
      <c r="A2148" s="1"/>
      <c r="B2148" s="22">
        <v>2136</v>
      </c>
      <c r="C2148" s="22">
        <v>2023</v>
      </c>
      <c r="D2148" s="22">
        <v>12064</v>
      </c>
      <c r="E2148" s="22" t="s">
        <v>8312</v>
      </c>
      <c r="F2148" s="22" t="s">
        <v>8313</v>
      </c>
      <c r="G2148" s="22" t="s">
        <v>8314</v>
      </c>
      <c r="H2148" s="22" t="s">
        <v>8315</v>
      </c>
      <c r="I2148" s="22" t="s">
        <v>23</v>
      </c>
      <c r="J2148" s="23">
        <v>2000</v>
      </c>
      <c r="K2148" s="22" t="s">
        <v>34</v>
      </c>
      <c r="L2148" s="23" t="s">
        <v>30</v>
      </c>
      <c r="M2148" s="23" t="s">
        <v>30</v>
      </c>
      <c r="N2148" s="22" t="s">
        <v>74</v>
      </c>
      <c r="O2148" s="22"/>
    </row>
    <row r="2149" spans="1:15" ht="13.5" customHeight="1" x14ac:dyDescent="0.25">
      <c r="A2149" s="1"/>
      <c r="B2149" s="20">
        <v>2137</v>
      </c>
      <c r="C2149" s="20">
        <v>2023</v>
      </c>
      <c r="D2149" s="20">
        <v>224</v>
      </c>
      <c r="E2149" s="20" t="s">
        <v>8316</v>
      </c>
      <c r="F2149" s="20" t="s">
        <v>8317</v>
      </c>
      <c r="G2149" s="20" t="s">
        <v>8318</v>
      </c>
      <c r="H2149" s="20" t="s">
        <v>8319</v>
      </c>
      <c r="I2149" s="20" t="s">
        <v>23</v>
      </c>
      <c r="J2149" s="21">
        <v>2000</v>
      </c>
      <c r="K2149" s="20" t="s">
        <v>114</v>
      </c>
      <c r="L2149" s="21" t="s">
        <v>30</v>
      </c>
      <c r="M2149" s="21" t="s">
        <v>30</v>
      </c>
      <c r="N2149" s="20"/>
      <c r="O2149" s="20"/>
    </row>
    <row r="2150" spans="1:15" ht="13.5" customHeight="1" x14ac:dyDescent="0.25">
      <c r="A2150" s="1"/>
      <c r="B2150" s="22">
        <v>2138</v>
      </c>
      <c r="C2150" s="22">
        <v>2023</v>
      </c>
      <c r="D2150" s="22">
        <v>43441</v>
      </c>
      <c r="E2150" s="22" t="s">
        <v>8320</v>
      </c>
      <c r="F2150" s="22" t="s">
        <v>8321</v>
      </c>
      <c r="G2150" s="22" t="s">
        <v>8322</v>
      </c>
      <c r="H2150" s="22" t="s">
        <v>8323</v>
      </c>
      <c r="I2150" s="22" t="s">
        <v>23</v>
      </c>
      <c r="J2150" s="23">
        <v>2000</v>
      </c>
      <c r="K2150" s="22" t="s">
        <v>39</v>
      </c>
      <c r="L2150" s="23" t="s">
        <v>30</v>
      </c>
      <c r="M2150" s="23"/>
      <c r="N2150" s="22" t="s">
        <v>270</v>
      </c>
      <c r="O2150" s="22"/>
    </row>
    <row r="2151" spans="1:15" ht="13.5" customHeight="1" x14ac:dyDescent="0.25">
      <c r="A2151" s="1"/>
      <c r="B2151" s="20">
        <v>2139</v>
      </c>
      <c r="C2151" s="20">
        <v>2023</v>
      </c>
      <c r="D2151" s="20">
        <v>11509</v>
      </c>
      <c r="E2151" s="20" t="s">
        <v>8324</v>
      </c>
      <c r="F2151" s="20" t="s">
        <v>8325</v>
      </c>
      <c r="G2151" s="20" t="s">
        <v>8326</v>
      </c>
      <c r="H2151" s="20" t="s">
        <v>8327</v>
      </c>
      <c r="I2151" s="20" t="s">
        <v>62</v>
      </c>
      <c r="J2151" s="21">
        <v>2006</v>
      </c>
      <c r="K2151" s="20" t="s">
        <v>67</v>
      </c>
      <c r="L2151" s="21" t="s">
        <v>30</v>
      </c>
      <c r="M2151" s="21" t="s">
        <v>30</v>
      </c>
      <c r="N2151" s="20"/>
      <c r="O2151" s="20"/>
    </row>
    <row r="2152" spans="1:15" ht="13.5" customHeight="1" x14ac:dyDescent="0.25">
      <c r="A2152" s="1"/>
      <c r="B2152" s="22">
        <v>2140</v>
      </c>
      <c r="C2152" s="22">
        <v>2023</v>
      </c>
      <c r="D2152" s="22">
        <v>11510</v>
      </c>
      <c r="E2152" s="22" t="s">
        <v>8328</v>
      </c>
      <c r="F2152" s="22" t="s">
        <v>8329</v>
      </c>
      <c r="G2152" s="22"/>
      <c r="H2152" s="22" t="s">
        <v>8330</v>
      </c>
      <c r="I2152" s="22" t="s">
        <v>8331</v>
      </c>
      <c r="J2152" s="23">
        <v>2006</v>
      </c>
      <c r="K2152" s="22" t="s">
        <v>63</v>
      </c>
      <c r="L2152" s="23"/>
      <c r="M2152" s="23" t="s">
        <v>30</v>
      </c>
      <c r="N2152" s="22"/>
      <c r="O2152" s="22"/>
    </row>
    <row r="2153" spans="1:15" ht="13.5" customHeight="1" x14ac:dyDescent="0.25">
      <c r="A2153" s="1"/>
      <c r="B2153" s="20">
        <v>2141</v>
      </c>
      <c r="C2153" s="20">
        <v>2023</v>
      </c>
      <c r="D2153" s="20">
        <v>13770</v>
      </c>
      <c r="E2153" s="20" t="s">
        <v>8332</v>
      </c>
      <c r="F2153" s="20" t="s">
        <v>8333</v>
      </c>
      <c r="G2153" s="20"/>
      <c r="H2153" s="20" t="s">
        <v>8334</v>
      </c>
      <c r="I2153" s="20" t="s">
        <v>8335</v>
      </c>
      <c r="J2153" s="21">
        <v>2012</v>
      </c>
      <c r="K2153" s="20" t="s">
        <v>34</v>
      </c>
      <c r="L2153" s="21"/>
      <c r="M2153" s="21"/>
      <c r="N2153" s="20" t="s">
        <v>163</v>
      </c>
      <c r="O2153" s="20"/>
    </row>
    <row r="2154" spans="1:15" ht="13.5" customHeight="1" x14ac:dyDescent="0.25">
      <c r="A2154" s="1"/>
      <c r="B2154" s="22">
        <v>2142</v>
      </c>
      <c r="C2154" s="22">
        <v>2023</v>
      </c>
      <c r="D2154" s="22">
        <v>11750</v>
      </c>
      <c r="E2154" s="22" t="s">
        <v>8336</v>
      </c>
      <c r="F2154" s="22" t="s">
        <v>8337</v>
      </c>
      <c r="G2154" s="22" t="s">
        <v>8338</v>
      </c>
      <c r="H2154" s="22" t="s">
        <v>8339</v>
      </c>
      <c r="I2154" s="22" t="s">
        <v>23</v>
      </c>
      <c r="J2154" s="23">
        <v>2000</v>
      </c>
      <c r="K2154" s="22" t="s">
        <v>29</v>
      </c>
      <c r="L2154" s="23" t="s">
        <v>30</v>
      </c>
      <c r="M2154" s="23" t="s">
        <v>30</v>
      </c>
      <c r="N2154" s="22" t="s">
        <v>74</v>
      </c>
      <c r="O2154" s="22"/>
    </row>
    <row r="2155" spans="1:15" ht="13.5" customHeight="1" x14ac:dyDescent="0.25">
      <c r="A2155" s="1"/>
      <c r="B2155" s="20">
        <v>2143</v>
      </c>
      <c r="C2155" s="20">
        <v>2023</v>
      </c>
      <c r="D2155" s="20">
        <v>11244</v>
      </c>
      <c r="E2155" s="20" t="s">
        <v>8340</v>
      </c>
      <c r="F2155" s="20" t="s">
        <v>8341</v>
      </c>
      <c r="G2155" s="20" t="s">
        <v>8342</v>
      </c>
      <c r="H2155" s="20" t="s">
        <v>8343</v>
      </c>
      <c r="I2155" s="20" t="s">
        <v>23</v>
      </c>
      <c r="J2155" s="21">
        <v>2000</v>
      </c>
      <c r="K2155" s="20" t="s">
        <v>24</v>
      </c>
      <c r="L2155" s="21" t="s">
        <v>30</v>
      </c>
      <c r="M2155" s="21" t="s">
        <v>30</v>
      </c>
      <c r="N2155" s="20"/>
      <c r="O2155" s="20"/>
    </row>
    <row r="2156" spans="1:15" ht="13.5" customHeight="1" x14ac:dyDescent="0.25">
      <c r="A2156" s="1"/>
      <c r="B2156" s="22">
        <v>2144</v>
      </c>
      <c r="C2156" s="22">
        <v>2023</v>
      </c>
      <c r="D2156" s="22">
        <v>41061</v>
      </c>
      <c r="E2156" s="22" t="s">
        <v>8344</v>
      </c>
      <c r="F2156" s="22" t="s">
        <v>8345</v>
      </c>
      <c r="G2156" s="22"/>
      <c r="H2156" s="22" t="s">
        <v>8346</v>
      </c>
      <c r="I2156" s="22" t="s">
        <v>23</v>
      </c>
      <c r="J2156" s="23">
        <v>2016</v>
      </c>
      <c r="K2156" s="22" t="s">
        <v>24</v>
      </c>
      <c r="L2156" s="23"/>
      <c r="M2156" s="23"/>
      <c r="N2156" s="22"/>
      <c r="O2156" s="22"/>
    </row>
    <row r="2157" spans="1:15" ht="13.5" customHeight="1" x14ac:dyDescent="0.25">
      <c r="A2157" s="1"/>
      <c r="B2157" s="20">
        <v>2145</v>
      </c>
      <c r="C2157" s="20">
        <v>2023</v>
      </c>
      <c r="D2157" s="20">
        <v>11245</v>
      </c>
      <c r="E2157" s="20" t="s">
        <v>8347</v>
      </c>
      <c r="F2157" s="20" t="s">
        <v>8348</v>
      </c>
      <c r="G2157" s="20" t="s">
        <v>8349</v>
      </c>
      <c r="H2157" s="20" t="s">
        <v>8350</v>
      </c>
      <c r="I2157" s="20" t="s">
        <v>23</v>
      </c>
      <c r="J2157" s="21">
        <v>2000</v>
      </c>
      <c r="K2157" s="20" t="s">
        <v>73</v>
      </c>
      <c r="L2157" s="21" t="s">
        <v>30</v>
      </c>
      <c r="M2157" s="21" t="s">
        <v>30</v>
      </c>
      <c r="N2157" s="20"/>
      <c r="O2157" s="20"/>
    </row>
    <row r="2158" spans="1:15" ht="13.5" customHeight="1" x14ac:dyDescent="0.25">
      <c r="A2158" s="1"/>
      <c r="B2158" s="22">
        <v>2146</v>
      </c>
      <c r="C2158" s="22">
        <v>2023</v>
      </c>
      <c r="D2158" s="22">
        <v>43188</v>
      </c>
      <c r="E2158" s="22" t="s">
        <v>8351</v>
      </c>
      <c r="F2158" s="22" t="s">
        <v>8352</v>
      </c>
      <c r="G2158" s="22" t="s">
        <v>8353</v>
      </c>
      <c r="H2158" s="22" t="s">
        <v>8354</v>
      </c>
      <c r="I2158" s="22" t="s">
        <v>23</v>
      </c>
      <c r="J2158" s="23">
        <v>2008</v>
      </c>
      <c r="K2158" s="22" t="s">
        <v>34</v>
      </c>
      <c r="L2158" s="23" t="s">
        <v>30</v>
      </c>
      <c r="M2158" s="23"/>
      <c r="N2158" s="22" t="s">
        <v>270</v>
      </c>
      <c r="O2158" s="22"/>
    </row>
    <row r="2159" spans="1:15" ht="13.5" customHeight="1" x14ac:dyDescent="0.25">
      <c r="A2159" s="1"/>
      <c r="B2159" s="20">
        <v>2147</v>
      </c>
      <c r="C2159" s="20">
        <v>2023</v>
      </c>
      <c r="D2159" s="20">
        <v>13530</v>
      </c>
      <c r="E2159" s="20" t="s">
        <v>8355</v>
      </c>
      <c r="F2159" s="20" t="s">
        <v>8356</v>
      </c>
      <c r="G2159" s="20" t="s">
        <v>8357</v>
      </c>
      <c r="H2159" s="20" t="s">
        <v>8358</v>
      </c>
      <c r="I2159" s="20" t="s">
        <v>8359</v>
      </c>
      <c r="J2159" s="21">
        <v>2009</v>
      </c>
      <c r="K2159" s="20" t="s">
        <v>34</v>
      </c>
      <c r="L2159" s="21" t="s">
        <v>30</v>
      </c>
      <c r="M2159" s="21"/>
      <c r="N2159" s="20" t="s">
        <v>275</v>
      </c>
      <c r="O2159" s="20"/>
    </row>
    <row r="2160" spans="1:15" ht="13.5" customHeight="1" x14ac:dyDescent="0.25">
      <c r="A2160" s="1"/>
      <c r="B2160" s="22">
        <v>2148</v>
      </c>
      <c r="C2160" s="22">
        <v>2023</v>
      </c>
      <c r="D2160" s="22">
        <v>12666</v>
      </c>
      <c r="E2160" s="22" t="s">
        <v>8360</v>
      </c>
      <c r="F2160" s="22" t="s">
        <v>8361</v>
      </c>
      <c r="G2160" s="22" t="s">
        <v>8362</v>
      </c>
      <c r="H2160" s="22" t="s">
        <v>8363</v>
      </c>
      <c r="I2160" s="22" t="s">
        <v>23</v>
      </c>
      <c r="J2160" s="23">
        <v>2008</v>
      </c>
      <c r="K2160" s="22" t="s">
        <v>24</v>
      </c>
      <c r="L2160" s="23" t="s">
        <v>30</v>
      </c>
      <c r="M2160" s="23"/>
      <c r="N2160" s="22" t="s">
        <v>431</v>
      </c>
      <c r="O2160" s="22"/>
    </row>
    <row r="2161" spans="1:15" ht="13.5" customHeight="1" x14ac:dyDescent="0.25">
      <c r="A2161" s="1"/>
      <c r="B2161" s="20">
        <v>2149</v>
      </c>
      <c r="C2161" s="20">
        <v>2023</v>
      </c>
      <c r="D2161" s="20">
        <v>41403</v>
      </c>
      <c r="E2161" s="20" t="s">
        <v>8364</v>
      </c>
      <c r="F2161" s="20" t="s">
        <v>8365</v>
      </c>
      <c r="G2161" s="20" t="s">
        <v>8366</v>
      </c>
      <c r="H2161" s="20" t="s">
        <v>8367</v>
      </c>
      <c r="I2161" s="20" t="s">
        <v>23</v>
      </c>
      <c r="J2161" s="21">
        <v>2016</v>
      </c>
      <c r="K2161" s="20" t="s">
        <v>67</v>
      </c>
      <c r="L2161" s="21" t="s">
        <v>30</v>
      </c>
      <c r="M2161" s="21"/>
      <c r="N2161" s="20" t="s">
        <v>204</v>
      </c>
      <c r="O2161" s="20"/>
    </row>
    <row r="2162" spans="1:15" ht="13.5" customHeight="1" x14ac:dyDescent="0.25">
      <c r="A2162" s="1"/>
      <c r="B2162" s="22">
        <v>2150</v>
      </c>
      <c r="C2162" s="22">
        <v>2023</v>
      </c>
      <c r="D2162" s="22">
        <v>12209</v>
      </c>
      <c r="E2162" s="22" t="s">
        <v>8368</v>
      </c>
      <c r="F2162" s="22" t="s">
        <v>8369</v>
      </c>
      <c r="G2162" s="22" t="s">
        <v>8370</v>
      </c>
      <c r="H2162" s="22" t="s">
        <v>8371</v>
      </c>
      <c r="I2162" s="22" t="s">
        <v>23</v>
      </c>
      <c r="J2162" s="23">
        <v>2008</v>
      </c>
      <c r="K2162" s="22" t="s">
        <v>67</v>
      </c>
      <c r="L2162" s="23" t="s">
        <v>30</v>
      </c>
      <c r="M2162" s="23" t="s">
        <v>30</v>
      </c>
      <c r="N2162" s="22" t="s">
        <v>35</v>
      </c>
      <c r="O2162" s="22"/>
    </row>
    <row r="2163" spans="1:15" ht="13.5" customHeight="1" x14ac:dyDescent="0.25">
      <c r="A2163" s="1"/>
      <c r="B2163" s="20">
        <v>2151</v>
      </c>
      <c r="C2163" s="20">
        <v>2023</v>
      </c>
      <c r="D2163" s="20">
        <v>42341</v>
      </c>
      <c r="E2163" s="20" t="s">
        <v>8372</v>
      </c>
      <c r="F2163" s="20" t="s">
        <v>8373</v>
      </c>
      <c r="G2163" s="20" t="s">
        <v>8374</v>
      </c>
      <c r="H2163" s="20" t="s">
        <v>8375</v>
      </c>
      <c r="I2163" s="20" t="s">
        <v>8376</v>
      </c>
      <c r="J2163" s="21">
        <v>2018</v>
      </c>
      <c r="K2163" s="20" t="s">
        <v>24</v>
      </c>
      <c r="L2163" s="21" t="s">
        <v>30</v>
      </c>
      <c r="M2163" s="21"/>
      <c r="N2163" s="20" t="s">
        <v>151</v>
      </c>
      <c r="O2163" s="20"/>
    </row>
    <row r="2164" spans="1:15" ht="13.5" customHeight="1" x14ac:dyDescent="0.25">
      <c r="A2164" s="1"/>
      <c r="B2164" s="22">
        <v>2152</v>
      </c>
      <c r="C2164" s="22">
        <v>2023</v>
      </c>
      <c r="D2164" s="22">
        <v>31</v>
      </c>
      <c r="E2164" s="22" t="s">
        <v>8377</v>
      </c>
      <c r="F2164" s="22" t="s">
        <v>8378</v>
      </c>
      <c r="G2164" s="22" t="s">
        <v>8379</v>
      </c>
      <c r="H2164" s="22" t="s">
        <v>8380</v>
      </c>
      <c r="I2164" s="22" t="s">
        <v>223</v>
      </c>
      <c r="J2164" s="23">
        <v>2000</v>
      </c>
      <c r="K2164" s="22" t="s">
        <v>44</v>
      </c>
      <c r="L2164" s="23" t="s">
        <v>30</v>
      </c>
      <c r="M2164" s="23" t="s">
        <v>30</v>
      </c>
      <c r="N2164" s="22"/>
      <c r="O2164" s="22"/>
    </row>
    <row r="2165" spans="1:15" ht="13.5" customHeight="1" x14ac:dyDescent="0.25">
      <c r="A2165" s="1"/>
      <c r="B2165" s="20">
        <v>2153</v>
      </c>
      <c r="C2165" s="20">
        <v>2023</v>
      </c>
      <c r="D2165" s="20">
        <v>11248</v>
      </c>
      <c r="E2165" s="20" t="s">
        <v>8381</v>
      </c>
      <c r="F2165" s="20" t="s">
        <v>8382</v>
      </c>
      <c r="G2165" s="20" t="s">
        <v>8383</v>
      </c>
      <c r="H2165" s="20" t="s">
        <v>8384</v>
      </c>
      <c r="I2165" s="20" t="s">
        <v>23</v>
      </c>
      <c r="J2165" s="21">
        <v>2000</v>
      </c>
      <c r="K2165" s="20" t="s">
        <v>34</v>
      </c>
      <c r="L2165" s="21" t="s">
        <v>30</v>
      </c>
      <c r="M2165" s="21" t="s">
        <v>30</v>
      </c>
      <c r="N2165" s="20"/>
      <c r="O2165" s="20"/>
    </row>
    <row r="2166" spans="1:15" ht="13.5" customHeight="1" x14ac:dyDescent="0.25">
      <c r="A2166" s="1"/>
      <c r="B2166" s="22">
        <v>2154</v>
      </c>
      <c r="C2166" s="22">
        <v>2023</v>
      </c>
      <c r="D2166" s="22">
        <v>11243</v>
      </c>
      <c r="E2166" s="22" t="s">
        <v>8385</v>
      </c>
      <c r="F2166" s="22" t="s">
        <v>8386</v>
      </c>
      <c r="G2166" s="22" t="s">
        <v>8387</v>
      </c>
      <c r="H2166" s="22" t="s">
        <v>8388</v>
      </c>
      <c r="I2166" s="22" t="s">
        <v>23</v>
      </c>
      <c r="J2166" s="23">
        <v>2000</v>
      </c>
      <c r="K2166" s="22" t="s">
        <v>24</v>
      </c>
      <c r="L2166" s="23" t="s">
        <v>30</v>
      </c>
      <c r="M2166" s="23" t="s">
        <v>30</v>
      </c>
      <c r="N2166" s="22"/>
      <c r="O2166" s="22"/>
    </row>
    <row r="2167" spans="1:15" ht="13.5" customHeight="1" x14ac:dyDescent="0.25">
      <c r="A2167" s="1"/>
      <c r="B2167" s="20">
        <v>2155</v>
      </c>
      <c r="C2167" s="20">
        <v>2023</v>
      </c>
      <c r="D2167" s="20">
        <v>12975</v>
      </c>
      <c r="E2167" s="20" t="s">
        <v>8389</v>
      </c>
      <c r="F2167" s="20" t="s">
        <v>8390</v>
      </c>
      <c r="G2167" s="20"/>
      <c r="H2167" s="20" t="s">
        <v>8391</v>
      </c>
      <c r="I2167" s="20" t="s">
        <v>23</v>
      </c>
      <c r="J2167" s="21">
        <v>2010</v>
      </c>
      <c r="K2167" s="20" t="s">
        <v>34</v>
      </c>
      <c r="L2167" s="21"/>
      <c r="M2167" s="21" t="s">
        <v>30</v>
      </c>
      <c r="N2167" s="20" t="s">
        <v>1310</v>
      </c>
      <c r="O2167" s="20"/>
    </row>
    <row r="2168" spans="1:15" ht="13.5" customHeight="1" x14ac:dyDescent="0.25">
      <c r="A2168" s="1"/>
      <c r="B2168" s="22">
        <v>2156</v>
      </c>
      <c r="C2168" s="22">
        <v>2023</v>
      </c>
      <c r="D2168" s="22">
        <v>11242</v>
      </c>
      <c r="E2168" s="22" t="s">
        <v>8392</v>
      </c>
      <c r="F2168" s="22" t="s">
        <v>8393</v>
      </c>
      <c r="G2168" s="22" t="s">
        <v>8394</v>
      </c>
      <c r="H2168" s="22" t="s">
        <v>8395</v>
      </c>
      <c r="I2168" s="22" t="s">
        <v>23</v>
      </c>
      <c r="J2168" s="23">
        <v>2000</v>
      </c>
      <c r="K2168" s="22" t="s">
        <v>95</v>
      </c>
      <c r="L2168" s="23" t="s">
        <v>30</v>
      </c>
      <c r="M2168" s="23" t="s">
        <v>30</v>
      </c>
      <c r="N2168" s="22"/>
      <c r="O2168" s="22"/>
    </row>
    <row r="2169" spans="1:15" ht="13.5" customHeight="1" x14ac:dyDescent="0.25">
      <c r="A2169" s="1"/>
      <c r="B2169" s="20">
        <v>2157</v>
      </c>
      <c r="C2169" s="20">
        <v>2023</v>
      </c>
      <c r="D2169" s="20">
        <v>11116</v>
      </c>
      <c r="E2169" s="20" t="s">
        <v>8396</v>
      </c>
      <c r="F2169" s="20" t="s">
        <v>8397</v>
      </c>
      <c r="G2169" s="20" t="s">
        <v>8398</v>
      </c>
      <c r="H2169" s="20" t="s">
        <v>8399</v>
      </c>
      <c r="I2169" s="20" t="s">
        <v>23</v>
      </c>
      <c r="J2169" s="21">
        <v>2000</v>
      </c>
      <c r="K2169" s="20" t="s">
        <v>475</v>
      </c>
      <c r="L2169" s="21" t="s">
        <v>30</v>
      </c>
      <c r="M2169" s="21" t="s">
        <v>30</v>
      </c>
      <c r="N2169" s="20"/>
      <c r="O2169" s="20"/>
    </row>
    <row r="2170" spans="1:15" ht="13.5" customHeight="1" x14ac:dyDescent="0.25">
      <c r="A2170" s="1"/>
      <c r="B2170" s="22">
        <v>2158</v>
      </c>
      <c r="C2170" s="22">
        <v>2023</v>
      </c>
      <c r="D2170" s="22">
        <v>40890</v>
      </c>
      <c r="E2170" s="22" t="s">
        <v>8400</v>
      </c>
      <c r="F2170" s="22" t="s">
        <v>8401</v>
      </c>
      <c r="G2170" s="22" t="s">
        <v>8402</v>
      </c>
      <c r="H2170" s="22" t="s">
        <v>8403</v>
      </c>
      <c r="I2170" s="22" t="s">
        <v>23</v>
      </c>
      <c r="J2170" s="23">
        <v>2015</v>
      </c>
      <c r="K2170" s="22" t="s">
        <v>67</v>
      </c>
      <c r="L2170" s="23" t="s">
        <v>30</v>
      </c>
      <c r="M2170" s="23"/>
      <c r="N2170" s="22" t="s">
        <v>185</v>
      </c>
      <c r="O2170" s="22"/>
    </row>
    <row r="2171" spans="1:15" ht="13.5" customHeight="1" x14ac:dyDescent="0.25">
      <c r="A2171" s="1"/>
      <c r="B2171" s="20">
        <v>2159</v>
      </c>
      <c r="C2171" s="20">
        <v>2023</v>
      </c>
      <c r="D2171" s="20">
        <v>40515</v>
      </c>
      <c r="E2171" s="20" t="s">
        <v>8404</v>
      </c>
      <c r="F2171" s="20" t="s">
        <v>8405</v>
      </c>
      <c r="G2171" s="20" t="s">
        <v>8406</v>
      </c>
      <c r="H2171" s="20" t="s">
        <v>8407</v>
      </c>
      <c r="I2171" s="20" t="s">
        <v>23</v>
      </c>
      <c r="J2171" s="21">
        <v>2014</v>
      </c>
      <c r="K2171" s="20" t="s">
        <v>67</v>
      </c>
      <c r="L2171" s="21" t="s">
        <v>30</v>
      </c>
      <c r="M2171" s="21"/>
      <c r="N2171" s="20" t="s">
        <v>381</v>
      </c>
      <c r="O2171" s="20"/>
    </row>
    <row r="2172" spans="1:15" ht="13.5" customHeight="1" x14ac:dyDescent="0.25">
      <c r="A2172" s="1"/>
      <c r="B2172" s="22">
        <v>2160</v>
      </c>
      <c r="C2172" s="22">
        <v>2023</v>
      </c>
      <c r="D2172" s="22">
        <v>11295</v>
      </c>
      <c r="E2172" s="22" t="s">
        <v>8408</v>
      </c>
      <c r="F2172" s="22" t="s">
        <v>8409</v>
      </c>
      <c r="G2172" s="22"/>
      <c r="H2172" s="22" t="s">
        <v>8410</v>
      </c>
      <c r="I2172" s="22" t="s">
        <v>23</v>
      </c>
      <c r="J2172" s="23">
        <v>2005</v>
      </c>
      <c r="K2172" s="22" t="s">
        <v>34</v>
      </c>
      <c r="L2172" s="23"/>
      <c r="M2172" s="23" t="s">
        <v>30</v>
      </c>
      <c r="N2172" s="22"/>
      <c r="O2172" s="22"/>
    </row>
    <row r="2173" spans="1:15" ht="13.5" customHeight="1" x14ac:dyDescent="0.25">
      <c r="A2173" s="1"/>
      <c r="B2173" s="20">
        <v>2161</v>
      </c>
      <c r="C2173" s="20">
        <v>2023</v>
      </c>
      <c r="D2173" s="20">
        <v>468</v>
      </c>
      <c r="E2173" s="20" t="s">
        <v>8411</v>
      </c>
      <c r="F2173" s="20" t="s">
        <v>8412</v>
      </c>
      <c r="G2173" s="20" t="s">
        <v>8413</v>
      </c>
      <c r="H2173" s="20" t="s">
        <v>8414</v>
      </c>
      <c r="I2173" s="20" t="s">
        <v>23</v>
      </c>
      <c r="J2173" s="21">
        <v>2000</v>
      </c>
      <c r="K2173" s="20" t="s">
        <v>34</v>
      </c>
      <c r="L2173" s="21" t="s">
        <v>30</v>
      </c>
      <c r="M2173" s="21" t="s">
        <v>30</v>
      </c>
      <c r="N2173" s="20"/>
      <c r="O2173" s="20"/>
    </row>
    <row r="2174" spans="1:15" ht="13.5" customHeight="1" x14ac:dyDescent="0.25">
      <c r="A2174" s="1"/>
      <c r="B2174" s="22">
        <v>2162</v>
      </c>
      <c r="C2174" s="22">
        <v>2023</v>
      </c>
      <c r="D2174" s="22">
        <v>12117</v>
      </c>
      <c r="E2174" s="22" t="s">
        <v>8415</v>
      </c>
      <c r="F2174" s="22" t="s">
        <v>8416</v>
      </c>
      <c r="G2174" s="22" t="s">
        <v>8417</v>
      </c>
      <c r="H2174" s="22" t="s">
        <v>8418</v>
      </c>
      <c r="I2174" s="22" t="s">
        <v>23</v>
      </c>
      <c r="J2174" s="23">
        <v>2000</v>
      </c>
      <c r="K2174" s="22" t="s">
        <v>394</v>
      </c>
      <c r="L2174" s="23" t="s">
        <v>30</v>
      </c>
      <c r="M2174" s="23" t="s">
        <v>30</v>
      </c>
      <c r="N2174" s="22" t="s">
        <v>74</v>
      </c>
      <c r="O2174" s="22"/>
    </row>
    <row r="2175" spans="1:15" ht="13.5" customHeight="1" x14ac:dyDescent="0.25">
      <c r="A2175" s="1"/>
      <c r="B2175" s="20">
        <v>2163</v>
      </c>
      <c r="C2175" s="20">
        <v>2023</v>
      </c>
      <c r="D2175" s="20">
        <v>43076</v>
      </c>
      <c r="E2175" s="20" t="s">
        <v>8419</v>
      </c>
      <c r="F2175" s="20" t="s">
        <v>8420</v>
      </c>
      <c r="G2175" s="20"/>
      <c r="H2175" s="20" t="s">
        <v>8421</v>
      </c>
      <c r="I2175" s="20" t="s">
        <v>23</v>
      </c>
      <c r="J2175" s="21">
        <v>2020</v>
      </c>
      <c r="K2175" s="20" t="s">
        <v>203</v>
      </c>
      <c r="L2175" s="21"/>
      <c r="M2175" s="21"/>
      <c r="N2175" s="20" t="s">
        <v>270</v>
      </c>
      <c r="O2175" s="20"/>
    </row>
    <row r="2176" spans="1:15" ht="13.5" customHeight="1" x14ac:dyDescent="0.25">
      <c r="A2176" s="1"/>
      <c r="B2176" s="22">
        <v>2164</v>
      </c>
      <c r="C2176" s="22">
        <v>2023</v>
      </c>
      <c r="D2176" s="22">
        <v>11249</v>
      </c>
      <c r="E2176" s="22" t="s">
        <v>8422</v>
      </c>
      <c r="F2176" s="22" t="s">
        <v>8423</v>
      </c>
      <c r="G2176" s="22" t="s">
        <v>8424</v>
      </c>
      <c r="H2176" s="22" t="s">
        <v>8425</v>
      </c>
      <c r="I2176" s="22" t="s">
        <v>23</v>
      </c>
      <c r="J2176" s="23">
        <v>2000</v>
      </c>
      <c r="K2176" s="22" t="s">
        <v>24</v>
      </c>
      <c r="L2176" s="23" t="s">
        <v>30</v>
      </c>
      <c r="M2176" s="23" t="s">
        <v>30</v>
      </c>
      <c r="N2176" s="22"/>
      <c r="O2176" s="22"/>
    </row>
    <row r="2177" spans="1:15" ht="13.5" customHeight="1" x14ac:dyDescent="0.25">
      <c r="A2177" s="1"/>
      <c r="B2177" s="20">
        <v>2165</v>
      </c>
      <c r="C2177" s="20">
        <v>2023</v>
      </c>
      <c r="D2177" s="20">
        <v>11250</v>
      </c>
      <c r="E2177" s="20" t="s">
        <v>8426</v>
      </c>
      <c r="F2177" s="20" t="s">
        <v>8427</v>
      </c>
      <c r="G2177" s="20" t="s">
        <v>8428</v>
      </c>
      <c r="H2177" s="20" t="s">
        <v>8429</v>
      </c>
      <c r="I2177" s="20" t="s">
        <v>23</v>
      </c>
      <c r="J2177" s="21">
        <v>2000</v>
      </c>
      <c r="K2177" s="20" t="s">
        <v>34</v>
      </c>
      <c r="L2177" s="21" t="s">
        <v>30</v>
      </c>
      <c r="M2177" s="21" t="s">
        <v>30</v>
      </c>
      <c r="N2177" s="20"/>
      <c r="O2177" s="20"/>
    </row>
    <row r="2178" spans="1:15" ht="13.5" customHeight="1" x14ac:dyDescent="0.25">
      <c r="A2178" s="1"/>
      <c r="B2178" s="22">
        <v>2166</v>
      </c>
      <c r="C2178" s="22">
        <v>2023</v>
      </c>
      <c r="D2178" s="22">
        <v>42965</v>
      </c>
      <c r="E2178" s="22" t="s">
        <v>8430</v>
      </c>
      <c r="F2178" s="22" t="s">
        <v>8431</v>
      </c>
      <c r="G2178" s="22" t="s">
        <v>8432</v>
      </c>
      <c r="H2178" s="22" t="s">
        <v>8433</v>
      </c>
      <c r="I2178" s="22" t="s">
        <v>23</v>
      </c>
      <c r="J2178" s="23">
        <v>2019</v>
      </c>
      <c r="K2178" s="22" t="s">
        <v>34</v>
      </c>
      <c r="L2178" s="23" t="s">
        <v>30</v>
      </c>
      <c r="M2178" s="23"/>
      <c r="N2178" s="22" t="s">
        <v>123</v>
      </c>
      <c r="O2178" s="22"/>
    </row>
    <row r="2179" spans="1:15" ht="13.5" customHeight="1" x14ac:dyDescent="0.25">
      <c r="A2179" s="1"/>
      <c r="B2179" s="20">
        <v>2167</v>
      </c>
      <c r="C2179" s="20">
        <v>2023</v>
      </c>
      <c r="D2179" s="20">
        <v>12042</v>
      </c>
      <c r="E2179" s="20" t="s">
        <v>8434</v>
      </c>
      <c r="F2179" s="20" t="s">
        <v>8435</v>
      </c>
      <c r="G2179" s="20"/>
      <c r="H2179" s="20" t="s">
        <v>8436</v>
      </c>
      <c r="I2179" s="20" t="s">
        <v>23</v>
      </c>
      <c r="J2179" s="21">
        <v>2008</v>
      </c>
      <c r="K2179" s="20" t="s">
        <v>34</v>
      </c>
      <c r="L2179" s="21"/>
      <c r="M2179" s="21" t="s">
        <v>30</v>
      </c>
      <c r="N2179" s="20" t="s">
        <v>352</v>
      </c>
      <c r="O2179" s="20"/>
    </row>
    <row r="2180" spans="1:15" ht="13.5" customHeight="1" x14ac:dyDescent="0.25">
      <c r="A2180" s="1"/>
      <c r="B2180" s="22">
        <v>2168</v>
      </c>
      <c r="C2180" s="22">
        <v>2023</v>
      </c>
      <c r="D2180" s="22">
        <v>40858</v>
      </c>
      <c r="E2180" s="22" t="s">
        <v>8437</v>
      </c>
      <c r="F2180" s="22" t="s">
        <v>8438</v>
      </c>
      <c r="G2180" s="22"/>
      <c r="H2180" s="22" t="s">
        <v>8439</v>
      </c>
      <c r="I2180" s="22" t="s">
        <v>23</v>
      </c>
      <c r="J2180" s="23">
        <v>2015</v>
      </c>
      <c r="K2180" s="22" t="s">
        <v>34</v>
      </c>
      <c r="L2180" s="23"/>
      <c r="M2180" s="23"/>
      <c r="N2180" s="22" t="s">
        <v>68</v>
      </c>
      <c r="O2180" s="22"/>
    </row>
    <row r="2181" spans="1:15" ht="13.5" customHeight="1" x14ac:dyDescent="0.25">
      <c r="A2181" s="1"/>
      <c r="B2181" s="20">
        <v>2169</v>
      </c>
      <c r="C2181" s="20">
        <v>2023</v>
      </c>
      <c r="D2181" s="20">
        <v>42864</v>
      </c>
      <c r="E2181" s="20" t="s">
        <v>8440</v>
      </c>
      <c r="F2181" s="20" t="s">
        <v>8441</v>
      </c>
      <c r="G2181" s="20" t="s">
        <v>8442</v>
      </c>
      <c r="H2181" s="20" t="s">
        <v>8443</v>
      </c>
      <c r="I2181" s="20" t="s">
        <v>23</v>
      </c>
      <c r="J2181" s="21">
        <v>2019</v>
      </c>
      <c r="K2181" s="20" t="s">
        <v>24</v>
      </c>
      <c r="L2181" s="21" t="s">
        <v>30</v>
      </c>
      <c r="M2181" s="21"/>
      <c r="N2181" s="20" t="s">
        <v>218</v>
      </c>
      <c r="O2181" s="20"/>
    </row>
    <row r="2182" spans="1:15" ht="13.5" customHeight="1" x14ac:dyDescent="0.25">
      <c r="A2182" s="1"/>
      <c r="B2182" s="22">
        <v>2170</v>
      </c>
      <c r="C2182" s="22">
        <v>2023</v>
      </c>
      <c r="D2182" s="22">
        <v>11253</v>
      </c>
      <c r="E2182" s="22" t="s">
        <v>8444</v>
      </c>
      <c r="F2182" s="22" t="s">
        <v>8445</v>
      </c>
      <c r="G2182" s="22" t="s">
        <v>8446</v>
      </c>
      <c r="H2182" s="22" t="s">
        <v>8447</v>
      </c>
      <c r="I2182" s="22" t="s">
        <v>23</v>
      </c>
      <c r="J2182" s="23">
        <v>2000</v>
      </c>
      <c r="K2182" s="22" t="s">
        <v>44</v>
      </c>
      <c r="L2182" s="23" t="s">
        <v>30</v>
      </c>
      <c r="M2182" s="23" t="s">
        <v>30</v>
      </c>
      <c r="N2182" s="22"/>
      <c r="O2182" s="22"/>
    </row>
    <row r="2183" spans="1:15" ht="13.5" customHeight="1" x14ac:dyDescent="0.25">
      <c r="A2183" s="1"/>
      <c r="B2183" s="20">
        <v>2171</v>
      </c>
      <c r="C2183" s="20">
        <v>2023</v>
      </c>
      <c r="D2183" s="20">
        <v>10209</v>
      </c>
      <c r="E2183" s="20" t="s">
        <v>8448</v>
      </c>
      <c r="F2183" s="20" t="s">
        <v>8449</v>
      </c>
      <c r="G2183" s="20" t="s">
        <v>8450</v>
      </c>
      <c r="H2183" s="20" t="s">
        <v>8451</v>
      </c>
      <c r="I2183" s="20" t="s">
        <v>23</v>
      </c>
      <c r="J2183" s="21">
        <v>2001</v>
      </c>
      <c r="K2183" s="20" t="s">
        <v>114</v>
      </c>
      <c r="L2183" s="21" t="s">
        <v>30</v>
      </c>
      <c r="M2183" s="21" t="s">
        <v>30</v>
      </c>
      <c r="N2183" s="20"/>
      <c r="O2183" s="20"/>
    </row>
    <row r="2184" spans="1:15" ht="13.5" customHeight="1" x14ac:dyDescent="0.25">
      <c r="A2184" s="1"/>
      <c r="B2184" s="22">
        <v>2172</v>
      </c>
      <c r="C2184" s="22">
        <v>2023</v>
      </c>
      <c r="D2184" s="22">
        <v>42010</v>
      </c>
      <c r="E2184" s="22" t="s">
        <v>8452</v>
      </c>
      <c r="F2184" s="22" t="s">
        <v>8453</v>
      </c>
      <c r="G2184" s="22" t="s">
        <v>8454</v>
      </c>
      <c r="H2184" s="22" t="s">
        <v>8455</v>
      </c>
      <c r="I2184" s="22" t="s">
        <v>960</v>
      </c>
      <c r="J2184" s="23">
        <v>2018</v>
      </c>
      <c r="K2184" s="22" t="s">
        <v>73</v>
      </c>
      <c r="L2184" s="23" t="s">
        <v>30</v>
      </c>
      <c r="M2184" s="23"/>
      <c r="N2184" s="22" t="s">
        <v>151</v>
      </c>
      <c r="O2184" s="22"/>
    </row>
    <row r="2185" spans="1:15" ht="13.5" customHeight="1" x14ac:dyDescent="0.25">
      <c r="A2185" s="1"/>
      <c r="B2185" s="20">
        <v>2173</v>
      </c>
      <c r="C2185" s="20">
        <v>2023</v>
      </c>
      <c r="D2185" s="20">
        <v>13304</v>
      </c>
      <c r="E2185" s="20" t="s">
        <v>8456</v>
      </c>
      <c r="F2185" s="20" t="s">
        <v>8457</v>
      </c>
      <c r="G2185" s="20"/>
      <c r="H2185" s="20" t="s">
        <v>8458</v>
      </c>
      <c r="I2185" s="20" t="s">
        <v>23</v>
      </c>
      <c r="J2185" s="21">
        <v>2010</v>
      </c>
      <c r="K2185" s="20" t="s">
        <v>39</v>
      </c>
      <c r="L2185" s="21"/>
      <c r="M2185" s="21"/>
      <c r="N2185" s="20" t="s">
        <v>173</v>
      </c>
      <c r="O2185" s="20"/>
    </row>
    <row r="2186" spans="1:15" ht="13.5" customHeight="1" x14ac:dyDescent="0.25">
      <c r="A2186" s="1"/>
      <c r="B2186" s="22">
        <v>2174</v>
      </c>
      <c r="C2186" s="22">
        <v>2023</v>
      </c>
      <c r="D2186" s="22">
        <v>11252</v>
      </c>
      <c r="E2186" s="22" t="s">
        <v>8459</v>
      </c>
      <c r="F2186" s="22" t="s">
        <v>8460</v>
      </c>
      <c r="G2186" s="22" t="s">
        <v>8461</v>
      </c>
      <c r="H2186" s="22" t="s">
        <v>8462</v>
      </c>
      <c r="I2186" s="22" t="s">
        <v>23</v>
      </c>
      <c r="J2186" s="23">
        <v>2000</v>
      </c>
      <c r="K2186" s="22" t="s">
        <v>34</v>
      </c>
      <c r="L2186" s="23" t="s">
        <v>30</v>
      </c>
      <c r="M2186" s="23" t="s">
        <v>30</v>
      </c>
      <c r="N2186" s="22"/>
      <c r="O2186" s="22"/>
    </row>
    <row r="2187" spans="1:15" ht="13.5" customHeight="1" x14ac:dyDescent="0.25">
      <c r="A2187" s="1"/>
      <c r="B2187" s="20">
        <v>2175</v>
      </c>
      <c r="C2187" s="20">
        <v>2023</v>
      </c>
      <c r="D2187" s="20">
        <v>12132</v>
      </c>
      <c r="E2187" s="20" t="s">
        <v>8463</v>
      </c>
      <c r="F2187" s="20" t="s">
        <v>8464</v>
      </c>
      <c r="G2187" s="20" t="s">
        <v>8465</v>
      </c>
      <c r="H2187" s="20" t="s">
        <v>8466</v>
      </c>
      <c r="I2187" s="20" t="s">
        <v>23</v>
      </c>
      <c r="J2187" s="21">
        <v>2000</v>
      </c>
      <c r="K2187" s="20" t="s">
        <v>184</v>
      </c>
      <c r="L2187" s="21" t="s">
        <v>30</v>
      </c>
      <c r="M2187" s="21" t="s">
        <v>30</v>
      </c>
      <c r="N2187" s="20" t="s">
        <v>74</v>
      </c>
      <c r="O2187" s="20"/>
    </row>
    <row r="2188" spans="1:15" ht="13.5" customHeight="1" x14ac:dyDescent="0.25">
      <c r="A2188" s="1"/>
      <c r="B2188" s="22">
        <v>2176</v>
      </c>
      <c r="C2188" s="22">
        <v>2023</v>
      </c>
      <c r="D2188" s="22">
        <v>240</v>
      </c>
      <c r="E2188" s="22" t="s">
        <v>8467</v>
      </c>
      <c r="F2188" s="22" t="s">
        <v>8468</v>
      </c>
      <c r="G2188" s="22"/>
      <c r="H2188" s="22" t="s">
        <v>8469</v>
      </c>
      <c r="I2188" s="22" t="s">
        <v>23</v>
      </c>
      <c r="J2188" s="23">
        <v>2000</v>
      </c>
      <c r="K2188" s="22" t="s">
        <v>39</v>
      </c>
      <c r="L2188" s="23"/>
      <c r="M2188" s="23" t="s">
        <v>30</v>
      </c>
      <c r="N2188" s="22"/>
      <c r="O2188" s="22"/>
    </row>
    <row r="2189" spans="1:15" ht="13.5" customHeight="1" x14ac:dyDescent="0.25">
      <c r="A2189" s="1"/>
      <c r="B2189" s="20">
        <v>2177</v>
      </c>
      <c r="C2189" s="20">
        <v>2023</v>
      </c>
      <c r="D2189" s="20">
        <v>41973</v>
      </c>
      <c r="E2189" s="20" t="s">
        <v>8470</v>
      </c>
      <c r="F2189" s="20" t="s">
        <v>8471</v>
      </c>
      <c r="G2189" s="20" t="s">
        <v>8472</v>
      </c>
      <c r="H2189" s="20" t="s">
        <v>8473</v>
      </c>
      <c r="I2189" s="20" t="s">
        <v>357</v>
      </c>
      <c r="J2189" s="21">
        <v>2017</v>
      </c>
      <c r="K2189" s="20" t="s">
        <v>39</v>
      </c>
      <c r="L2189" s="21" t="s">
        <v>30</v>
      </c>
      <c r="M2189" s="21"/>
      <c r="N2189" s="20" t="s">
        <v>105</v>
      </c>
      <c r="O2189" s="20"/>
    </row>
    <row r="2190" spans="1:15" ht="13.5" customHeight="1" x14ac:dyDescent="0.25">
      <c r="A2190" s="1"/>
      <c r="B2190" s="22">
        <v>2178</v>
      </c>
      <c r="C2190" s="22">
        <v>2023</v>
      </c>
      <c r="D2190" s="22">
        <v>92</v>
      </c>
      <c r="E2190" s="22" t="s">
        <v>8474</v>
      </c>
      <c r="F2190" s="22" t="s">
        <v>8475</v>
      </c>
      <c r="G2190" s="22" t="s">
        <v>8476</v>
      </c>
      <c r="H2190" s="22" t="s">
        <v>8477</v>
      </c>
      <c r="I2190" s="22" t="s">
        <v>357</v>
      </c>
      <c r="J2190" s="23">
        <v>2009</v>
      </c>
      <c r="K2190" s="22" t="s">
        <v>39</v>
      </c>
      <c r="L2190" s="23" t="s">
        <v>30</v>
      </c>
      <c r="M2190" s="23"/>
      <c r="N2190" s="22"/>
      <c r="O2190" s="22"/>
    </row>
    <row r="2191" spans="1:15" ht="13.5" customHeight="1" x14ac:dyDescent="0.25">
      <c r="A2191" s="1"/>
      <c r="B2191" s="20">
        <v>2179</v>
      </c>
      <c r="C2191" s="20">
        <v>2023</v>
      </c>
      <c r="D2191" s="20">
        <v>11257</v>
      </c>
      <c r="E2191" s="20" t="s">
        <v>8478</v>
      </c>
      <c r="F2191" s="20" t="s">
        <v>8479</v>
      </c>
      <c r="G2191" s="20" t="s">
        <v>8480</v>
      </c>
      <c r="H2191" s="20" t="s">
        <v>8481</v>
      </c>
      <c r="I2191" s="20" t="s">
        <v>23</v>
      </c>
      <c r="J2191" s="21">
        <v>2000</v>
      </c>
      <c r="K2191" s="20" t="s">
        <v>114</v>
      </c>
      <c r="L2191" s="21" t="s">
        <v>30</v>
      </c>
      <c r="M2191" s="21" t="s">
        <v>30</v>
      </c>
      <c r="N2191" s="20"/>
      <c r="O2191" s="20"/>
    </row>
    <row r="2192" spans="1:15" ht="13.5" customHeight="1" x14ac:dyDescent="0.25">
      <c r="A2192" s="1"/>
      <c r="B2192" s="22">
        <v>2180</v>
      </c>
      <c r="C2192" s="22">
        <v>2023</v>
      </c>
      <c r="D2192" s="22">
        <v>334</v>
      </c>
      <c r="E2192" s="22" t="s">
        <v>8482</v>
      </c>
      <c r="F2192" s="22" t="s">
        <v>8483</v>
      </c>
      <c r="G2192" s="22" t="s">
        <v>8484</v>
      </c>
      <c r="H2192" s="22" t="s">
        <v>8485</v>
      </c>
      <c r="I2192" s="22" t="s">
        <v>23</v>
      </c>
      <c r="J2192" s="23">
        <v>2000</v>
      </c>
      <c r="K2192" s="22" t="s">
        <v>95</v>
      </c>
      <c r="L2192" s="23" t="s">
        <v>30</v>
      </c>
      <c r="M2192" s="23" t="s">
        <v>30</v>
      </c>
      <c r="N2192" s="22"/>
      <c r="O2192" s="22"/>
    </row>
    <row r="2193" spans="1:15" ht="13.5" customHeight="1" x14ac:dyDescent="0.25">
      <c r="A2193" s="1"/>
      <c r="B2193" s="20">
        <v>2181</v>
      </c>
      <c r="C2193" s="20">
        <v>2023</v>
      </c>
      <c r="D2193" s="20">
        <v>42535</v>
      </c>
      <c r="E2193" s="20" t="s">
        <v>8486</v>
      </c>
      <c r="F2193" s="20" t="s">
        <v>8487</v>
      </c>
      <c r="G2193" s="20"/>
      <c r="H2193" s="20" t="s">
        <v>8488</v>
      </c>
      <c r="I2193" s="20" t="s">
        <v>23</v>
      </c>
      <c r="J2193" s="21">
        <v>2019</v>
      </c>
      <c r="K2193" s="20" t="s">
        <v>34</v>
      </c>
      <c r="L2193" s="21"/>
      <c r="M2193" s="21"/>
      <c r="N2193" s="20" t="s">
        <v>123</v>
      </c>
      <c r="O2193" s="20"/>
    </row>
    <row r="2194" spans="1:15" ht="13.5" customHeight="1" x14ac:dyDescent="0.25">
      <c r="A2194" s="1"/>
      <c r="B2194" s="22">
        <v>2182</v>
      </c>
      <c r="C2194" s="22">
        <v>2023</v>
      </c>
      <c r="D2194" s="22">
        <v>11988</v>
      </c>
      <c r="E2194" s="22" t="s">
        <v>8489</v>
      </c>
      <c r="F2194" s="22" t="s">
        <v>8490</v>
      </c>
      <c r="G2194" s="22" t="s">
        <v>8491</v>
      </c>
      <c r="H2194" s="22" t="s">
        <v>8492</v>
      </c>
      <c r="I2194" s="22" t="s">
        <v>62</v>
      </c>
      <c r="J2194" s="23">
        <v>2007</v>
      </c>
      <c r="K2194" s="22" t="s">
        <v>44</v>
      </c>
      <c r="L2194" s="23" t="s">
        <v>30</v>
      </c>
      <c r="M2194" s="23" t="s">
        <v>30</v>
      </c>
      <c r="N2194" s="22" t="s">
        <v>74</v>
      </c>
      <c r="O2194" s="22"/>
    </row>
    <row r="2195" spans="1:15" ht="13.5" customHeight="1" x14ac:dyDescent="0.25">
      <c r="A2195" s="1"/>
      <c r="B2195" s="20">
        <v>2183</v>
      </c>
      <c r="C2195" s="20">
        <v>2023</v>
      </c>
      <c r="D2195" s="20">
        <v>11259</v>
      </c>
      <c r="E2195" s="20" t="s">
        <v>8493</v>
      </c>
      <c r="F2195" s="20" t="s">
        <v>8494</v>
      </c>
      <c r="G2195" s="20" t="s">
        <v>8495</v>
      </c>
      <c r="H2195" s="20" t="s">
        <v>8496</v>
      </c>
      <c r="I2195" s="20" t="s">
        <v>23</v>
      </c>
      <c r="J2195" s="21">
        <v>2000</v>
      </c>
      <c r="K2195" s="20" t="s">
        <v>34</v>
      </c>
      <c r="L2195" s="21" t="s">
        <v>30</v>
      </c>
      <c r="M2195" s="21" t="s">
        <v>30</v>
      </c>
      <c r="N2195" s="20"/>
      <c r="O2195" s="20"/>
    </row>
    <row r="2196" spans="1:15" ht="13.5" customHeight="1" x14ac:dyDescent="0.25">
      <c r="A2196" s="1"/>
      <c r="B2196" s="22">
        <v>2184</v>
      </c>
      <c r="C2196" s="22">
        <v>2023</v>
      </c>
      <c r="D2196" s="22">
        <v>10013</v>
      </c>
      <c r="E2196" s="22" t="s">
        <v>8497</v>
      </c>
      <c r="F2196" s="22" t="s">
        <v>8498</v>
      </c>
      <c r="G2196" s="22" t="s">
        <v>8499</v>
      </c>
      <c r="H2196" s="22" t="s">
        <v>8500</v>
      </c>
      <c r="I2196" s="22" t="s">
        <v>23</v>
      </c>
      <c r="J2196" s="23">
        <v>2013</v>
      </c>
      <c r="K2196" s="22" t="s">
        <v>44</v>
      </c>
      <c r="L2196" s="23" t="s">
        <v>30</v>
      </c>
      <c r="M2196" s="23"/>
      <c r="N2196" s="22" t="s">
        <v>101</v>
      </c>
      <c r="O2196" s="22"/>
    </row>
    <row r="2197" spans="1:15" ht="13.5" customHeight="1" x14ac:dyDescent="0.25">
      <c r="A2197" s="1"/>
      <c r="B2197" s="20">
        <v>2185</v>
      </c>
      <c r="C2197" s="20">
        <v>2023</v>
      </c>
      <c r="D2197" s="20">
        <v>428</v>
      </c>
      <c r="E2197" s="20" t="s">
        <v>8501</v>
      </c>
      <c r="F2197" s="20" t="s">
        <v>8502</v>
      </c>
      <c r="G2197" s="20" t="s">
        <v>8503</v>
      </c>
      <c r="H2197" s="20" t="s">
        <v>8504</v>
      </c>
      <c r="I2197" s="20" t="s">
        <v>23</v>
      </c>
      <c r="J2197" s="21">
        <v>2000</v>
      </c>
      <c r="K2197" s="20" t="s">
        <v>39</v>
      </c>
      <c r="L2197" s="21" t="s">
        <v>30</v>
      </c>
      <c r="M2197" s="21" t="s">
        <v>30</v>
      </c>
      <c r="N2197" s="20"/>
      <c r="O2197" s="20"/>
    </row>
    <row r="2198" spans="1:15" ht="13.5" customHeight="1" x14ac:dyDescent="0.25">
      <c r="A2198" s="1"/>
      <c r="B2198" s="22">
        <v>2186</v>
      </c>
      <c r="C2198" s="22">
        <v>2023</v>
      </c>
      <c r="D2198" s="22">
        <v>10055</v>
      </c>
      <c r="E2198" s="22" t="s">
        <v>8505</v>
      </c>
      <c r="F2198" s="22" t="s">
        <v>8506</v>
      </c>
      <c r="G2198" s="22" t="s">
        <v>8507</v>
      </c>
      <c r="H2198" s="22" t="s">
        <v>8508</v>
      </c>
      <c r="I2198" s="22" t="s">
        <v>23</v>
      </c>
      <c r="J2198" s="23">
        <v>2000</v>
      </c>
      <c r="K2198" s="22" t="s">
        <v>114</v>
      </c>
      <c r="L2198" s="23" t="s">
        <v>30</v>
      </c>
      <c r="M2198" s="23" t="s">
        <v>30</v>
      </c>
      <c r="N2198" s="22"/>
      <c r="O2198" s="22"/>
    </row>
    <row r="2199" spans="1:15" ht="13.5" customHeight="1" x14ac:dyDescent="0.25">
      <c r="A2199" s="1"/>
      <c r="B2199" s="20">
        <v>2187</v>
      </c>
      <c r="C2199" s="20">
        <v>2023</v>
      </c>
      <c r="D2199" s="20">
        <v>11262</v>
      </c>
      <c r="E2199" s="20" t="s">
        <v>8509</v>
      </c>
      <c r="F2199" s="20" t="s">
        <v>8510</v>
      </c>
      <c r="G2199" s="20" t="s">
        <v>8511</v>
      </c>
      <c r="H2199" s="20" t="s">
        <v>8512</v>
      </c>
      <c r="I2199" s="20" t="s">
        <v>23</v>
      </c>
      <c r="J2199" s="21">
        <v>2000</v>
      </c>
      <c r="K2199" s="20" t="s">
        <v>34</v>
      </c>
      <c r="L2199" s="21" t="s">
        <v>30</v>
      </c>
      <c r="M2199" s="21" t="s">
        <v>30</v>
      </c>
      <c r="N2199" s="20"/>
      <c r="O2199" s="20"/>
    </row>
    <row r="2200" spans="1:15" ht="13.5" customHeight="1" x14ac:dyDescent="0.25">
      <c r="A2200" s="1"/>
      <c r="B2200" s="22">
        <v>2188</v>
      </c>
      <c r="C2200" s="22">
        <v>2023</v>
      </c>
      <c r="D2200" s="22">
        <v>13337</v>
      </c>
      <c r="E2200" s="22" t="s">
        <v>8513</v>
      </c>
      <c r="F2200" s="22" t="s">
        <v>8514</v>
      </c>
      <c r="G2200" s="22" t="s">
        <v>8515</v>
      </c>
      <c r="H2200" s="22" t="s">
        <v>8516</v>
      </c>
      <c r="I2200" s="22" t="s">
        <v>23</v>
      </c>
      <c r="J2200" s="23">
        <v>2010</v>
      </c>
      <c r="K2200" s="22" t="s">
        <v>34</v>
      </c>
      <c r="L2200" s="23" t="s">
        <v>30</v>
      </c>
      <c r="M2200" s="23"/>
      <c r="N2200" s="22" t="s">
        <v>173</v>
      </c>
      <c r="O2200" s="22"/>
    </row>
    <row r="2201" spans="1:15" ht="13.5" customHeight="1" x14ac:dyDescent="0.25">
      <c r="A2201" s="1"/>
      <c r="B2201" s="20">
        <v>2189</v>
      </c>
      <c r="C2201" s="20">
        <v>2023</v>
      </c>
      <c r="D2201" s="20">
        <v>11266</v>
      </c>
      <c r="E2201" s="20" t="s">
        <v>8517</v>
      </c>
      <c r="F2201" s="20" t="s">
        <v>8518</v>
      </c>
      <c r="G2201" s="20" t="s">
        <v>8519</v>
      </c>
      <c r="H2201" s="20" t="s">
        <v>8520</v>
      </c>
      <c r="I2201" s="20" t="s">
        <v>23</v>
      </c>
      <c r="J2201" s="21">
        <v>2000</v>
      </c>
      <c r="K2201" s="20" t="s">
        <v>184</v>
      </c>
      <c r="L2201" s="21" t="s">
        <v>30</v>
      </c>
      <c r="M2201" s="21" t="s">
        <v>30</v>
      </c>
      <c r="N2201" s="20"/>
      <c r="O2201" s="20"/>
    </row>
    <row r="2202" spans="1:15" ht="13.5" customHeight="1" x14ac:dyDescent="0.25">
      <c r="A2202" s="1"/>
      <c r="B2202" s="22">
        <v>2190</v>
      </c>
      <c r="C2202" s="22">
        <v>2023</v>
      </c>
      <c r="D2202" s="22">
        <v>12649</v>
      </c>
      <c r="E2202" s="22" t="s">
        <v>8521</v>
      </c>
      <c r="F2202" s="22" t="s">
        <v>8522</v>
      </c>
      <c r="G2202" s="22" t="s">
        <v>8523</v>
      </c>
      <c r="H2202" s="22" t="s">
        <v>8524</v>
      </c>
      <c r="I2202" s="22" t="s">
        <v>23</v>
      </c>
      <c r="J2202" s="23">
        <v>2010</v>
      </c>
      <c r="K2202" s="22" t="s">
        <v>67</v>
      </c>
      <c r="L2202" s="23" t="s">
        <v>30</v>
      </c>
      <c r="M2202" s="23" t="s">
        <v>30</v>
      </c>
      <c r="N2202" s="22" t="s">
        <v>1310</v>
      </c>
      <c r="O2202" s="22"/>
    </row>
    <row r="2203" spans="1:15" ht="13.5" customHeight="1" x14ac:dyDescent="0.25">
      <c r="A2203" s="1"/>
      <c r="B2203" s="20">
        <v>2191</v>
      </c>
      <c r="C2203" s="20">
        <v>2023</v>
      </c>
      <c r="D2203" s="20">
        <v>42768</v>
      </c>
      <c r="E2203" s="20" t="s">
        <v>8525</v>
      </c>
      <c r="F2203" s="20" t="s">
        <v>8526</v>
      </c>
      <c r="G2203" s="20" t="s">
        <v>8527</v>
      </c>
      <c r="H2203" s="20" t="s">
        <v>8528</v>
      </c>
      <c r="I2203" s="20" t="s">
        <v>23</v>
      </c>
      <c r="J2203" s="21">
        <v>2019</v>
      </c>
      <c r="K2203" s="20" t="s">
        <v>95</v>
      </c>
      <c r="L2203" s="21" t="s">
        <v>30</v>
      </c>
      <c r="M2203" s="21"/>
      <c r="N2203" s="20" t="s">
        <v>218</v>
      </c>
      <c r="O2203" s="20"/>
    </row>
    <row r="2204" spans="1:15" ht="13.5" customHeight="1" x14ac:dyDescent="0.25">
      <c r="A2204" s="1"/>
      <c r="B2204" s="22">
        <v>2192</v>
      </c>
      <c r="C2204" s="22">
        <v>2023</v>
      </c>
      <c r="D2204" s="22">
        <v>41101</v>
      </c>
      <c r="E2204" s="22" t="s">
        <v>8529</v>
      </c>
      <c r="F2204" s="22" t="s">
        <v>8530</v>
      </c>
      <c r="G2204" s="22"/>
      <c r="H2204" s="22" t="s">
        <v>8531</v>
      </c>
      <c r="I2204" s="22" t="s">
        <v>23</v>
      </c>
      <c r="J2204" s="23">
        <v>2016</v>
      </c>
      <c r="K2204" s="22" t="s">
        <v>95</v>
      </c>
      <c r="L2204" s="23"/>
      <c r="M2204" s="23"/>
      <c r="N2204" s="22" t="s">
        <v>204</v>
      </c>
      <c r="O2204" s="22"/>
    </row>
    <row r="2205" spans="1:15" ht="13.5" customHeight="1" x14ac:dyDescent="0.25">
      <c r="A2205" s="1"/>
      <c r="B2205" s="20">
        <v>2193</v>
      </c>
      <c r="C2205" s="20">
        <v>2023</v>
      </c>
      <c r="D2205" s="20">
        <v>12685</v>
      </c>
      <c r="E2205" s="20" t="s">
        <v>8532</v>
      </c>
      <c r="F2205" s="20" t="s">
        <v>8533</v>
      </c>
      <c r="G2205" s="20" t="s">
        <v>8534</v>
      </c>
      <c r="H2205" s="20" t="s">
        <v>8535</v>
      </c>
      <c r="I2205" s="20" t="s">
        <v>23</v>
      </c>
      <c r="J2205" s="21">
        <v>2009</v>
      </c>
      <c r="K2205" s="20" t="s">
        <v>95</v>
      </c>
      <c r="L2205" s="21" t="s">
        <v>30</v>
      </c>
      <c r="M2205" s="21" t="s">
        <v>30</v>
      </c>
      <c r="N2205" s="20" t="s">
        <v>1103</v>
      </c>
      <c r="O2205" s="20"/>
    </row>
    <row r="2206" spans="1:15" ht="13.5" customHeight="1" x14ac:dyDescent="0.25">
      <c r="A2206" s="1"/>
      <c r="B2206" s="22">
        <v>2194</v>
      </c>
      <c r="C2206" s="22">
        <v>2023</v>
      </c>
      <c r="D2206" s="22">
        <v>11268</v>
      </c>
      <c r="E2206" s="22" t="s">
        <v>8536</v>
      </c>
      <c r="F2206" s="22" t="s">
        <v>8537</v>
      </c>
      <c r="G2206" s="22" t="s">
        <v>8538</v>
      </c>
      <c r="H2206" s="22" t="s">
        <v>8539</v>
      </c>
      <c r="I2206" s="22" t="s">
        <v>62</v>
      </c>
      <c r="J2206" s="23">
        <v>2000</v>
      </c>
      <c r="K2206" s="22" t="s">
        <v>95</v>
      </c>
      <c r="L2206" s="23" t="s">
        <v>30</v>
      </c>
      <c r="M2206" s="23" t="s">
        <v>30</v>
      </c>
      <c r="N2206" s="22"/>
      <c r="O2206" s="22"/>
    </row>
    <row r="2207" spans="1:15" ht="13.5" customHeight="1" x14ac:dyDescent="0.25">
      <c r="A2207" s="1"/>
      <c r="B2207" s="20">
        <v>2195</v>
      </c>
      <c r="C2207" s="20">
        <v>2023</v>
      </c>
      <c r="D2207" s="20">
        <v>11269</v>
      </c>
      <c r="E2207" s="20" t="s">
        <v>8540</v>
      </c>
      <c r="F2207" s="20" t="s">
        <v>8541</v>
      </c>
      <c r="G2207" s="20" t="s">
        <v>8542</v>
      </c>
      <c r="H2207" s="20" t="s">
        <v>8543</v>
      </c>
      <c r="I2207" s="20" t="s">
        <v>23</v>
      </c>
      <c r="J2207" s="21">
        <v>2000</v>
      </c>
      <c r="K2207" s="20" t="s">
        <v>95</v>
      </c>
      <c r="L2207" s="21" t="s">
        <v>30</v>
      </c>
      <c r="M2207" s="21" t="s">
        <v>30</v>
      </c>
      <c r="N2207" s="20"/>
      <c r="O2207" s="20"/>
    </row>
    <row r="2208" spans="1:15" ht="13.5" customHeight="1" x14ac:dyDescent="0.25">
      <c r="A2208" s="1"/>
      <c r="B2208" s="22">
        <v>2196</v>
      </c>
      <c r="C2208" s="22">
        <v>2023</v>
      </c>
      <c r="D2208" s="22">
        <v>42286</v>
      </c>
      <c r="E2208" s="22" t="s">
        <v>8544</v>
      </c>
      <c r="F2208" s="22" t="s">
        <v>8545</v>
      </c>
      <c r="G2208" s="22" t="s">
        <v>8546</v>
      </c>
      <c r="H2208" s="22" t="s">
        <v>8547</v>
      </c>
      <c r="I2208" s="22" t="s">
        <v>223</v>
      </c>
      <c r="J2208" s="23">
        <v>2019</v>
      </c>
      <c r="K2208" s="22" t="s">
        <v>44</v>
      </c>
      <c r="L2208" s="23" t="s">
        <v>30</v>
      </c>
      <c r="M2208" s="23"/>
      <c r="N2208" s="22" t="s">
        <v>218</v>
      </c>
      <c r="O2208" s="22"/>
    </row>
    <row r="2209" spans="1:15" ht="13.5" customHeight="1" x14ac:dyDescent="0.25">
      <c r="A2209" s="1"/>
      <c r="B2209" s="20">
        <v>2197</v>
      </c>
      <c r="C2209" s="20">
        <v>2023</v>
      </c>
      <c r="D2209" s="20">
        <v>11270</v>
      </c>
      <c r="E2209" s="20" t="s">
        <v>8548</v>
      </c>
      <c r="F2209" s="20" t="s">
        <v>8549</v>
      </c>
      <c r="G2209" s="20" t="s">
        <v>8550</v>
      </c>
      <c r="H2209" s="20" t="s">
        <v>8551</v>
      </c>
      <c r="I2209" s="20" t="s">
        <v>23</v>
      </c>
      <c r="J2209" s="21">
        <v>2000</v>
      </c>
      <c r="K2209" s="20" t="s">
        <v>95</v>
      </c>
      <c r="L2209" s="21" t="s">
        <v>30</v>
      </c>
      <c r="M2209" s="21" t="s">
        <v>30</v>
      </c>
      <c r="N2209" s="20"/>
      <c r="O2209" s="20"/>
    </row>
    <row r="2210" spans="1:15" ht="13.5" customHeight="1" x14ac:dyDescent="0.25">
      <c r="A2210" s="1"/>
      <c r="B2210" s="22">
        <v>2198</v>
      </c>
      <c r="C2210" s="22">
        <v>2023</v>
      </c>
      <c r="D2210" s="22">
        <v>40194</v>
      </c>
      <c r="E2210" s="22" t="s">
        <v>8552</v>
      </c>
      <c r="F2210" s="22" t="s">
        <v>8553</v>
      </c>
      <c r="G2210" s="22" t="s">
        <v>8554</v>
      </c>
      <c r="H2210" s="22" t="s">
        <v>8555</v>
      </c>
      <c r="I2210" s="22" t="s">
        <v>23</v>
      </c>
      <c r="J2210" s="23">
        <v>2002</v>
      </c>
      <c r="K2210" s="22" t="s">
        <v>24</v>
      </c>
      <c r="L2210" s="23" t="s">
        <v>30</v>
      </c>
      <c r="M2210" s="23"/>
      <c r="N2210" s="22" t="s">
        <v>101</v>
      </c>
      <c r="O2210" s="22"/>
    </row>
    <row r="2211" spans="1:15" ht="13.5" customHeight="1" x14ac:dyDescent="0.25">
      <c r="A2211" s="1"/>
      <c r="B2211" s="20">
        <v>2199</v>
      </c>
      <c r="C2211" s="20">
        <v>2023</v>
      </c>
      <c r="D2211" s="20">
        <v>13157</v>
      </c>
      <c r="E2211" s="20" t="s">
        <v>8556</v>
      </c>
      <c r="F2211" s="20" t="s">
        <v>8557</v>
      </c>
      <c r="G2211" s="20" t="s">
        <v>8558</v>
      </c>
      <c r="H2211" s="20" t="s">
        <v>8559</v>
      </c>
      <c r="I2211" s="20" t="s">
        <v>23</v>
      </c>
      <c r="J2211" s="21">
        <v>2000</v>
      </c>
      <c r="K2211" s="20" t="s">
        <v>34</v>
      </c>
      <c r="L2211" s="21" t="s">
        <v>30</v>
      </c>
      <c r="M2211" s="21"/>
      <c r="N2211" s="20" t="s">
        <v>173</v>
      </c>
      <c r="O2211" s="20"/>
    </row>
    <row r="2212" spans="1:15" ht="13.5" customHeight="1" x14ac:dyDescent="0.25">
      <c r="A2212" s="1"/>
      <c r="B2212" s="22">
        <v>2200</v>
      </c>
      <c r="C2212" s="22">
        <v>2023</v>
      </c>
      <c r="D2212" s="22">
        <v>11273</v>
      </c>
      <c r="E2212" s="22" t="s">
        <v>8560</v>
      </c>
      <c r="F2212" s="22" t="s">
        <v>8561</v>
      </c>
      <c r="G2212" s="22" t="s">
        <v>8562</v>
      </c>
      <c r="H2212" s="22" t="s">
        <v>8563</v>
      </c>
      <c r="I2212" s="22" t="s">
        <v>23</v>
      </c>
      <c r="J2212" s="23">
        <v>2000</v>
      </c>
      <c r="K2212" s="22" t="s">
        <v>34</v>
      </c>
      <c r="L2212" s="23" t="s">
        <v>30</v>
      </c>
      <c r="M2212" s="23" t="s">
        <v>30</v>
      </c>
      <c r="N2212" s="22"/>
      <c r="O2212" s="22"/>
    </row>
    <row r="2213" spans="1:15" ht="13.5" customHeight="1" x14ac:dyDescent="0.25">
      <c r="A2213" s="1"/>
      <c r="B2213" s="20">
        <v>2201</v>
      </c>
      <c r="C2213" s="20">
        <v>2023</v>
      </c>
      <c r="D2213" s="20">
        <v>508</v>
      </c>
      <c r="E2213" s="20" t="s">
        <v>8564</v>
      </c>
      <c r="F2213" s="20" t="s">
        <v>8565</v>
      </c>
      <c r="G2213" s="20" t="s">
        <v>8566</v>
      </c>
      <c r="H2213" s="20" t="s">
        <v>8567</v>
      </c>
      <c r="I2213" s="20" t="s">
        <v>357</v>
      </c>
      <c r="J2213" s="21">
        <v>2003</v>
      </c>
      <c r="K2213" s="20" t="s">
        <v>39</v>
      </c>
      <c r="L2213" s="21" t="s">
        <v>30</v>
      </c>
      <c r="M2213" s="21" t="s">
        <v>30</v>
      </c>
      <c r="N2213" s="20"/>
      <c r="O2213" s="20"/>
    </row>
    <row r="2214" spans="1:15" ht="13.5" customHeight="1" x14ac:dyDescent="0.25">
      <c r="A2214" s="1"/>
      <c r="B2214" s="22">
        <v>2202</v>
      </c>
      <c r="C2214" s="22">
        <v>2023</v>
      </c>
      <c r="D2214" s="22">
        <v>740</v>
      </c>
      <c r="E2214" s="22" t="s">
        <v>8568</v>
      </c>
      <c r="F2214" s="22" t="s">
        <v>8569</v>
      </c>
      <c r="G2214" s="22" t="s">
        <v>8570</v>
      </c>
      <c r="H2214" s="22" t="s">
        <v>8571</v>
      </c>
      <c r="I2214" s="22" t="s">
        <v>357</v>
      </c>
      <c r="J2214" s="23">
        <v>2009</v>
      </c>
      <c r="K2214" s="22" t="s">
        <v>39</v>
      </c>
      <c r="L2214" s="23" t="s">
        <v>30</v>
      </c>
      <c r="M2214" s="23" t="s">
        <v>30</v>
      </c>
      <c r="N2214" s="22"/>
      <c r="O2214" s="22"/>
    </row>
    <row r="2215" spans="1:15" ht="13.5" customHeight="1" x14ac:dyDescent="0.25">
      <c r="A2215" s="1"/>
      <c r="B2215" s="20">
        <v>2203</v>
      </c>
      <c r="C2215" s="20">
        <v>2023</v>
      </c>
      <c r="D2215" s="20">
        <v>10354</v>
      </c>
      <c r="E2215" s="20" t="s">
        <v>8572</v>
      </c>
      <c r="F2215" s="20" t="s">
        <v>8573</v>
      </c>
      <c r="G2215" s="20" t="s">
        <v>8574</v>
      </c>
      <c r="H2215" s="20" t="s">
        <v>8575</v>
      </c>
      <c r="I2215" s="20" t="s">
        <v>357</v>
      </c>
      <c r="J2215" s="21">
        <v>2003</v>
      </c>
      <c r="K2215" s="20" t="s">
        <v>39</v>
      </c>
      <c r="L2215" s="21" t="s">
        <v>30</v>
      </c>
      <c r="M2215" s="21" t="s">
        <v>30</v>
      </c>
      <c r="N2215" s="20"/>
      <c r="O2215" s="20"/>
    </row>
    <row r="2216" spans="1:15" ht="13.5" customHeight="1" x14ac:dyDescent="0.25">
      <c r="A2216" s="1"/>
      <c r="B2216" s="22">
        <v>2204</v>
      </c>
      <c r="C2216" s="22">
        <v>2023</v>
      </c>
      <c r="D2216" s="22">
        <v>11276</v>
      </c>
      <c r="E2216" s="22" t="s">
        <v>8576</v>
      </c>
      <c r="F2216" s="22" t="s">
        <v>8577</v>
      </c>
      <c r="G2216" s="22" t="s">
        <v>8578</v>
      </c>
      <c r="H2216" s="22" t="s">
        <v>8579</v>
      </c>
      <c r="I2216" s="22" t="s">
        <v>23</v>
      </c>
      <c r="J2216" s="23">
        <v>2000</v>
      </c>
      <c r="K2216" s="22" t="s">
        <v>67</v>
      </c>
      <c r="L2216" s="23" t="s">
        <v>30</v>
      </c>
      <c r="M2216" s="23" t="s">
        <v>30</v>
      </c>
      <c r="N2216" s="22"/>
      <c r="O2216" s="22"/>
    </row>
    <row r="2217" spans="1:15" ht="13.5" customHeight="1" x14ac:dyDescent="0.25">
      <c r="A2217" s="1"/>
      <c r="B2217" s="20">
        <v>2205</v>
      </c>
      <c r="C2217" s="20">
        <v>2023</v>
      </c>
      <c r="D2217" s="20">
        <v>11277</v>
      </c>
      <c r="E2217" s="20" t="s">
        <v>8580</v>
      </c>
      <c r="F2217" s="20" t="s">
        <v>8581</v>
      </c>
      <c r="G2217" s="20" t="s">
        <v>8582</v>
      </c>
      <c r="H2217" s="20" t="s">
        <v>8583</v>
      </c>
      <c r="I2217" s="20" t="s">
        <v>23</v>
      </c>
      <c r="J2217" s="21">
        <v>2000</v>
      </c>
      <c r="K2217" s="20" t="s">
        <v>67</v>
      </c>
      <c r="L2217" s="21" t="s">
        <v>30</v>
      </c>
      <c r="M2217" s="21" t="s">
        <v>30</v>
      </c>
      <c r="N2217" s="20"/>
      <c r="O2217" s="20"/>
    </row>
    <row r="2218" spans="1:15" ht="13.5" customHeight="1" x14ac:dyDescent="0.25">
      <c r="A2218" s="1"/>
      <c r="B2218" s="22">
        <v>2206</v>
      </c>
      <c r="C2218" s="22">
        <v>2023</v>
      </c>
      <c r="D2218" s="22">
        <v>35764</v>
      </c>
      <c r="E2218" s="22" t="s">
        <v>8584</v>
      </c>
      <c r="F2218" s="22" t="s">
        <v>8585</v>
      </c>
      <c r="G2218" s="22" t="s">
        <v>8586</v>
      </c>
      <c r="H2218" s="22" t="s">
        <v>8587</v>
      </c>
      <c r="I2218" s="22" t="s">
        <v>1246</v>
      </c>
      <c r="J2218" s="23">
        <v>2009</v>
      </c>
      <c r="K2218" s="22" t="s">
        <v>29</v>
      </c>
      <c r="L2218" s="23" t="s">
        <v>30</v>
      </c>
      <c r="M2218" s="23"/>
      <c r="N2218" s="22"/>
      <c r="O2218" s="22"/>
    </row>
    <row r="2219" spans="1:15" ht="13.5" customHeight="1" x14ac:dyDescent="0.25">
      <c r="A2219" s="1"/>
      <c r="B2219" s="20">
        <v>2207</v>
      </c>
      <c r="C2219" s="20">
        <v>2023</v>
      </c>
      <c r="D2219" s="20">
        <v>11838</v>
      </c>
      <c r="E2219" s="20" t="s">
        <v>8588</v>
      </c>
      <c r="F2219" s="20" t="s">
        <v>8589</v>
      </c>
      <c r="G2219" s="20" t="s">
        <v>8590</v>
      </c>
      <c r="H2219" s="20" t="s">
        <v>8591</v>
      </c>
      <c r="I2219" s="20" t="s">
        <v>357</v>
      </c>
      <c r="J2219" s="21">
        <v>2010</v>
      </c>
      <c r="K2219" s="20" t="s">
        <v>39</v>
      </c>
      <c r="L2219" s="21" t="s">
        <v>30</v>
      </c>
      <c r="M2219" s="21" t="s">
        <v>30</v>
      </c>
      <c r="N2219" s="20"/>
      <c r="O2219" s="20"/>
    </row>
    <row r="2220" spans="1:15" ht="13.5" customHeight="1" x14ac:dyDescent="0.25">
      <c r="A2220" s="1"/>
      <c r="B2220" s="22">
        <v>2208</v>
      </c>
      <c r="C2220" s="22">
        <v>2023</v>
      </c>
      <c r="D2220" s="22">
        <v>13437</v>
      </c>
      <c r="E2220" s="22" t="s">
        <v>8592</v>
      </c>
      <c r="F2220" s="22" t="s">
        <v>8593</v>
      </c>
      <c r="G2220" s="22" t="s">
        <v>8594</v>
      </c>
      <c r="H2220" s="22" t="s">
        <v>8595</v>
      </c>
      <c r="I2220" s="22" t="s">
        <v>23</v>
      </c>
      <c r="J2220" s="23">
        <v>2002</v>
      </c>
      <c r="K2220" s="22" t="s">
        <v>394</v>
      </c>
      <c r="L2220" s="23" t="s">
        <v>30</v>
      </c>
      <c r="M2220" s="23"/>
      <c r="N2220" s="22" t="s">
        <v>275</v>
      </c>
      <c r="O2220" s="22"/>
    </row>
    <row r="2221" spans="1:15" ht="13.5" customHeight="1" x14ac:dyDescent="0.25">
      <c r="A2221" s="1"/>
      <c r="B2221" s="20">
        <v>2209</v>
      </c>
      <c r="C2221" s="20">
        <v>2023</v>
      </c>
      <c r="D2221" s="20">
        <v>226</v>
      </c>
      <c r="E2221" s="20" t="s">
        <v>8596</v>
      </c>
      <c r="F2221" s="20" t="s">
        <v>8597</v>
      </c>
      <c r="G2221" s="20" t="s">
        <v>8598</v>
      </c>
      <c r="H2221" s="20" t="s">
        <v>8599</v>
      </c>
      <c r="I2221" s="20" t="s">
        <v>23</v>
      </c>
      <c r="J2221" s="21">
        <v>2000</v>
      </c>
      <c r="K2221" s="20" t="s">
        <v>34</v>
      </c>
      <c r="L2221" s="21" t="s">
        <v>30</v>
      </c>
      <c r="M2221" s="21" t="s">
        <v>30</v>
      </c>
      <c r="N2221" s="20"/>
      <c r="O2221" s="20"/>
    </row>
    <row r="2222" spans="1:15" ht="13.5" customHeight="1" x14ac:dyDescent="0.25">
      <c r="A2222" s="1"/>
      <c r="B2222" s="22">
        <v>2210</v>
      </c>
      <c r="C2222" s="22">
        <v>2023</v>
      </c>
      <c r="D2222" s="22">
        <v>11274</v>
      </c>
      <c r="E2222" s="22" t="s">
        <v>8600</v>
      </c>
      <c r="F2222" s="22" t="s">
        <v>8601</v>
      </c>
      <c r="G2222" s="22"/>
      <c r="H2222" s="22" t="s">
        <v>8602</v>
      </c>
      <c r="I2222" s="22" t="s">
        <v>23</v>
      </c>
      <c r="J2222" s="23">
        <v>2000</v>
      </c>
      <c r="K2222" s="22" t="s">
        <v>34</v>
      </c>
      <c r="L2222" s="23"/>
      <c r="M2222" s="23" t="s">
        <v>30</v>
      </c>
      <c r="N2222" s="22"/>
      <c r="O2222" s="22"/>
    </row>
    <row r="2223" spans="1:15" ht="13.5" customHeight="1" x14ac:dyDescent="0.25">
      <c r="A2223" s="1"/>
      <c r="B2223" s="20">
        <v>2211</v>
      </c>
      <c r="C2223" s="20">
        <v>2023</v>
      </c>
      <c r="D2223" s="20">
        <v>12519</v>
      </c>
      <c r="E2223" s="20" t="s">
        <v>8603</v>
      </c>
      <c r="F2223" s="20" t="s">
        <v>8604</v>
      </c>
      <c r="G2223" s="20" t="s">
        <v>8605</v>
      </c>
      <c r="H2223" s="20" t="s">
        <v>8606</v>
      </c>
      <c r="I2223" s="20" t="s">
        <v>8607</v>
      </c>
      <c r="J2223" s="21">
        <v>2008</v>
      </c>
      <c r="K2223" s="20" t="s">
        <v>39</v>
      </c>
      <c r="L2223" s="21" t="s">
        <v>30</v>
      </c>
      <c r="M2223" s="21"/>
      <c r="N2223" s="20" t="s">
        <v>431</v>
      </c>
      <c r="O2223" s="20"/>
    </row>
    <row r="2224" spans="1:15" ht="13.5" customHeight="1" x14ac:dyDescent="0.25">
      <c r="A2224" s="1"/>
      <c r="B2224" s="22">
        <v>2212</v>
      </c>
      <c r="C2224" s="22">
        <v>2023</v>
      </c>
      <c r="D2224" s="22">
        <v>268</v>
      </c>
      <c r="E2224" s="22" t="s">
        <v>8608</v>
      </c>
      <c r="F2224" s="22" t="s">
        <v>8609</v>
      </c>
      <c r="G2224" s="22" t="s">
        <v>8610</v>
      </c>
      <c r="H2224" s="22" t="s">
        <v>8611</v>
      </c>
      <c r="I2224" s="22" t="s">
        <v>23</v>
      </c>
      <c r="J2224" s="23">
        <v>2000</v>
      </c>
      <c r="K2224" s="22" t="s">
        <v>39</v>
      </c>
      <c r="L2224" s="23" t="s">
        <v>30</v>
      </c>
      <c r="M2224" s="23" t="s">
        <v>30</v>
      </c>
      <c r="N2224" s="22"/>
      <c r="O2224" s="22"/>
    </row>
    <row r="2225" spans="1:15" ht="13.5" customHeight="1" x14ac:dyDescent="0.25">
      <c r="A2225" s="1"/>
      <c r="B2225" s="20">
        <v>2213</v>
      </c>
      <c r="C2225" s="20">
        <v>2023</v>
      </c>
      <c r="D2225" s="20">
        <v>345</v>
      </c>
      <c r="E2225" s="20" t="s">
        <v>8612</v>
      </c>
      <c r="F2225" s="20" t="s">
        <v>8613</v>
      </c>
      <c r="G2225" s="20"/>
      <c r="H2225" s="20" t="s">
        <v>8614</v>
      </c>
      <c r="I2225" s="20" t="s">
        <v>23</v>
      </c>
      <c r="J2225" s="21">
        <v>2000</v>
      </c>
      <c r="K2225" s="20" t="s">
        <v>39</v>
      </c>
      <c r="L2225" s="21"/>
      <c r="M2225" s="21" t="s">
        <v>30</v>
      </c>
      <c r="N2225" s="20"/>
      <c r="O2225" s="20"/>
    </row>
    <row r="2226" spans="1:15" ht="13.5" customHeight="1" x14ac:dyDescent="0.25">
      <c r="A2226" s="1"/>
      <c r="B2226" s="22">
        <v>2214</v>
      </c>
      <c r="C2226" s="22">
        <v>2023</v>
      </c>
      <c r="D2226" s="22">
        <v>11280</v>
      </c>
      <c r="E2226" s="22" t="s">
        <v>8615</v>
      </c>
      <c r="F2226" s="22" t="s">
        <v>8616</v>
      </c>
      <c r="G2226" s="22" t="s">
        <v>8617</v>
      </c>
      <c r="H2226" s="22" t="s">
        <v>8618</v>
      </c>
      <c r="I2226" s="22" t="s">
        <v>23</v>
      </c>
      <c r="J2226" s="23">
        <v>2000</v>
      </c>
      <c r="K2226" s="22" t="s">
        <v>114</v>
      </c>
      <c r="L2226" s="23" t="s">
        <v>30</v>
      </c>
      <c r="M2226" s="23" t="s">
        <v>30</v>
      </c>
      <c r="N2226" s="22"/>
      <c r="O2226" s="22"/>
    </row>
    <row r="2227" spans="1:15" ht="13.5" customHeight="1" x14ac:dyDescent="0.25">
      <c r="A2227" s="1"/>
      <c r="B2227" s="20">
        <v>2215</v>
      </c>
      <c r="C2227" s="20">
        <v>2023</v>
      </c>
      <c r="D2227" s="20">
        <v>11858</v>
      </c>
      <c r="E2227" s="20" t="s">
        <v>8619</v>
      </c>
      <c r="F2227" s="20" t="s">
        <v>8620</v>
      </c>
      <c r="G2227" s="20" t="s">
        <v>8621</v>
      </c>
      <c r="H2227" s="20" t="s">
        <v>8622</v>
      </c>
      <c r="I2227" s="20" t="s">
        <v>23</v>
      </c>
      <c r="J2227" s="21">
        <v>2000</v>
      </c>
      <c r="K2227" s="20" t="s">
        <v>73</v>
      </c>
      <c r="L2227" s="21" t="s">
        <v>30</v>
      </c>
      <c r="M2227" s="21" t="s">
        <v>30</v>
      </c>
      <c r="N2227" s="20" t="s">
        <v>74</v>
      </c>
      <c r="O2227" s="20"/>
    </row>
    <row r="2228" spans="1:15" ht="13.5" customHeight="1" x14ac:dyDescent="0.25">
      <c r="A2228" s="1"/>
      <c r="B2228" s="22">
        <v>2216</v>
      </c>
      <c r="C2228" s="22">
        <v>2023</v>
      </c>
      <c r="D2228" s="22">
        <v>33</v>
      </c>
      <c r="E2228" s="22" t="s">
        <v>8623</v>
      </c>
      <c r="F2228" s="22" t="s">
        <v>8624</v>
      </c>
      <c r="G2228" s="22" t="s">
        <v>8625</v>
      </c>
      <c r="H2228" s="22" t="s">
        <v>8626</v>
      </c>
      <c r="I2228" s="22" t="s">
        <v>223</v>
      </c>
      <c r="J2228" s="23">
        <v>2000</v>
      </c>
      <c r="K2228" s="22" t="s">
        <v>67</v>
      </c>
      <c r="L2228" s="23" t="s">
        <v>30</v>
      </c>
      <c r="M2228" s="23" t="s">
        <v>30</v>
      </c>
      <c r="N2228" s="22"/>
      <c r="O2228" s="22"/>
    </row>
    <row r="2229" spans="1:15" ht="13.5" customHeight="1" x14ac:dyDescent="0.25">
      <c r="A2229" s="1"/>
      <c r="B2229" s="20">
        <v>2217</v>
      </c>
      <c r="C2229" s="20">
        <v>2023</v>
      </c>
      <c r="D2229" s="20">
        <v>41449</v>
      </c>
      <c r="E2229" s="20" t="s">
        <v>8627</v>
      </c>
      <c r="F2229" s="20" t="s">
        <v>8628</v>
      </c>
      <c r="G2229" s="20" t="s">
        <v>8629</v>
      </c>
      <c r="H2229" s="20" t="s">
        <v>8630</v>
      </c>
      <c r="I2229" s="20" t="s">
        <v>190</v>
      </c>
      <c r="J2229" s="21">
        <v>2011</v>
      </c>
      <c r="K2229" s="20" t="s">
        <v>67</v>
      </c>
      <c r="L2229" s="21" t="s">
        <v>30</v>
      </c>
      <c r="M2229" s="21"/>
      <c r="N2229" s="20" t="s">
        <v>1470</v>
      </c>
      <c r="O2229" s="20"/>
    </row>
    <row r="2230" spans="1:15" ht="13.5" customHeight="1" x14ac:dyDescent="0.25">
      <c r="A2230" s="1"/>
      <c r="B2230" s="22">
        <v>2218</v>
      </c>
      <c r="C2230" s="22">
        <v>2023</v>
      </c>
      <c r="D2230" s="22">
        <v>12399</v>
      </c>
      <c r="E2230" s="22" t="s">
        <v>8631</v>
      </c>
      <c r="F2230" s="22" t="s">
        <v>8632</v>
      </c>
      <c r="G2230" s="22" t="s">
        <v>8633</v>
      </c>
      <c r="H2230" s="22" t="s">
        <v>8634</v>
      </c>
      <c r="I2230" s="22" t="s">
        <v>960</v>
      </c>
      <c r="J2230" s="23">
        <v>2008</v>
      </c>
      <c r="K2230" s="22" t="s">
        <v>1475</v>
      </c>
      <c r="L2230" s="23" t="s">
        <v>30</v>
      </c>
      <c r="M2230" s="23" t="s">
        <v>30</v>
      </c>
      <c r="N2230" s="22" t="s">
        <v>352</v>
      </c>
      <c r="O2230" s="22"/>
    </row>
    <row r="2231" spans="1:15" ht="13.5" customHeight="1" x14ac:dyDescent="0.25">
      <c r="A2231" s="1"/>
      <c r="B2231" s="20">
        <v>2219</v>
      </c>
      <c r="C2231" s="20">
        <v>2023</v>
      </c>
      <c r="D2231" s="20">
        <v>35834</v>
      </c>
      <c r="E2231" s="20" t="s">
        <v>8635</v>
      </c>
      <c r="F2231" s="20" t="s">
        <v>8636</v>
      </c>
      <c r="G2231" s="20" t="s">
        <v>8637</v>
      </c>
      <c r="H2231" s="20" t="s">
        <v>8638</v>
      </c>
      <c r="I2231" s="20" t="s">
        <v>960</v>
      </c>
      <c r="J2231" s="21">
        <v>2011</v>
      </c>
      <c r="K2231" s="20" t="s">
        <v>73</v>
      </c>
      <c r="L2231" s="21" t="s">
        <v>30</v>
      </c>
      <c r="M2231" s="21"/>
      <c r="N2231" s="20" t="s">
        <v>250</v>
      </c>
      <c r="O2231" s="20"/>
    </row>
    <row r="2232" spans="1:15" ht="13.5" customHeight="1" x14ac:dyDescent="0.25">
      <c r="A2232" s="1"/>
      <c r="B2232" s="22">
        <v>2220</v>
      </c>
      <c r="C2232" s="22">
        <v>2023</v>
      </c>
      <c r="D2232" s="22">
        <v>40573</v>
      </c>
      <c r="E2232" s="22" t="s">
        <v>8639</v>
      </c>
      <c r="F2232" s="22" t="s">
        <v>8640</v>
      </c>
      <c r="G2232" s="22"/>
      <c r="H2232" s="22" t="s">
        <v>8641</v>
      </c>
      <c r="I2232" s="22" t="s">
        <v>1120</v>
      </c>
      <c r="J2232" s="23">
        <v>2014</v>
      </c>
      <c r="K2232" s="22" t="s">
        <v>73</v>
      </c>
      <c r="L2232" s="23"/>
      <c r="M2232" s="23"/>
      <c r="N2232" s="22" t="s">
        <v>53</v>
      </c>
      <c r="O2232" s="22"/>
    </row>
    <row r="2233" spans="1:15" ht="13.5" customHeight="1" x14ac:dyDescent="0.25">
      <c r="A2233" s="1"/>
      <c r="B2233" s="20">
        <v>2221</v>
      </c>
      <c r="C2233" s="20">
        <v>2023</v>
      </c>
      <c r="D2233" s="20">
        <v>12297</v>
      </c>
      <c r="E2233" s="20" t="s">
        <v>8642</v>
      </c>
      <c r="F2233" s="20" t="s">
        <v>8643</v>
      </c>
      <c r="G2233" s="20" t="s">
        <v>8644</v>
      </c>
      <c r="H2233" s="20" t="s">
        <v>8645</v>
      </c>
      <c r="I2233" s="20" t="s">
        <v>1246</v>
      </c>
      <c r="J2233" s="21">
        <v>2000</v>
      </c>
      <c r="K2233" s="20" t="s">
        <v>475</v>
      </c>
      <c r="L2233" s="21" t="s">
        <v>30</v>
      </c>
      <c r="M2233" s="21" t="s">
        <v>30</v>
      </c>
      <c r="N2233" s="20" t="s">
        <v>35</v>
      </c>
      <c r="O2233" s="20"/>
    </row>
    <row r="2234" spans="1:15" ht="13.5" customHeight="1" x14ac:dyDescent="0.25">
      <c r="A2234" s="1"/>
      <c r="B2234" s="22">
        <v>2222</v>
      </c>
      <c r="C2234" s="22">
        <v>2023</v>
      </c>
      <c r="D2234" s="22">
        <v>12398</v>
      </c>
      <c r="E2234" s="22" t="s">
        <v>8646</v>
      </c>
      <c r="F2234" s="22" t="s">
        <v>8647</v>
      </c>
      <c r="G2234" s="22" t="s">
        <v>8648</v>
      </c>
      <c r="H2234" s="22" t="s">
        <v>8649</v>
      </c>
      <c r="I2234" s="22" t="s">
        <v>190</v>
      </c>
      <c r="J2234" s="23">
        <v>2008</v>
      </c>
      <c r="K2234" s="22" t="s">
        <v>1059</v>
      </c>
      <c r="L2234" s="23" t="s">
        <v>30</v>
      </c>
      <c r="M2234" s="23" t="s">
        <v>30</v>
      </c>
      <c r="N2234" s="22" t="s">
        <v>352</v>
      </c>
      <c r="O2234" s="22"/>
    </row>
    <row r="2235" spans="1:15" ht="13.5" customHeight="1" x14ac:dyDescent="0.25">
      <c r="A2235" s="1"/>
      <c r="B2235" s="20">
        <v>2223</v>
      </c>
      <c r="C2235" s="20">
        <v>2023</v>
      </c>
      <c r="D2235" s="20">
        <v>10309</v>
      </c>
      <c r="E2235" s="20" t="s">
        <v>8650</v>
      </c>
      <c r="F2235" s="20" t="s">
        <v>8651</v>
      </c>
      <c r="G2235" s="20" t="s">
        <v>8652</v>
      </c>
      <c r="H2235" s="20" t="s">
        <v>8653</v>
      </c>
      <c r="I2235" s="20" t="s">
        <v>357</v>
      </c>
      <c r="J2235" s="21">
        <v>2003</v>
      </c>
      <c r="K2235" s="20" t="s">
        <v>39</v>
      </c>
      <c r="L2235" s="21" t="s">
        <v>30</v>
      </c>
      <c r="M2235" s="21" t="s">
        <v>30</v>
      </c>
      <c r="N2235" s="20"/>
      <c r="O2235" s="20"/>
    </row>
    <row r="2236" spans="1:15" ht="13.5" customHeight="1" x14ac:dyDescent="0.25">
      <c r="A2236" s="1"/>
      <c r="B2236" s="22">
        <v>2224</v>
      </c>
      <c r="C2236" s="22">
        <v>2023</v>
      </c>
      <c r="D2236" s="22">
        <v>11618</v>
      </c>
      <c r="E2236" s="22" t="s">
        <v>8654</v>
      </c>
      <c r="F2236" s="22" t="s">
        <v>8655</v>
      </c>
      <c r="G2236" s="22" t="s">
        <v>8656</v>
      </c>
      <c r="H2236" s="22" t="s">
        <v>8657</v>
      </c>
      <c r="I2236" s="22" t="s">
        <v>960</v>
      </c>
      <c r="J2236" s="23">
        <v>2000</v>
      </c>
      <c r="K2236" s="22" t="s">
        <v>73</v>
      </c>
      <c r="L2236" s="23" t="s">
        <v>30</v>
      </c>
      <c r="M2236" s="23" t="s">
        <v>30</v>
      </c>
      <c r="N2236" s="22" t="s">
        <v>245</v>
      </c>
      <c r="O2236" s="22"/>
    </row>
    <row r="2237" spans="1:15" ht="13.5" customHeight="1" x14ac:dyDescent="0.25">
      <c r="A2237" s="1"/>
      <c r="B2237" s="20">
        <v>2225</v>
      </c>
      <c r="C2237" s="20">
        <v>2023</v>
      </c>
      <c r="D2237" s="20">
        <v>42048</v>
      </c>
      <c r="E2237" s="20" t="s">
        <v>8658</v>
      </c>
      <c r="F2237" s="20" t="s">
        <v>8659</v>
      </c>
      <c r="G2237" s="20"/>
      <c r="H2237" s="20" t="s">
        <v>8660</v>
      </c>
      <c r="I2237" s="20" t="s">
        <v>2268</v>
      </c>
      <c r="J2237" s="21">
        <v>2018</v>
      </c>
      <c r="K2237" s="20" t="s">
        <v>73</v>
      </c>
      <c r="L2237" s="21"/>
      <c r="M2237" s="21"/>
      <c r="N2237" s="20" t="s">
        <v>213</v>
      </c>
      <c r="O2237" s="20"/>
    </row>
    <row r="2238" spans="1:15" ht="13.5" customHeight="1" x14ac:dyDescent="0.25">
      <c r="A2238" s="1"/>
      <c r="B2238" s="22">
        <v>2226</v>
      </c>
      <c r="C2238" s="22">
        <v>2023</v>
      </c>
      <c r="D2238" s="22">
        <v>42597</v>
      </c>
      <c r="E2238" s="22" t="s">
        <v>8661</v>
      </c>
      <c r="F2238" s="22" t="s">
        <v>8662</v>
      </c>
      <c r="G2238" s="22" t="s">
        <v>8663</v>
      </c>
      <c r="H2238" s="22" t="s">
        <v>8664</v>
      </c>
      <c r="I2238" s="22" t="s">
        <v>960</v>
      </c>
      <c r="J2238" s="23">
        <v>2019</v>
      </c>
      <c r="K2238" s="22" t="s">
        <v>1475</v>
      </c>
      <c r="L2238" s="23" t="s">
        <v>30</v>
      </c>
      <c r="M2238" s="23"/>
      <c r="N2238" s="22" t="s">
        <v>123</v>
      </c>
      <c r="O2238" s="22"/>
    </row>
    <row r="2239" spans="1:15" ht="13.5" customHeight="1" x14ac:dyDescent="0.25">
      <c r="A2239" s="1"/>
      <c r="B2239" s="20">
        <v>2227</v>
      </c>
      <c r="C2239" s="20">
        <v>2023</v>
      </c>
      <c r="D2239" s="20">
        <v>391</v>
      </c>
      <c r="E2239" s="20" t="s">
        <v>8665</v>
      </c>
      <c r="F2239" s="20" t="s">
        <v>8666</v>
      </c>
      <c r="G2239" s="20" t="s">
        <v>8667</v>
      </c>
      <c r="H2239" s="20" t="s">
        <v>8668</v>
      </c>
      <c r="I2239" s="20" t="s">
        <v>357</v>
      </c>
      <c r="J2239" s="21">
        <v>2000</v>
      </c>
      <c r="K2239" s="20" t="s">
        <v>39</v>
      </c>
      <c r="L2239" s="21" t="s">
        <v>30</v>
      </c>
      <c r="M2239" s="21" t="s">
        <v>30</v>
      </c>
      <c r="N2239" s="20"/>
      <c r="O2239" s="20"/>
    </row>
    <row r="2240" spans="1:15" ht="13.5" customHeight="1" x14ac:dyDescent="0.25">
      <c r="A2240" s="1"/>
      <c r="B2240" s="22">
        <v>2228</v>
      </c>
      <c r="C2240" s="22">
        <v>2023</v>
      </c>
      <c r="D2240" s="22">
        <v>42278</v>
      </c>
      <c r="E2240" s="22" t="s">
        <v>8669</v>
      </c>
      <c r="F2240" s="22" t="s">
        <v>8670</v>
      </c>
      <c r="G2240" s="22" t="s">
        <v>8671</v>
      </c>
      <c r="H2240" s="22" t="s">
        <v>8672</v>
      </c>
      <c r="I2240" s="22" t="s">
        <v>960</v>
      </c>
      <c r="J2240" s="23">
        <v>2018</v>
      </c>
      <c r="K2240" s="22" t="s">
        <v>73</v>
      </c>
      <c r="L2240" s="23" t="s">
        <v>30</v>
      </c>
      <c r="M2240" s="23"/>
      <c r="N2240" s="22" t="s">
        <v>151</v>
      </c>
      <c r="O2240" s="22"/>
    </row>
    <row r="2241" spans="1:15" ht="13.5" customHeight="1" x14ac:dyDescent="0.25">
      <c r="A2241" s="1"/>
      <c r="B2241" s="20">
        <v>2229</v>
      </c>
      <c r="C2241" s="20">
        <v>2023</v>
      </c>
      <c r="D2241" s="20">
        <v>398</v>
      </c>
      <c r="E2241" s="20" t="s">
        <v>8673</v>
      </c>
      <c r="F2241" s="20" t="s">
        <v>8674</v>
      </c>
      <c r="G2241" s="20" t="s">
        <v>8675</v>
      </c>
      <c r="H2241" s="20" t="s">
        <v>8676</v>
      </c>
      <c r="I2241" s="20" t="s">
        <v>357</v>
      </c>
      <c r="J2241" s="21">
        <v>2000</v>
      </c>
      <c r="K2241" s="20" t="s">
        <v>39</v>
      </c>
      <c r="L2241" s="21" t="s">
        <v>30</v>
      </c>
      <c r="M2241" s="21" t="s">
        <v>30</v>
      </c>
      <c r="N2241" s="20"/>
      <c r="O2241" s="20"/>
    </row>
    <row r="2242" spans="1:15" ht="13.5" customHeight="1" x14ac:dyDescent="0.25">
      <c r="A2242" s="1"/>
      <c r="B2242" s="22">
        <v>2230</v>
      </c>
      <c r="C2242" s="22">
        <v>2023</v>
      </c>
      <c r="D2242" s="22">
        <v>41244</v>
      </c>
      <c r="E2242" s="22" t="s">
        <v>8677</v>
      </c>
      <c r="F2242" s="22" t="s">
        <v>8678</v>
      </c>
      <c r="G2242" s="22" t="s">
        <v>8679</v>
      </c>
      <c r="H2242" s="22" t="s">
        <v>8680</v>
      </c>
      <c r="I2242" s="22" t="s">
        <v>2268</v>
      </c>
      <c r="J2242" s="23">
        <v>2000</v>
      </c>
      <c r="K2242" s="22" t="s">
        <v>664</v>
      </c>
      <c r="L2242" s="23" t="s">
        <v>30</v>
      </c>
      <c r="M2242" s="23"/>
      <c r="N2242" s="22" t="s">
        <v>1470</v>
      </c>
      <c r="O2242" s="22"/>
    </row>
    <row r="2243" spans="1:15" ht="13.5" customHeight="1" x14ac:dyDescent="0.25">
      <c r="A2243" s="1"/>
      <c r="B2243" s="20">
        <v>2231</v>
      </c>
      <c r="C2243" s="20">
        <v>2023</v>
      </c>
      <c r="D2243" s="20">
        <v>41358</v>
      </c>
      <c r="E2243" s="20" t="s">
        <v>8681</v>
      </c>
      <c r="F2243" s="20" t="s">
        <v>8682</v>
      </c>
      <c r="G2243" s="20" t="s">
        <v>8683</v>
      </c>
      <c r="H2243" s="20" t="s">
        <v>8684</v>
      </c>
      <c r="I2243" s="20" t="s">
        <v>960</v>
      </c>
      <c r="J2243" s="21">
        <v>2016</v>
      </c>
      <c r="K2243" s="20" t="s">
        <v>1475</v>
      </c>
      <c r="L2243" s="21" t="s">
        <v>30</v>
      </c>
      <c r="M2243" s="21"/>
      <c r="N2243" s="20" t="s">
        <v>1470</v>
      </c>
      <c r="O2243" s="20"/>
    </row>
    <row r="2244" spans="1:15" ht="13.5" customHeight="1" x14ac:dyDescent="0.25">
      <c r="A2244" s="1"/>
      <c r="B2244" s="22">
        <v>2232</v>
      </c>
      <c r="C2244" s="22">
        <v>2023</v>
      </c>
      <c r="D2244" s="22">
        <v>11620</v>
      </c>
      <c r="E2244" s="22" t="s">
        <v>8685</v>
      </c>
      <c r="F2244" s="22" t="s">
        <v>8686</v>
      </c>
      <c r="G2244" s="22" t="s">
        <v>8687</v>
      </c>
      <c r="H2244" s="22" t="s">
        <v>8688</v>
      </c>
      <c r="I2244" s="22" t="s">
        <v>23</v>
      </c>
      <c r="J2244" s="23">
        <v>2002</v>
      </c>
      <c r="K2244" s="22" t="s">
        <v>203</v>
      </c>
      <c r="L2244" s="23" t="s">
        <v>30</v>
      </c>
      <c r="M2244" s="23" t="s">
        <v>30</v>
      </c>
      <c r="N2244" s="22" t="s">
        <v>245</v>
      </c>
      <c r="O2244" s="22"/>
    </row>
    <row r="2245" spans="1:15" ht="13.5" customHeight="1" x14ac:dyDescent="0.25">
      <c r="A2245" s="1"/>
      <c r="B2245" s="20">
        <v>2233</v>
      </c>
      <c r="C2245" s="20">
        <v>2023</v>
      </c>
      <c r="D2245" s="20">
        <v>41682</v>
      </c>
      <c r="E2245" s="20" t="s">
        <v>8689</v>
      </c>
      <c r="F2245" s="20" t="s">
        <v>8690</v>
      </c>
      <c r="G2245" s="20"/>
      <c r="H2245" s="20" t="s">
        <v>8691</v>
      </c>
      <c r="I2245" s="20" t="s">
        <v>960</v>
      </c>
      <c r="J2245" s="21">
        <v>2017</v>
      </c>
      <c r="K2245" s="20" t="s">
        <v>184</v>
      </c>
      <c r="L2245" s="21"/>
      <c r="M2245" s="21"/>
      <c r="N2245" s="20" t="s">
        <v>265</v>
      </c>
      <c r="O2245" s="20"/>
    </row>
    <row r="2246" spans="1:15" ht="13.5" customHeight="1" x14ac:dyDescent="0.25">
      <c r="A2246" s="1"/>
      <c r="B2246" s="22">
        <v>2234</v>
      </c>
      <c r="C2246" s="22">
        <v>2023</v>
      </c>
      <c r="D2246" s="22">
        <v>393</v>
      </c>
      <c r="E2246" s="22" t="s">
        <v>8692</v>
      </c>
      <c r="F2246" s="22" t="s">
        <v>8693</v>
      </c>
      <c r="G2246" s="22" t="s">
        <v>8694</v>
      </c>
      <c r="H2246" s="22" t="s">
        <v>8695</v>
      </c>
      <c r="I2246" s="22" t="s">
        <v>357</v>
      </c>
      <c r="J2246" s="23">
        <v>2000</v>
      </c>
      <c r="K2246" s="22" t="s">
        <v>39</v>
      </c>
      <c r="L2246" s="23" t="s">
        <v>30</v>
      </c>
      <c r="M2246" s="23" t="s">
        <v>30</v>
      </c>
      <c r="N2246" s="22"/>
      <c r="O2246" s="22"/>
    </row>
    <row r="2247" spans="1:15" ht="13.5" customHeight="1" x14ac:dyDescent="0.25">
      <c r="A2247" s="1"/>
      <c r="B2247" s="20">
        <v>2235</v>
      </c>
      <c r="C2247" s="20">
        <v>2023</v>
      </c>
      <c r="D2247" s="20">
        <v>12286</v>
      </c>
      <c r="E2247" s="20" t="s">
        <v>8696</v>
      </c>
      <c r="F2247" s="20" t="s">
        <v>8697</v>
      </c>
      <c r="G2247" s="20"/>
      <c r="H2247" s="20" t="s">
        <v>8698</v>
      </c>
      <c r="I2247" s="20" t="s">
        <v>960</v>
      </c>
      <c r="J2247" s="21">
        <v>2007</v>
      </c>
      <c r="K2247" s="20" t="s">
        <v>1475</v>
      </c>
      <c r="L2247" s="21"/>
      <c r="M2247" s="21" t="s">
        <v>30</v>
      </c>
      <c r="N2247" s="20" t="s">
        <v>352</v>
      </c>
      <c r="O2247" s="20"/>
    </row>
    <row r="2248" spans="1:15" ht="13.5" customHeight="1" x14ac:dyDescent="0.25">
      <c r="A2248" s="1"/>
      <c r="B2248" s="22">
        <v>2236</v>
      </c>
      <c r="C2248" s="22">
        <v>2023</v>
      </c>
      <c r="D2248" s="22">
        <v>40664</v>
      </c>
      <c r="E2248" s="22" t="s">
        <v>8699</v>
      </c>
      <c r="F2248" s="22" t="s">
        <v>8700</v>
      </c>
      <c r="G2248" s="22" t="s">
        <v>8701</v>
      </c>
      <c r="H2248" s="22" t="s">
        <v>8702</v>
      </c>
      <c r="I2248" s="22" t="s">
        <v>23</v>
      </c>
      <c r="J2248" s="23">
        <v>2007</v>
      </c>
      <c r="K2248" s="22" t="s">
        <v>39</v>
      </c>
      <c r="L2248" s="23" t="s">
        <v>30</v>
      </c>
      <c r="M2248" s="23"/>
      <c r="N2248" s="22" t="s">
        <v>53</v>
      </c>
      <c r="O2248" s="22"/>
    </row>
    <row r="2249" spans="1:15" ht="13.5" customHeight="1" x14ac:dyDescent="0.25">
      <c r="A2249" s="1"/>
      <c r="B2249" s="20">
        <v>2237</v>
      </c>
      <c r="C2249" s="20">
        <v>2023</v>
      </c>
      <c r="D2249" s="20">
        <v>435</v>
      </c>
      <c r="E2249" s="20" t="s">
        <v>8703</v>
      </c>
      <c r="F2249" s="20" t="s">
        <v>8704</v>
      </c>
      <c r="G2249" s="20" t="s">
        <v>8705</v>
      </c>
      <c r="H2249" s="20" t="s">
        <v>8706</v>
      </c>
      <c r="I2249" s="20" t="s">
        <v>23</v>
      </c>
      <c r="J2249" s="21">
        <v>2000</v>
      </c>
      <c r="K2249" s="20" t="s">
        <v>34</v>
      </c>
      <c r="L2249" s="21" t="s">
        <v>30</v>
      </c>
      <c r="M2249" s="21" t="s">
        <v>30</v>
      </c>
      <c r="N2249" s="20"/>
      <c r="O2249" s="20"/>
    </row>
  </sheetData>
  <autoFilter ref="B12:O2249" xr:uid="{00000000-0009-0000-0000-000000000000}"/>
  <phoneticPr fontId="6"/>
  <hyperlinks>
    <hyperlink ref="B6" r:id="rId1" location="gid=844648654" xr:uid="{00000000-0004-0000-0000-000000000000}"/>
  </hyperlinks>
  <printOptions horizontalCentered="1"/>
  <pageMargins left="0.23622047244094491" right="0.23622047244094491" top="0.55118110236220474" bottom="0.55118110236220474" header="0" footer="0"/>
  <pageSetup paperSize="9" fitToHeight="0" orientation="landscape"/>
  <headerFooter>
    <oddHeader>&amp;C2022 SpringerLink e-Journal Advanced Package (2000-)_v4&amp;R&amp;P/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P2252"/>
  <sheetViews>
    <sheetView showGridLines="0" workbookViewId="0">
      <pane ySplit="12" topLeftCell="A13" activePane="bottomLeft" state="frozen"/>
      <selection pane="bottomLeft" activeCell="B14" sqref="B14"/>
    </sheetView>
  </sheetViews>
  <sheetFormatPr defaultColWidth="14.42578125" defaultRowHeight="15" customHeight="1" x14ac:dyDescent="0.25"/>
  <cols>
    <col min="1" max="1" width="1.28515625" customWidth="1"/>
    <col min="2" max="2" width="7.28515625" customWidth="1"/>
    <col min="3" max="3" width="11.85546875" customWidth="1"/>
    <col min="4" max="4" width="8.5703125" customWidth="1"/>
    <col min="5" max="5" width="49.85546875" customWidth="1"/>
    <col min="6" max="6" width="13.28515625" customWidth="1"/>
    <col min="7" max="7" width="10.42578125" customWidth="1"/>
    <col min="8" max="8" width="33.28515625" customWidth="1"/>
    <col min="9" max="9" width="42.28515625" customWidth="1"/>
    <col min="10" max="10" width="11.7109375" customWidth="1"/>
    <col min="11" max="11" width="36.5703125" customWidth="1"/>
    <col min="12" max="12" width="12.42578125" customWidth="1"/>
    <col min="13" max="13" width="13.85546875" customWidth="1"/>
    <col min="14" max="14" width="13.140625" customWidth="1"/>
    <col min="15" max="15" width="23.85546875" customWidth="1"/>
    <col min="16" max="16" width="5.140625" customWidth="1"/>
  </cols>
  <sheetData>
    <row r="1" spans="1:16" ht="9" customHeight="1" x14ac:dyDescent="0.25">
      <c r="A1" s="1"/>
      <c r="B1" s="1"/>
      <c r="C1" s="1"/>
      <c r="D1" s="1"/>
      <c r="E1" s="1"/>
      <c r="F1" s="1"/>
      <c r="G1" s="1"/>
      <c r="H1" s="1"/>
      <c r="I1" s="1"/>
      <c r="J1" s="1"/>
      <c r="K1" s="1"/>
      <c r="L1" s="1"/>
      <c r="M1" s="1"/>
      <c r="N1" s="1"/>
      <c r="O1" s="1"/>
      <c r="P1" s="1"/>
    </row>
    <row r="2" spans="1:16" ht="16.5" customHeight="1" x14ac:dyDescent="0.25">
      <c r="A2" s="1"/>
      <c r="B2" s="4"/>
      <c r="C2" s="4"/>
      <c r="D2" s="4"/>
      <c r="E2" s="4"/>
      <c r="F2" s="4"/>
      <c r="G2" s="4"/>
      <c r="H2" s="4"/>
      <c r="I2" s="4"/>
      <c r="J2" s="4"/>
      <c r="K2" s="4"/>
      <c r="L2" s="4"/>
      <c r="M2" s="4"/>
      <c r="N2" s="4"/>
      <c r="O2" s="4"/>
      <c r="P2" s="1"/>
    </row>
    <row r="3" spans="1:16" ht="12.75" customHeight="1" x14ac:dyDescent="0.25">
      <c r="A3" s="1"/>
      <c r="B3" s="6"/>
      <c r="C3" s="6"/>
      <c r="D3" s="6"/>
      <c r="E3" s="6"/>
      <c r="F3" s="6"/>
      <c r="G3" s="6"/>
      <c r="H3" s="6"/>
      <c r="I3" s="6"/>
      <c r="J3" s="6"/>
      <c r="K3" s="6"/>
      <c r="L3" s="6"/>
      <c r="M3" s="6"/>
      <c r="N3" s="6"/>
      <c r="O3" s="6"/>
      <c r="P3" s="1"/>
    </row>
    <row r="4" spans="1:16" ht="14.25" customHeight="1" x14ac:dyDescent="0.25">
      <c r="A4" s="1"/>
      <c r="B4" s="6"/>
      <c r="C4" s="6"/>
      <c r="D4" s="6"/>
      <c r="E4" s="6"/>
      <c r="F4" s="6"/>
      <c r="G4" s="6"/>
      <c r="H4" s="6"/>
      <c r="I4" s="6"/>
      <c r="J4" s="6"/>
      <c r="K4" s="6"/>
      <c r="L4" s="6"/>
      <c r="M4" s="6"/>
      <c r="N4" s="6"/>
      <c r="O4" s="6"/>
      <c r="P4" s="1"/>
    </row>
    <row r="5" spans="1:16" ht="3" customHeight="1" x14ac:dyDescent="0.25">
      <c r="A5" s="1"/>
      <c r="B5" s="6"/>
      <c r="C5" s="6"/>
      <c r="D5" s="6"/>
      <c r="E5" s="6"/>
      <c r="F5" s="6"/>
      <c r="G5" s="6"/>
      <c r="H5" s="6"/>
      <c r="I5" s="6"/>
      <c r="J5" s="6"/>
      <c r="K5" s="6"/>
      <c r="L5" s="6"/>
      <c r="M5" s="6"/>
      <c r="N5" s="6"/>
      <c r="O5" s="6"/>
      <c r="P5" s="1"/>
    </row>
    <row r="6" spans="1:16" ht="13.5" customHeight="1" x14ac:dyDescent="0.25">
      <c r="A6" s="1"/>
      <c r="B6" s="8"/>
      <c r="C6" s="8"/>
      <c r="D6" s="8"/>
      <c r="E6" s="8"/>
      <c r="F6" s="6"/>
      <c r="G6" s="6"/>
      <c r="H6" s="6"/>
      <c r="I6" s="6"/>
      <c r="J6" s="6"/>
      <c r="K6" s="6"/>
      <c r="L6" s="6"/>
      <c r="M6" s="6"/>
      <c r="N6" s="6"/>
      <c r="O6" s="6"/>
      <c r="P6" s="1"/>
    </row>
    <row r="7" spans="1:16" ht="3.75" customHeight="1" x14ac:dyDescent="0.25">
      <c r="A7" s="1"/>
      <c r="B7" s="6"/>
      <c r="C7" s="6"/>
      <c r="D7" s="6"/>
      <c r="E7" s="6"/>
      <c r="F7" s="6"/>
      <c r="G7" s="6"/>
      <c r="H7" s="6"/>
      <c r="I7" s="6"/>
      <c r="J7" s="6"/>
      <c r="K7" s="6"/>
      <c r="L7" s="6"/>
      <c r="M7" s="6"/>
      <c r="N7" s="6"/>
      <c r="O7" s="6"/>
      <c r="P7" s="1"/>
    </row>
    <row r="8" spans="1:16" ht="16.5" customHeight="1" x14ac:dyDescent="0.25">
      <c r="A8" s="1"/>
      <c r="B8" s="8"/>
      <c r="C8" s="8"/>
      <c r="D8" s="8"/>
      <c r="E8" s="8"/>
      <c r="F8" s="6"/>
      <c r="G8" s="6"/>
      <c r="H8" s="6"/>
      <c r="I8" s="6"/>
      <c r="J8" s="6"/>
      <c r="K8" s="6"/>
      <c r="L8" s="6"/>
      <c r="M8" s="6"/>
      <c r="N8" s="6"/>
      <c r="O8" s="6"/>
      <c r="P8" s="1"/>
    </row>
    <row r="9" spans="1:16" ht="14.25" customHeight="1" x14ac:dyDescent="0.25">
      <c r="A9" s="1"/>
      <c r="B9" s="6"/>
      <c r="C9" s="6"/>
      <c r="D9" s="6"/>
      <c r="E9" s="6"/>
      <c r="F9" s="6"/>
      <c r="G9" s="6"/>
      <c r="H9" s="6"/>
      <c r="I9" s="6"/>
      <c r="J9" s="6"/>
      <c r="K9" s="6"/>
      <c r="L9" s="6"/>
      <c r="M9" s="6"/>
      <c r="N9" s="6"/>
      <c r="O9" s="6"/>
      <c r="P9" s="1"/>
    </row>
    <row r="10" spans="1:16" ht="3.75" customHeight="1" x14ac:dyDescent="0.25">
      <c r="A10" s="1"/>
      <c r="B10" s="6"/>
      <c r="C10" s="6"/>
      <c r="D10" s="6"/>
      <c r="E10" s="6"/>
      <c r="F10" s="6"/>
      <c r="G10" s="6"/>
      <c r="H10" s="6"/>
      <c r="I10" s="6"/>
      <c r="J10" s="6"/>
      <c r="K10" s="6"/>
      <c r="L10" s="6"/>
      <c r="M10" s="6"/>
      <c r="N10" s="6"/>
      <c r="O10" s="6"/>
      <c r="P10" s="1"/>
    </row>
    <row r="11" spans="1:16" ht="7.5" customHeight="1" x14ac:dyDescent="0.25">
      <c r="A11" s="1"/>
      <c r="B11" s="12"/>
      <c r="C11" s="12"/>
      <c r="D11" s="12"/>
      <c r="E11" s="12"/>
      <c r="F11" s="12"/>
      <c r="G11" s="12"/>
      <c r="H11" s="12"/>
      <c r="I11" s="12"/>
      <c r="J11" s="12"/>
      <c r="K11" s="12"/>
      <c r="L11" s="12"/>
      <c r="M11" s="12"/>
      <c r="N11" s="12"/>
      <c r="O11" s="12"/>
      <c r="P11" s="1"/>
    </row>
    <row r="12" spans="1:16" ht="13.5" customHeight="1" x14ac:dyDescent="0.25">
      <c r="A12" s="1"/>
      <c r="B12" s="24" t="s">
        <v>6</v>
      </c>
      <c r="C12" s="24" t="s">
        <v>7</v>
      </c>
      <c r="D12" s="24" t="s">
        <v>8</v>
      </c>
      <c r="E12" s="24" t="s">
        <v>9</v>
      </c>
      <c r="F12" s="24" t="s">
        <v>10</v>
      </c>
      <c r="G12" s="24" t="s">
        <v>11</v>
      </c>
      <c r="H12" s="24" t="s">
        <v>12</v>
      </c>
      <c r="I12" s="24" t="s">
        <v>13</v>
      </c>
      <c r="J12" s="24" t="s">
        <v>14</v>
      </c>
      <c r="K12" s="24" t="s">
        <v>15</v>
      </c>
      <c r="L12" s="24" t="s">
        <v>16</v>
      </c>
      <c r="M12" s="25" t="s">
        <v>8711</v>
      </c>
      <c r="N12" s="26" t="s">
        <v>18</v>
      </c>
      <c r="O12" s="26" t="s">
        <v>19</v>
      </c>
      <c r="P12" s="26"/>
    </row>
    <row r="13" spans="1:16" ht="14.25" customHeight="1" x14ac:dyDescent="0.25">
      <c r="A13" s="1"/>
      <c r="B13" s="1">
        <f t="array" ref="B13:B2252" ca="1">IF(C13:C2252&lt;&gt;"",ROW(C13:C2252)-12,"")</f>
        <v>1</v>
      </c>
      <c r="C13" s="1">
        <f ca="1">IFERROR(__xludf.DUMMYFUNCTION("query(importrange(""1WHJWufq8eKOLZVsAfxlGPhAwXXg4XytHukkAdDpsgTY"",""M_SJ!C7:AV""),""select Col1,Col2,Col5,Col7,Col8,Col9,Col11,Col42,Col12,Col10,Col32,Col15 where Col31 is not null"")"),2023)</f>
        <v>2023</v>
      </c>
      <c r="D13" s="1">
        <f ca="1">IFERROR(__xludf.DUMMYFUNCTION("""COMPUTED_VALUE"""),13205)</f>
        <v>13205</v>
      </c>
      <c r="E13" s="1" t="str">
        <f ca="1">IFERROR(__xludf.DUMMYFUNCTION("""COMPUTED_VALUE"""),"3 Biotech")</f>
        <v>3 Biotech</v>
      </c>
      <c r="F13" s="1" t="str">
        <f ca="1">IFERROR(__xludf.DUMMYFUNCTION("""COMPUTED_VALUE"""),"2190-5738")</f>
        <v>2190-5738</v>
      </c>
      <c r="G13" s="1"/>
      <c r="H13" s="27" t="str">
        <f ca="1">IFERROR(__xludf.DUMMYFUNCTION("""COMPUTED_VALUE"""),"https://link.springer.com/journal/13205")</f>
        <v>https://link.springer.com/journal/13205</v>
      </c>
      <c r="I13" s="1" t="str">
        <f ca="1">IFERROR(__xludf.DUMMYFUNCTION("""COMPUTED_VALUE"""),"Springer")</f>
        <v>Springer</v>
      </c>
      <c r="J13" s="1">
        <f ca="1">IFERROR(__xludf.DUMMYFUNCTION("""COMPUTED_VALUE"""),2011)</f>
        <v>2011</v>
      </c>
      <c r="K13" s="1" t="str">
        <f ca="1">IFERROR(__xludf.DUMMYFUNCTION("""COMPUTED_VALUE"""),"Chemistry and Materials Science")</f>
        <v>Chemistry and Materials Science</v>
      </c>
      <c r="L13" s="1"/>
      <c r="M13" s="1"/>
      <c r="N13" s="1"/>
      <c r="O13" s="1"/>
      <c r="P13" s="1"/>
    </row>
    <row r="14" spans="1:16" ht="14.25" customHeight="1" x14ac:dyDescent="0.25">
      <c r="A14" s="1"/>
      <c r="B14" s="1">
        <f ca="1"/>
        <v>2</v>
      </c>
      <c r="C14" s="1">
        <f ca="1">IFERROR(__xludf.DUMMYFUNCTION("""COMPUTED_VALUE"""),2023)</f>
        <v>2023</v>
      </c>
      <c r="D14" s="1">
        <f ca="1">IFERROR(__xludf.DUMMYFUNCTION("""COMPUTED_VALUE"""),10288)</f>
        <v>10288</v>
      </c>
      <c r="E14" s="1" t="str">
        <f ca="1">IFERROR(__xludf.DUMMYFUNCTION("""COMPUTED_VALUE"""),"4OR")</f>
        <v>4OR</v>
      </c>
      <c r="F14" s="1" t="str">
        <f ca="1">IFERROR(__xludf.DUMMYFUNCTION("""COMPUTED_VALUE"""),"1614-2411")</f>
        <v>1614-2411</v>
      </c>
      <c r="G14" s="1" t="str">
        <f ca="1">IFERROR(__xludf.DUMMYFUNCTION("""COMPUTED_VALUE"""),"1619-4500")</f>
        <v>1619-4500</v>
      </c>
      <c r="H14" s="27" t="str">
        <f ca="1">IFERROR(__xludf.DUMMYFUNCTION("""COMPUTED_VALUE"""),"https://link.springer.com/journal/10288")</f>
        <v>https://link.springer.com/journal/10288</v>
      </c>
      <c r="I14" s="1" t="str">
        <f ca="1">IFERROR(__xludf.DUMMYFUNCTION("""COMPUTED_VALUE"""),"Springer")</f>
        <v>Springer</v>
      </c>
      <c r="J14" s="1">
        <f ca="1">IFERROR(__xludf.DUMMYFUNCTION("""COMPUTED_VALUE"""),2003)</f>
        <v>2003</v>
      </c>
      <c r="K14" s="1" t="str">
        <f ca="1">IFERROR(__xludf.DUMMYFUNCTION("""COMPUTED_VALUE"""),"Business and Management")</f>
        <v>Business and Management</v>
      </c>
      <c r="L14" s="1" t="str">
        <f ca="1">IFERROR(__xludf.DUMMYFUNCTION("""COMPUTED_VALUE"""),"〇")</f>
        <v>〇</v>
      </c>
      <c r="M14" s="1" t="str">
        <f ca="1">IFERROR(__xludf.DUMMYFUNCTION("""COMPUTED_VALUE"""),"〇")</f>
        <v>〇</v>
      </c>
      <c r="N14" s="1"/>
      <c r="O14" s="1"/>
      <c r="P14" s="1"/>
    </row>
    <row r="15" spans="1:16" ht="14.25" customHeight="1" x14ac:dyDescent="0.25">
      <c r="A15" s="1"/>
      <c r="B15" s="1">
        <f ca="1"/>
        <v>3</v>
      </c>
      <c r="C15" s="1">
        <f ca="1">IFERROR(__xludf.DUMMYFUNCTION("""COMPUTED_VALUE"""),2023)</f>
        <v>2023</v>
      </c>
      <c r="D15" s="1">
        <f ca="1">IFERROR(__xludf.DUMMYFUNCTION("""COMPUTED_VALUE"""),12249)</f>
        <v>12249</v>
      </c>
      <c r="E15" s="1" t="str">
        <f ca="1">IFERROR(__xludf.DUMMYFUNCTION("""COMPUTED_VALUE"""),"AAPS PharmSciTech")</f>
        <v>AAPS PharmSciTech</v>
      </c>
      <c r="F15" s="1" t="str">
        <f ca="1">IFERROR(__xludf.DUMMYFUNCTION("""COMPUTED_VALUE"""),"1530-9932")</f>
        <v>1530-9932</v>
      </c>
      <c r="G15" s="1"/>
      <c r="H15" s="27" t="str">
        <f ca="1">IFERROR(__xludf.DUMMYFUNCTION("""COMPUTED_VALUE"""),"https://link.springer.com/journal/12249")</f>
        <v>https://link.springer.com/journal/12249</v>
      </c>
      <c r="I15" s="1" t="str">
        <f ca="1">IFERROR(__xludf.DUMMYFUNCTION("""COMPUTED_VALUE"""),"Springer")</f>
        <v>Springer</v>
      </c>
      <c r="J15" s="1">
        <f ca="1">IFERROR(__xludf.DUMMYFUNCTION("""COMPUTED_VALUE"""),2000)</f>
        <v>2000</v>
      </c>
      <c r="K15" s="1" t="str">
        <f ca="1">IFERROR(__xludf.DUMMYFUNCTION("""COMPUTED_VALUE"""),"Biomedical and Life Sciences")</f>
        <v>Biomedical and Life Sciences</v>
      </c>
      <c r="L15" s="1"/>
      <c r="M15" s="1" t="str">
        <f ca="1">IFERROR(__xludf.DUMMYFUNCTION("""COMPUTED_VALUE"""),"〇")</f>
        <v>〇</v>
      </c>
      <c r="N15" s="1" t="str">
        <f ca="1">IFERROR(__xludf.DUMMYFUNCTION("""COMPUTED_VALUE"""),"TO8")</f>
        <v>TO8</v>
      </c>
      <c r="O15" s="1"/>
      <c r="P15" s="1"/>
    </row>
    <row r="16" spans="1:16" ht="14.25" customHeight="1" x14ac:dyDescent="0.25">
      <c r="A16" s="1"/>
      <c r="B16" s="1">
        <f ca="1"/>
        <v>4</v>
      </c>
      <c r="C16" s="1">
        <f ca="1">IFERROR(__xludf.DUMMYFUNCTION("""COMPUTED_VALUE"""),2023)</f>
        <v>2023</v>
      </c>
      <c r="D16" s="1">
        <f ca="1">IFERROR(__xludf.DUMMYFUNCTION("""COMPUTED_VALUE"""),261)</f>
        <v>261</v>
      </c>
      <c r="E16" s="1" t="str">
        <f ca="1">IFERROR(__xludf.DUMMYFUNCTION("""COMPUTED_VALUE"""),"Abdominal Radiology")</f>
        <v>Abdominal Radiology</v>
      </c>
      <c r="F16" s="1" t="str">
        <f ca="1">IFERROR(__xludf.DUMMYFUNCTION("""COMPUTED_VALUE"""),"2366-0058")</f>
        <v>2366-0058</v>
      </c>
      <c r="G16" s="1"/>
      <c r="H16" s="27" t="str">
        <f ca="1">IFERROR(__xludf.DUMMYFUNCTION("""COMPUTED_VALUE"""),"https://link.springer.com/journal/261")</f>
        <v>https://link.springer.com/journal/261</v>
      </c>
      <c r="I16" s="1" t="str">
        <f ca="1">IFERROR(__xludf.DUMMYFUNCTION("""COMPUTED_VALUE"""),"Springer")</f>
        <v>Springer</v>
      </c>
      <c r="J16" s="1">
        <f ca="1">IFERROR(__xludf.DUMMYFUNCTION("""COMPUTED_VALUE"""),2000)</f>
        <v>2000</v>
      </c>
      <c r="K16" s="1" t="str">
        <f ca="1">IFERROR(__xludf.DUMMYFUNCTION("""COMPUTED_VALUE"""),"Medicine")</f>
        <v>Medicine</v>
      </c>
      <c r="L16" s="1"/>
      <c r="M16" s="1" t="str">
        <f ca="1">IFERROR(__xludf.DUMMYFUNCTION("""COMPUTED_VALUE"""),"〇")</f>
        <v>〇</v>
      </c>
      <c r="N16" s="1"/>
      <c r="O16" s="1"/>
      <c r="P16" s="1"/>
    </row>
    <row r="17" spans="1:16" ht="14.25" customHeight="1" x14ac:dyDescent="0.25">
      <c r="A17" s="1"/>
      <c r="B17" s="1">
        <f ca="1"/>
        <v>5</v>
      </c>
      <c r="C17" s="1">
        <f ca="1">IFERROR(__xludf.DUMMYFUNCTION("""COMPUTED_VALUE"""),2023)</f>
        <v>2023</v>
      </c>
      <c r="D17" s="1">
        <f ca="1">IFERROR(__xludf.DUMMYFUNCTION("""COMPUTED_VALUE"""),12188)</f>
        <v>12188</v>
      </c>
      <c r="E17" s="1" t="str">
        <f ca="1">IFERROR(__xludf.DUMMYFUNCTION("""COMPUTED_VALUE"""),"Abhandlungen aus dem Mathematischen Seminar der Universität Hamburg")</f>
        <v>Abhandlungen aus dem Mathematischen Seminar der Universität Hamburg</v>
      </c>
      <c r="F17" s="1" t="str">
        <f ca="1">IFERROR(__xludf.DUMMYFUNCTION("""COMPUTED_VALUE"""),"1865-8784")</f>
        <v>1865-8784</v>
      </c>
      <c r="G17" s="1" t="str">
        <f ca="1">IFERROR(__xludf.DUMMYFUNCTION("""COMPUTED_VALUE"""),"0025-5858")</f>
        <v>0025-5858</v>
      </c>
      <c r="H17" s="27" t="str">
        <f ca="1">IFERROR(__xludf.DUMMYFUNCTION("""COMPUTED_VALUE"""),"https://link.springer.com/journal/12188")</f>
        <v>https://link.springer.com/journal/12188</v>
      </c>
      <c r="I17" s="1" t="str">
        <f ca="1">IFERROR(__xludf.DUMMYFUNCTION("""COMPUTED_VALUE"""),"Springer")</f>
        <v>Springer</v>
      </c>
      <c r="J17" s="1">
        <f ca="1">IFERROR(__xludf.DUMMYFUNCTION("""COMPUTED_VALUE"""),2000)</f>
        <v>2000</v>
      </c>
      <c r="K17" s="1" t="str">
        <f ca="1">IFERROR(__xludf.DUMMYFUNCTION("""COMPUTED_VALUE"""),"Mathematics and Statistics")</f>
        <v>Mathematics and Statistics</v>
      </c>
      <c r="L17" s="1" t="str">
        <f ca="1">IFERROR(__xludf.DUMMYFUNCTION("""COMPUTED_VALUE"""),"〇")</f>
        <v>〇</v>
      </c>
      <c r="M17" s="1" t="str">
        <f ca="1">IFERROR(__xludf.DUMMYFUNCTION("""COMPUTED_VALUE"""),"〇")</f>
        <v>〇</v>
      </c>
      <c r="N17" s="1" t="str">
        <f ca="1">IFERROR(__xludf.DUMMYFUNCTION("""COMPUTED_VALUE"""),"TO8")</f>
        <v>TO8</v>
      </c>
      <c r="O17" s="1"/>
      <c r="P17" s="1"/>
    </row>
    <row r="18" spans="1:16" ht="14.25" customHeight="1" x14ac:dyDescent="0.25">
      <c r="A18" s="1"/>
      <c r="B18" s="1">
        <f ca="1"/>
        <v>6</v>
      </c>
      <c r="C18" s="1">
        <f ca="1">IFERROR(__xludf.DUMMYFUNCTION("""COMPUTED_VALUE"""),2023)</f>
        <v>2023</v>
      </c>
      <c r="D18" s="1">
        <f ca="1">IFERROR(__xludf.DUMMYFUNCTION("""COMPUTED_VALUE"""),42994)</f>
        <v>42994</v>
      </c>
      <c r="E18" s="1" t="str">
        <f ca="1">IFERROR(__xludf.DUMMYFUNCTION("""COMPUTED_VALUE"""),"aBIOTECH")</f>
        <v>aBIOTECH</v>
      </c>
      <c r="F18" s="1" t="str">
        <f ca="1">IFERROR(__xludf.DUMMYFUNCTION("""COMPUTED_VALUE"""),"2662-1738")</f>
        <v>2662-1738</v>
      </c>
      <c r="G18" s="1"/>
      <c r="H18" s="27" t="str">
        <f ca="1">IFERROR(__xludf.DUMMYFUNCTION("""COMPUTED_VALUE"""),"https://link.springer.com/journal/42994")</f>
        <v>https://link.springer.com/journal/42994</v>
      </c>
      <c r="I18" s="1" t="str">
        <f ca="1">IFERROR(__xludf.DUMMYFUNCTION("""COMPUTED_VALUE"""),"Springer")</f>
        <v>Springer</v>
      </c>
      <c r="J18" s="1">
        <f ca="1">IFERROR(__xludf.DUMMYFUNCTION("""COMPUTED_VALUE"""),2020)</f>
        <v>2020</v>
      </c>
      <c r="K18" s="1" t="str">
        <f ca="1">IFERROR(__xludf.DUMMYFUNCTION("""COMPUTED_VALUE"""),"Biomedical and Life Sciences")</f>
        <v>Biomedical and Life Sciences</v>
      </c>
      <c r="L18" s="1"/>
      <c r="M18" s="1"/>
      <c r="N18" s="1" t="str">
        <f ca="1">IFERROR(__xludf.DUMMYFUNCTION("""COMPUTED_VALUE"""),"SNS20")</f>
        <v>SNS20</v>
      </c>
      <c r="O18" s="1"/>
      <c r="P18" s="1"/>
    </row>
    <row r="19" spans="1:16" ht="14.25" customHeight="1" x14ac:dyDescent="0.25">
      <c r="A19" s="1"/>
      <c r="B19" s="1">
        <f ca="1"/>
        <v>7</v>
      </c>
      <c r="C19" s="1">
        <f ca="1">IFERROR(__xludf.DUMMYFUNCTION("""COMPUTED_VALUE"""),2023)</f>
        <v>2023</v>
      </c>
      <c r="D19" s="1">
        <f ca="1">IFERROR(__xludf.DUMMYFUNCTION("""COMPUTED_VALUE"""),40596)</f>
        <v>40596</v>
      </c>
      <c r="E19" s="1" t="str">
        <f ca="1">IFERROR(__xludf.DUMMYFUNCTION("""COMPUTED_VALUE"""),"Academic Psychiatry")</f>
        <v>Academic Psychiatry</v>
      </c>
      <c r="F19" s="1" t="str">
        <f ca="1">IFERROR(__xludf.DUMMYFUNCTION("""COMPUTED_VALUE"""),"1545-7230")</f>
        <v>1545-7230</v>
      </c>
      <c r="G19" s="1" t="str">
        <f ca="1">IFERROR(__xludf.DUMMYFUNCTION("""COMPUTED_VALUE"""),"1042-9670")</f>
        <v>1042-9670</v>
      </c>
      <c r="H19" s="27" t="str">
        <f ca="1">IFERROR(__xludf.DUMMYFUNCTION("""COMPUTED_VALUE"""),"https://link.springer.com/journal/40596")</f>
        <v>https://link.springer.com/journal/40596</v>
      </c>
      <c r="I19" s="1" t="str">
        <f ca="1">IFERROR(__xludf.DUMMYFUNCTION("""COMPUTED_VALUE"""),"Springer")</f>
        <v>Springer</v>
      </c>
      <c r="J19" s="1">
        <f ca="1">IFERROR(__xludf.DUMMYFUNCTION("""COMPUTED_VALUE"""),2000)</f>
        <v>2000</v>
      </c>
      <c r="K19" s="1" t="str">
        <f ca="1">IFERROR(__xludf.DUMMYFUNCTION("""COMPUTED_VALUE"""),"Medicine")</f>
        <v>Medicine</v>
      </c>
      <c r="L19" s="1" t="str">
        <f ca="1">IFERROR(__xludf.DUMMYFUNCTION("""COMPUTED_VALUE"""),"〇")</f>
        <v>〇</v>
      </c>
      <c r="M19" s="1"/>
      <c r="N19" s="1" t="str">
        <f ca="1">IFERROR(__xludf.DUMMYFUNCTION("""COMPUTED_VALUE"""),"TO14")</f>
        <v>TO14</v>
      </c>
      <c r="O19" s="1"/>
      <c r="P19" s="1"/>
    </row>
    <row r="20" spans="1:16" ht="14.25" customHeight="1" x14ac:dyDescent="0.25">
      <c r="A20" s="1"/>
      <c r="B20" s="1">
        <f ca="1"/>
        <v>8</v>
      </c>
      <c r="C20" s="1">
        <f ca="1">IFERROR(__xludf.DUMMYFUNCTION("""COMPUTED_VALUE"""),2023)</f>
        <v>2023</v>
      </c>
      <c r="D20" s="1">
        <f ca="1">IFERROR(__xludf.DUMMYFUNCTION("""COMPUTED_VALUE"""),769)</f>
        <v>769</v>
      </c>
      <c r="E20" s="1" t="str">
        <f ca="1">IFERROR(__xludf.DUMMYFUNCTION("""COMPUTED_VALUE"""),"Accreditation and Quality Assurance")</f>
        <v>Accreditation and Quality Assurance</v>
      </c>
      <c r="F20" s="1" t="str">
        <f ca="1">IFERROR(__xludf.DUMMYFUNCTION("""COMPUTED_VALUE"""),"1432-0517")</f>
        <v>1432-0517</v>
      </c>
      <c r="G20" s="1" t="str">
        <f ca="1">IFERROR(__xludf.DUMMYFUNCTION("""COMPUTED_VALUE"""),"0949-1775")</f>
        <v>0949-1775</v>
      </c>
      <c r="H20" s="27" t="str">
        <f ca="1">IFERROR(__xludf.DUMMYFUNCTION("""COMPUTED_VALUE"""),"https://link.springer.com/journal/769")</f>
        <v>https://link.springer.com/journal/769</v>
      </c>
      <c r="I20" s="1" t="str">
        <f ca="1">IFERROR(__xludf.DUMMYFUNCTION("""COMPUTED_VALUE"""),"Springer")</f>
        <v>Springer</v>
      </c>
      <c r="J20" s="1">
        <f ca="1">IFERROR(__xludf.DUMMYFUNCTION("""COMPUTED_VALUE"""),2000)</f>
        <v>2000</v>
      </c>
      <c r="K20" s="1" t="str">
        <f ca="1">IFERROR(__xludf.DUMMYFUNCTION("""COMPUTED_VALUE"""),"Chemistry and Materials Science")</f>
        <v>Chemistry and Materials Science</v>
      </c>
      <c r="L20" s="1" t="str">
        <f ca="1">IFERROR(__xludf.DUMMYFUNCTION("""COMPUTED_VALUE"""),"〇")</f>
        <v>〇</v>
      </c>
      <c r="M20" s="1" t="str">
        <f ca="1">IFERROR(__xludf.DUMMYFUNCTION("""COMPUTED_VALUE"""),"〇")</f>
        <v>〇</v>
      </c>
      <c r="N20" s="1"/>
      <c r="O20" s="1"/>
      <c r="P20" s="1"/>
    </row>
    <row r="21" spans="1:16" ht="14.25" customHeight="1" x14ac:dyDescent="0.25">
      <c r="A21" s="1"/>
      <c r="B21" s="1">
        <f ca="1"/>
        <v>9</v>
      </c>
      <c r="C21" s="1">
        <f ca="1">IFERROR(__xludf.DUMMYFUNCTION("""COMPUTED_VALUE"""),2023)</f>
        <v>2023</v>
      </c>
      <c r="D21" s="1">
        <f ca="1">IFERROR(__xludf.DUMMYFUNCTION("""COMPUTED_VALUE"""),11441)</f>
        <v>11441</v>
      </c>
      <c r="E21" s="1" t="str">
        <f ca="1">IFERROR(__xludf.DUMMYFUNCTION("""COMPUTED_VALUE"""),"Acoustical Physics")</f>
        <v>Acoustical Physics</v>
      </c>
      <c r="F21" s="1" t="str">
        <f ca="1">IFERROR(__xludf.DUMMYFUNCTION("""COMPUTED_VALUE"""),"1562-6865")</f>
        <v>1562-6865</v>
      </c>
      <c r="G21" s="1" t="str">
        <f ca="1">IFERROR(__xludf.DUMMYFUNCTION("""COMPUTED_VALUE"""),"1063-7710")</f>
        <v>1063-7710</v>
      </c>
      <c r="H21" s="27" t="str">
        <f ca="1">IFERROR(__xludf.DUMMYFUNCTION("""COMPUTED_VALUE"""),"https://link.springer.com/journal/11441")</f>
        <v>https://link.springer.com/journal/11441</v>
      </c>
      <c r="I21" s="1" t="str">
        <f ca="1">IFERROR(__xludf.DUMMYFUNCTION("""COMPUTED_VALUE"""),"Pleiades Publishing")</f>
        <v>Pleiades Publishing</v>
      </c>
      <c r="J21" s="1">
        <f ca="1">IFERROR(__xludf.DUMMYFUNCTION("""COMPUTED_VALUE"""),2000)</f>
        <v>2000</v>
      </c>
      <c r="K21" s="1" t="str">
        <f ca="1">IFERROR(__xludf.DUMMYFUNCTION("""COMPUTED_VALUE"""),"Physics and Astronomy")</f>
        <v>Physics and Astronomy</v>
      </c>
      <c r="L21" s="1" t="str">
        <f ca="1">IFERROR(__xludf.DUMMYFUNCTION("""COMPUTED_VALUE"""),"〇")</f>
        <v>〇</v>
      </c>
      <c r="M21" s="1" t="str">
        <f ca="1">IFERROR(__xludf.DUMMYFUNCTION("""COMPUTED_VALUE"""),"〇")</f>
        <v>〇</v>
      </c>
      <c r="N21" s="1"/>
      <c r="O21" s="1"/>
      <c r="P21" s="1"/>
    </row>
    <row r="22" spans="1:16" ht="14.25" customHeight="1" x14ac:dyDescent="0.25">
      <c r="A22" s="1"/>
      <c r="B22" s="1">
        <f ca="1"/>
        <v>10</v>
      </c>
      <c r="C22" s="1">
        <f ca="1">IFERROR(__xludf.DUMMYFUNCTION("""COMPUTED_VALUE"""),2023)</f>
        <v>2023</v>
      </c>
      <c r="D22" s="1">
        <f ca="1">IFERROR(__xludf.DUMMYFUNCTION("""COMPUTED_VALUE"""),40857)</f>
        <v>40857</v>
      </c>
      <c r="E22" s="1" t="str">
        <f ca="1">IFERROR(__xludf.DUMMYFUNCTION("""COMPUTED_VALUE"""),"Acoustics Australia")</f>
        <v>Acoustics Australia</v>
      </c>
      <c r="F22" s="1" t="str">
        <f ca="1">IFERROR(__xludf.DUMMYFUNCTION("""COMPUTED_VALUE"""),"1839-2571")</f>
        <v>1839-2571</v>
      </c>
      <c r="G22" s="1"/>
      <c r="H22" s="27" t="str">
        <f ca="1">IFERROR(__xludf.DUMMYFUNCTION("""COMPUTED_VALUE"""),"https://link.springer.com/journal/40857")</f>
        <v>https://link.springer.com/journal/40857</v>
      </c>
      <c r="I22" s="1" t="str">
        <f ca="1">IFERROR(__xludf.DUMMYFUNCTION("""COMPUTED_VALUE"""),"Springer")</f>
        <v>Springer</v>
      </c>
      <c r="J22" s="1">
        <f ca="1">IFERROR(__xludf.DUMMYFUNCTION("""COMPUTED_VALUE"""),2015)</f>
        <v>2015</v>
      </c>
      <c r="K22" s="1" t="str">
        <f ca="1">IFERROR(__xludf.DUMMYFUNCTION("""COMPUTED_VALUE"""),"Engineering")</f>
        <v>Engineering</v>
      </c>
      <c r="L22" s="1"/>
      <c r="M22" s="1"/>
      <c r="N22" s="1" t="str">
        <f ca="1">IFERROR(__xludf.DUMMYFUNCTION("""COMPUTED_VALUE"""),"TO15")</f>
        <v>TO15</v>
      </c>
      <c r="O22" s="1"/>
      <c r="P22" s="1"/>
    </row>
    <row r="23" spans="1:16" ht="14.25" customHeight="1" x14ac:dyDescent="0.25">
      <c r="A23" s="1"/>
      <c r="B23" s="1">
        <f ca="1"/>
        <v>11</v>
      </c>
      <c r="C23" s="1">
        <f ca="1">IFERROR(__xludf.DUMMYFUNCTION("""COMPUTED_VALUE"""),2023)</f>
        <v>2023</v>
      </c>
      <c r="D23" s="1">
        <f ca="1">IFERROR(__xludf.DUMMYFUNCTION("""COMPUTED_VALUE"""),12136)</f>
        <v>12136</v>
      </c>
      <c r="E23" s="1" t="str">
        <f ca="1">IFERROR(__xludf.DUMMYFUNCTION("""COMPUTED_VALUE"""),"Acta Analytica")</f>
        <v>Acta Analytica</v>
      </c>
      <c r="F23" s="1" t="str">
        <f ca="1">IFERROR(__xludf.DUMMYFUNCTION("""COMPUTED_VALUE"""),"1874-6349")</f>
        <v>1874-6349</v>
      </c>
      <c r="G23" s="1" t="str">
        <f ca="1">IFERROR(__xludf.DUMMYFUNCTION("""COMPUTED_VALUE"""),"0353-5150")</f>
        <v>0353-5150</v>
      </c>
      <c r="H23" s="27" t="str">
        <f ca="1">IFERROR(__xludf.DUMMYFUNCTION("""COMPUTED_VALUE"""),"https://link.springer.com/journal/12136")</f>
        <v>https://link.springer.com/journal/12136</v>
      </c>
      <c r="I23" s="1" t="str">
        <f ca="1">IFERROR(__xludf.DUMMYFUNCTION("""COMPUTED_VALUE"""),"Springer")</f>
        <v>Springer</v>
      </c>
      <c r="J23" s="1">
        <f ca="1">IFERROR(__xludf.DUMMYFUNCTION("""COMPUTED_VALUE"""),2002)</f>
        <v>2002</v>
      </c>
      <c r="K23" s="1" t="str">
        <f ca="1">IFERROR(__xludf.DUMMYFUNCTION("""COMPUTED_VALUE"""),"Education")</f>
        <v>Education</v>
      </c>
      <c r="L23" s="1" t="str">
        <f ca="1">IFERROR(__xludf.DUMMYFUNCTION("""COMPUTED_VALUE"""),"〇")</f>
        <v>〇</v>
      </c>
      <c r="M23" s="1" t="str">
        <f ca="1">IFERROR(__xludf.DUMMYFUNCTION("""COMPUTED_VALUE"""),"〇")</f>
        <v>〇</v>
      </c>
      <c r="N23" s="1" t="str">
        <f ca="1">IFERROR(__xludf.DUMMYFUNCTION("""COMPUTED_VALUE"""),"TO7")</f>
        <v>TO7</v>
      </c>
      <c r="O23" s="1"/>
      <c r="P23" s="1"/>
    </row>
    <row r="24" spans="1:16" ht="14.25" customHeight="1" x14ac:dyDescent="0.25">
      <c r="A24" s="1"/>
      <c r="B24" s="1">
        <f ca="1"/>
        <v>12</v>
      </c>
      <c r="C24" s="1">
        <f ca="1">IFERROR(__xludf.DUMMYFUNCTION("""COMPUTED_VALUE"""),2023)</f>
        <v>2023</v>
      </c>
      <c r="D24" s="1">
        <f ca="1">IFERROR(__xludf.DUMMYFUNCTION("""COMPUTED_VALUE"""),10440)</f>
        <v>10440</v>
      </c>
      <c r="E24" s="1" t="str">
        <f ca="1">IFERROR(__xludf.DUMMYFUNCTION("""COMPUTED_VALUE"""),"Acta Applicandae Mathematicae")</f>
        <v>Acta Applicandae Mathematicae</v>
      </c>
      <c r="F24" s="1" t="str">
        <f ca="1">IFERROR(__xludf.DUMMYFUNCTION("""COMPUTED_VALUE"""),"1572-9036")</f>
        <v>1572-9036</v>
      </c>
      <c r="G24" s="1" t="str">
        <f ca="1">IFERROR(__xludf.DUMMYFUNCTION("""COMPUTED_VALUE"""),"0167-8019")</f>
        <v>0167-8019</v>
      </c>
      <c r="H24" s="27" t="str">
        <f ca="1">IFERROR(__xludf.DUMMYFUNCTION("""COMPUTED_VALUE"""),"https://link.springer.com/journal/10440")</f>
        <v>https://link.springer.com/journal/10440</v>
      </c>
      <c r="I24" s="1" t="str">
        <f ca="1">IFERROR(__xludf.DUMMYFUNCTION("""COMPUTED_VALUE"""),"Springer")</f>
        <v>Springer</v>
      </c>
      <c r="J24" s="1">
        <f ca="1">IFERROR(__xludf.DUMMYFUNCTION("""COMPUTED_VALUE"""),2000)</f>
        <v>2000</v>
      </c>
      <c r="K24" s="1" t="str">
        <f ca="1">IFERROR(__xludf.DUMMYFUNCTION("""COMPUTED_VALUE"""),"Mathematics and Statistics")</f>
        <v>Mathematics and Statistics</v>
      </c>
      <c r="L24" s="1" t="str">
        <f ca="1">IFERROR(__xludf.DUMMYFUNCTION("""COMPUTED_VALUE"""),"〇")</f>
        <v>〇</v>
      </c>
      <c r="M24" s="1" t="str">
        <f ca="1">IFERROR(__xludf.DUMMYFUNCTION("""COMPUTED_VALUE"""),"〇")</f>
        <v>〇</v>
      </c>
      <c r="N24" s="1"/>
      <c r="O24" s="1"/>
      <c r="P24" s="1"/>
    </row>
    <row r="25" spans="1:16" ht="14.25" customHeight="1" x14ac:dyDescent="0.25">
      <c r="A25" s="1"/>
      <c r="B25" s="1">
        <f ca="1"/>
        <v>13</v>
      </c>
      <c r="C25" s="1">
        <f ca="1">IFERROR(__xludf.DUMMYFUNCTION("""COMPUTED_VALUE"""),2023)</f>
        <v>2023</v>
      </c>
      <c r="D25" s="1">
        <f ca="1">IFERROR(__xludf.DUMMYFUNCTION("""COMPUTED_VALUE"""),10441)</f>
        <v>10441</v>
      </c>
      <c r="E25" s="1" t="str">
        <f ca="1">IFERROR(__xludf.DUMMYFUNCTION("""COMPUTED_VALUE"""),"Acta Biotheoretica")</f>
        <v>Acta Biotheoretica</v>
      </c>
      <c r="F25" s="1" t="str">
        <f ca="1">IFERROR(__xludf.DUMMYFUNCTION("""COMPUTED_VALUE"""),"1572-8358")</f>
        <v>1572-8358</v>
      </c>
      <c r="G25" s="1" t="str">
        <f ca="1">IFERROR(__xludf.DUMMYFUNCTION("""COMPUTED_VALUE"""),"0001-5342")</f>
        <v>0001-5342</v>
      </c>
      <c r="H25" s="27" t="str">
        <f ca="1">IFERROR(__xludf.DUMMYFUNCTION("""COMPUTED_VALUE"""),"https://link.springer.com/journal/10441")</f>
        <v>https://link.springer.com/journal/10441</v>
      </c>
      <c r="I25" s="1" t="str">
        <f ca="1">IFERROR(__xludf.DUMMYFUNCTION("""COMPUTED_VALUE"""),"Springer")</f>
        <v>Springer</v>
      </c>
      <c r="J25" s="1">
        <f ca="1">IFERROR(__xludf.DUMMYFUNCTION("""COMPUTED_VALUE"""),2000)</f>
        <v>2000</v>
      </c>
      <c r="K25" s="1" t="str">
        <f ca="1">IFERROR(__xludf.DUMMYFUNCTION("""COMPUTED_VALUE"""),"Education")</f>
        <v>Education</v>
      </c>
      <c r="L25" s="1" t="str">
        <f ca="1">IFERROR(__xludf.DUMMYFUNCTION("""COMPUTED_VALUE"""),"〇")</f>
        <v>〇</v>
      </c>
      <c r="M25" s="1" t="str">
        <f ca="1">IFERROR(__xludf.DUMMYFUNCTION("""COMPUTED_VALUE"""),"〇")</f>
        <v>〇</v>
      </c>
      <c r="N25" s="1"/>
      <c r="O25" s="1"/>
      <c r="P25" s="1"/>
    </row>
    <row r="26" spans="1:16" ht="14.25" customHeight="1" x14ac:dyDescent="0.25">
      <c r="A26" s="1"/>
      <c r="B26" s="1">
        <f ca="1"/>
        <v>14</v>
      </c>
      <c r="C26" s="1">
        <f ca="1">IFERROR(__xludf.DUMMYFUNCTION("""COMPUTED_VALUE"""),2023)</f>
        <v>2023</v>
      </c>
      <c r="D26" s="1">
        <f ca="1">IFERROR(__xludf.DUMMYFUNCTION("""COMPUTED_VALUE"""),592)</f>
        <v>592</v>
      </c>
      <c r="E26" s="1" t="str">
        <f ca="1">IFERROR(__xludf.DUMMYFUNCTION("""COMPUTED_VALUE"""),"Acta Diabetologica")</f>
        <v>Acta Diabetologica</v>
      </c>
      <c r="F26" s="1" t="str">
        <f ca="1">IFERROR(__xludf.DUMMYFUNCTION("""COMPUTED_VALUE"""),"1432-5233")</f>
        <v>1432-5233</v>
      </c>
      <c r="G26" s="1"/>
      <c r="H26" s="27" t="str">
        <f ca="1">IFERROR(__xludf.DUMMYFUNCTION("""COMPUTED_VALUE"""),"https://link.springer.com/journal/592")</f>
        <v>https://link.springer.com/journal/592</v>
      </c>
      <c r="I26" s="1" t="str">
        <f ca="1">IFERROR(__xludf.DUMMYFUNCTION("""COMPUTED_VALUE"""),"Springer")</f>
        <v>Springer</v>
      </c>
      <c r="J26" s="1">
        <f ca="1">IFERROR(__xludf.DUMMYFUNCTION("""COMPUTED_VALUE"""),2000)</f>
        <v>2000</v>
      </c>
      <c r="K26" s="1" t="str">
        <f ca="1">IFERROR(__xludf.DUMMYFUNCTION("""COMPUTED_VALUE"""),"Medicine")</f>
        <v>Medicine</v>
      </c>
      <c r="L26" s="1"/>
      <c r="M26" s="1" t="str">
        <f ca="1">IFERROR(__xludf.DUMMYFUNCTION("""COMPUTED_VALUE"""),"〇")</f>
        <v>〇</v>
      </c>
      <c r="N26" s="1"/>
      <c r="O26" s="1"/>
      <c r="P26" s="1"/>
    </row>
    <row r="27" spans="1:16" ht="14.25" customHeight="1" x14ac:dyDescent="0.25">
      <c r="A27" s="1"/>
      <c r="B27" s="1">
        <f ca="1"/>
        <v>15</v>
      </c>
      <c r="C27" s="1">
        <f ca="1">IFERROR(__xludf.DUMMYFUNCTION("""COMPUTED_VALUE"""),2023)</f>
        <v>2023</v>
      </c>
      <c r="D27" s="1">
        <f ca="1">IFERROR(__xludf.DUMMYFUNCTION("""COMPUTED_VALUE"""),10211)</f>
        <v>10211</v>
      </c>
      <c r="E27" s="1" t="str">
        <f ca="1">IFERROR(__xludf.DUMMYFUNCTION("""COMPUTED_VALUE"""),"acta ethologica")</f>
        <v>acta ethologica</v>
      </c>
      <c r="F27" s="1" t="str">
        <f ca="1">IFERROR(__xludf.DUMMYFUNCTION("""COMPUTED_VALUE"""),"1437-9546")</f>
        <v>1437-9546</v>
      </c>
      <c r="G27" s="1" t="str">
        <f ca="1">IFERROR(__xludf.DUMMYFUNCTION("""COMPUTED_VALUE"""),"0873-9749")</f>
        <v>0873-9749</v>
      </c>
      <c r="H27" s="27" t="str">
        <f ca="1">IFERROR(__xludf.DUMMYFUNCTION("""COMPUTED_VALUE"""),"https://link.springer.com/journal/10211")</f>
        <v>https://link.springer.com/journal/10211</v>
      </c>
      <c r="I27" s="1" t="str">
        <f ca="1">IFERROR(__xludf.DUMMYFUNCTION("""COMPUTED_VALUE"""),"Springer")</f>
        <v>Springer</v>
      </c>
      <c r="J27" s="1">
        <f ca="1">IFERROR(__xludf.DUMMYFUNCTION("""COMPUTED_VALUE"""),2000)</f>
        <v>2000</v>
      </c>
      <c r="K27" s="1" t="str">
        <f ca="1">IFERROR(__xludf.DUMMYFUNCTION("""COMPUTED_VALUE"""),"Biomedical and Life Sciences")</f>
        <v>Biomedical and Life Sciences</v>
      </c>
      <c r="L27" s="1" t="str">
        <f ca="1">IFERROR(__xludf.DUMMYFUNCTION("""COMPUTED_VALUE"""),"〇")</f>
        <v>〇</v>
      </c>
      <c r="M27" s="1" t="str">
        <f ca="1">IFERROR(__xludf.DUMMYFUNCTION("""COMPUTED_VALUE"""),"〇")</f>
        <v>〇</v>
      </c>
      <c r="N27" s="1"/>
      <c r="O27" s="1"/>
      <c r="P27" s="1"/>
    </row>
    <row r="28" spans="1:16" ht="14.25" customHeight="1" x14ac:dyDescent="0.25">
      <c r="A28" s="1"/>
      <c r="B28" s="1">
        <f ca="1"/>
        <v>16</v>
      </c>
      <c r="C28" s="1">
        <f ca="1">IFERROR(__xludf.DUMMYFUNCTION("""COMPUTED_VALUE"""),2023)</f>
        <v>2023</v>
      </c>
      <c r="D28" s="1">
        <f ca="1">IFERROR(__xludf.DUMMYFUNCTION("""COMPUTED_VALUE"""),11631)</f>
        <v>11631</v>
      </c>
      <c r="E28" s="1" t="str">
        <f ca="1">IFERROR(__xludf.DUMMYFUNCTION("""COMPUTED_VALUE"""),"Acta Geochimica")</f>
        <v>Acta Geochimica</v>
      </c>
      <c r="F28" s="1" t="str">
        <f ca="1">IFERROR(__xludf.DUMMYFUNCTION("""COMPUTED_VALUE"""),"2365-7499")</f>
        <v>2365-7499</v>
      </c>
      <c r="G28" s="1" t="str">
        <f ca="1">IFERROR(__xludf.DUMMYFUNCTION("""COMPUTED_VALUE"""),"2096-0956")</f>
        <v>2096-0956</v>
      </c>
      <c r="H28" s="27" t="str">
        <f ca="1">IFERROR(__xludf.DUMMYFUNCTION("""COMPUTED_VALUE"""),"https://link.springer.com/journal/11631")</f>
        <v>https://link.springer.com/journal/11631</v>
      </c>
      <c r="I28" s="1" t="str">
        <f ca="1">IFERROR(__xludf.DUMMYFUNCTION("""COMPUTED_VALUE"""),"Science Press, co-published with Springer")</f>
        <v>Science Press, co-published with Springer</v>
      </c>
      <c r="J28" s="1">
        <f ca="1">IFERROR(__xludf.DUMMYFUNCTION("""COMPUTED_VALUE"""),2000)</f>
        <v>2000</v>
      </c>
      <c r="K28" s="1" t="str">
        <f ca="1">IFERROR(__xludf.DUMMYFUNCTION("""COMPUTED_VALUE"""),"Earth and Environmental Science")</f>
        <v>Earth and Environmental Science</v>
      </c>
      <c r="L28" s="1" t="str">
        <f ca="1">IFERROR(__xludf.DUMMYFUNCTION("""COMPUTED_VALUE"""),"〇")</f>
        <v>〇</v>
      </c>
      <c r="M28" s="1" t="str">
        <f ca="1">IFERROR(__xludf.DUMMYFUNCTION("""COMPUTED_VALUE"""),"〇")</f>
        <v>〇</v>
      </c>
      <c r="N28" s="1" t="str">
        <f ca="1">IFERROR(__xludf.DUMMYFUNCTION("""COMPUTED_VALUE"""),"TO7")</f>
        <v>TO7</v>
      </c>
      <c r="O28" s="1"/>
      <c r="P28" s="1"/>
    </row>
    <row r="29" spans="1:16" ht="14.25" customHeight="1" x14ac:dyDescent="0.25">
      <c r="A29" s="1"/>
      <c r="B29" s="1">
        <f ca="1"/>
        <v>17</v>
      </c>
      <c r="C29" s="1">
        <f ca="1">IFERROR(__xludf.DUMMYFUNCTION("""COMPUTED_VALUE"""),2023)</f>
        <v>2023</v>
      </c>
      <c r="D29" s="1">
        <f ca="1">IFERROR(__xludf.DUMMYFUNCTION("""COMPUTED_VALUE"""),40328)</f>
        <v>40328</v>
      </c>
      <c r="E29" s="1" t="str">
        <f ca="1">IFERROR(__xludf.DUMMYFUNCTION("""COMPUTED_VALUE"""),"Acta Geodaetica et Geophysica")</f>
        <v>Acta Geodaetica et Geophysica</v>
      </c>
      <c r="F29" s="1" t="str">
        <f ca="1">IFERROR(__xludf.DUMMYFUNCTION("""COMPUTED_VALUE"""),"2213-5820")</f>
        <v>2213-5820</v>
      </c>
      <c r="G29" s="1" t="str">
        <f ca="1">IFERROR(__xludf.DUMMYFUNCTION("""COMPUTED_VALUE"""),"2213-5812")</f>
        <v>2213-5812</v>
      </c>
      <c r="H29" s="27" t="str">
        <f ca="1">IFERROR(__xludf.DUMMYFUNCTION("""COMPUTED_VALUE"""),"https://link.springer.com/journal/40328")</f>
        <v>https://link.springer.com/journal/40328</v>
      </c>
      <c r="I29" s="1" t="str">
        <f ca="1">IFERROR(__xludf.DUMMYFUNCTION("""COMPUTED_VALUE"""),"Akadémiai Kiadó, co-published with Springer")</f>
        <v>Akadémiai Kiadó, co-published with Springer</v>
      </c>
      <c r="J29" s="1">
        <f ca="1">IFERROR(__xludf.DUMMYFUNCTION("""COMPUTED_VALUE"""),2000)</f>
        <v>2000</v>
      </c>
      <c r="K29" s="1" t="str">
        <f ca="1">IFERROR(__xludf.DUMMYFUNCTION("""COMPUTED_VALUE"""),"Earth and Environmental Science")</f>
        <v>Earth and Environmental Science</v>
      </c>
      <c r="L29" s="1" t="str">
        <f ca="1">IFERROR(__xludf.DUMMYFUNCTION("""COMPUTED_VALUE"""),"〇")</f>
        <v>〇</v>
      </c>
      <c r="M29" s="1"/>
      <c r="N29" s="1" t="str">
        <f ca="1">IFERROR(__xludf.DUMMYFUNCTION("""COMPUTED_VALUE"""),"TO13")</f>
        <v>TO13</v>
      </c>
      <c r="O29" s="1"/>
      <c r="P29" s="1"/>
    </row>
    <row r="30" spans="1:16" ht="14.25" customHeight="1" x14ac:dyDescent="0.25">
      <c r="A30" s="1"/>
      <c r="B30" s="1">
        <f ca="1"/>
        <v>18</v>
      </c>
      <c r="C30" s="1">
        <f ca="1">IFERROR(__xludf.DUMMYFUNCTION("""COMPUTED_VALUE"""),2023)</f>
        <v>2023</v>
      </c>
      <c r="D30" s="1">
        <f ca="1">IFERROR(__xludf.DUMMYFUNCTION("""COMPUTED_VALUE"""),11600)</f>
        <v>11600</v>
      </c>
      <c r="E30" s="1" t="str">
        <f ca="1">IFERROR(__xludf.DUMMYFUNCTION("""COMPUTED_VALUE"""),"Acta Geophysica")</f>
        <v>Acta Geophysica</v>
      </c>
      <c r="F30" s="1" t="str">
        <f ca="1">IFERROR(__xludf.DUMMYFUNCTION("""COMPUTED_VALUE"""),"1895-7455")</f>
        <v>1895-7455</v>
      </c>
      <c r="G30" s="1"/>
      <c r="H30" s="27" t="str">
        <f ca="1">IFERROR(__xludf.DUMMYFUNCTION("""COMPUTED_VALUE"""),"https://link.springer.com/journal/11600")</f>
        <v>https://link.springer.com/journal/11600</v>
      </c>
      <c r="I30" s="1" t="str">
        <f ca="1">IFERROR(__xludf.DUMMYFUNCTION("""COMPUTED_VALUE"""),"Springer")</f>
        <v>Springer</v>
      </c>
      <c r="J30" s="1">
        <f ca="1">IFERROR(__xludf.DUMMYFUNCTION("""COMPUTED_VALUE"""),2006)</f>
        <v>2006</v>
      </c>
      <c r="K30" s="1" t="str">
        <f ca="1">IFERROR(__xludf.DUMMYFUNCTION("""COMPUTED_VALUE"""),"Earth and Environmental Science")</f>
        <v>Earth and Environmental Science</v>
      </c>
      <c r="L30" s="1"/>
      <c r="M30" s="1"/>
      <c r="N30" s="1" t="str">
        <f ca="1">IFERROR(__xludf.DUMMYFUNCTION("""COMPUTED_VALUE"""),"TO17")</f>
        <v>TO17</v>
      </c>
      <c r="O30" s="1"/>
      <c r="P30" s="1"/>
    </row>
    <row r="31" spans="1:16" ht="14.25" customHeight="1" x14ac:dyDescent="0.25">
      <c r="A31" s="1"/>
      <c r="B31" s="1">
        <f ca="1"/>
        <v>19</v>
      </c>
      <c r="C31" s="1">
        <f ca="1">IFERROR(__xludf.DUMMYFUNCTION("""COMPUTED_VALUE"""),2023)</f>
        <v>2023</v>
      </c>
      <c r="D31" s="1">
        <f ca="1">IFERROR(__xludf.DUMMYFUNCTION("""COMPUTED_VALUE"""),11440)</f>
        <v>11440</v>
      </c>
      <c r="E31" s="1" t="str">
        <f ca="1">IFERROR(__xludf.DUMMYFUNCTION("""COMPUTED_VALUE"""),"Acta Geotechnica")</f>
        <v>Acta Geotechnica</v>
      </c>
      <c r="F31" s="1" t="str">
        <f ca="1">IFERROR(__xludf.DUMMYFUNCTION("""COMPUTED_VALUE"""),"1861-1133")</f>
        <v>1861-1133</v>
      </c>
      <c r="G31" s="1" t="str">
        <f ca="1">IFERROR(__xludf.DUMMYFUNCTION("""COMPUTED_VALUE"""),"1861-1125")</f>
        <v>1861-1125</v>
      </c>
      <c r="H31" s="27" t="str">
        <f ca="1">IFERROR(__xludf.DUMMYFUNCTION("""COMPUTED_VALUE"""),"https://link.springer.com/journal/11440")</f>
        <v>https://link.springer.com/journal/11440</v>
      </c>
      <c r="I31" s="1" t="str">
        <f ca="1">IFERROR(__xludf.DUMMYFUNCTION("""COMPUTED_VALUE"""),"Springer")</f>
        <v>Springer</v>
      </c>
      <c r="J31" s="1">
        <f ca="1">IFERROR(__xludf.DUMMYFUNCTION("""COMPUTED_VALUE"""),2006)</f>
        <v>2006</v>
      </c>
      <c r="K31" s="1" t="str">
        <f ca="1">IFERROR(__xludf.DUMMYFUNCTION("""COMPUTED_VALUE"""),"Engineering")</f>
        <v>Engineering</v>
      </c>
      <c r="L31" s="1" t="str">
        <f ca="1">IFERROR(__xludf.DUMMYFUNCTION("""COMPUTED_VALUE"""),"〇")</f>
        <v>〇</v>
      </c>
      <c r="M31" s="1" t="str">
        <f ca="1">IFERROR(__xludf.DUMMYFUNCTION("""COMPUTED_VALUE"""),"〇")</f>
        <v>〇</v>
      </c>
      <c r="N31" s="1"/>
      <c r="O31" s="1"/>
      <c r="P31" s="1"/>
    </row>
    <row r="32" spans="1:16" ht="14.25" customHeight="1" x14ac:dyDescent="0.25">
      <c r="A32" s="1"/>
      <c r="B32" s="1">
        <f ca="1"/>
        <v>20</v>
      </c>
      <c r="C32" s="1">
        <f ca="1">IFERROR(__xludf.DUMMYFUNCTION("""COMPUTED_VALUE"""),2023)</f>
        <v>2023</v>
      </c>
      <c r="D32" s="1">
        <f ca="1">IFERROR(__xludf.DUMMYFUNCTION("""COMPUTED_VALUE"""),236)</f>
        <v>236</v>
      </c>
      <c r="E32" s="1" t="str">
        <f ca="1">IFERROR(__xludf.DUMMYFUNCTION("""COMPUTED_VALUE"""),"Acta Informatica")</f>
        <v>Acta Informatica</v>
      </c>
      <c r="F32" s="1" t="str">
        <f ca="1">IFERROR(__xludf.DUMMYFUNCTION("""COMPUTED_VALUE"""),"1432-0525")</f>
        <v>1432-0525</v>
      </c>
      <c r="G32" s="1" t="str">
        <f ca="1">IFERROR(__xludf.DUMMYFUNCTION("""COMPUTED_VALUE"""),"0001-5903")</f>
        <v>0001-5903</v>
      </c>
      <c r="H32" s="27" t="str">
        <f ca="1">IFERROR(__xludf.DUMMYFUNCTION("""COMPUTED_VALUE"""),"https://link.springer.com/journal/236")</f>
        <v>https://link.springer.com/journal/236</v>
      </c>
      <c r="I32" s="1" t="str">
        <f ca="1">IFERROR(__xludf.DUMMYFUNCTION("""COMPUTED_VALUE"""),"Springer")</f>
        <v>Springer</v>
      </c>
      <c r="J32" s="1">
        <f ca="1">IFERROR(__xludf.DUMMYFUNCTION("""COMPUTED_VALUE"""),2000)</f>
        <v>2000</v>
      </c>
      <c r="K32" s="1" t="str">
        <f ca="1">IFERROR(__xludf.DUMMYFUNCTION("""COMPUTED_VALUE"""),"Computer Science")</f>
        <v>Computer Science</v>
      </c>
      <c r="L32" s="1" t="str">
        <f ca="1">IFERROR(__xludf.DUMMYFUNCTION("""COMPUTED_VALUE"""),"〇")</f>
        <v>〇</v>
      </c>
      <c r="M32" s="1" t="str">
        <f ca="1">IFERROR(__xludf.DUMMYFUNCTION("""COMPUTED_VALUE"""),"〇")</f>
        <v>〇</v>
      </c>
      <c r="N32" s="1"/>
      <c r="O32" s="1"/>
      <c r="P32" s="1"/>
    </row>
    <row r="33" spans="1:16" ht="14.25" customHeight="1" x14ac:dyDescent="0.25">
      <c r="A33" s="1"/>
      <c r="B33" s="1">
        <f ca="1"/>
        <v>21</v>
      </c>
      <c r="C33" s="1">
        <f ca="1">IFERROR(__xludf.DUMMYFUNCTION("""COMPUTED_VALUE"""),2023)</f>
        <v>2023</v>
      </c>
      <c r="D33" s="1">
        <f ca="1">IFERROR(__xludf.DUMMYFUNCTION("""COMPUTED_VALUE"""),10474)</f>
        <v>10474</v>
      </c>
      <c r="E33" s="1" t="str">
        <f ca="1">IFERROR(__xludf.DUMMYFUNCTION("""COMPUTED_VALUE"""),"Acta Mathematica Hungarica")</f>
        <v>Acta Mathematica Hungarica</v>
      </c>
      <c r="F33" s="1" t="str">
        <f ca="1">IFERROR(__xludf.DUMMYFUNCTION("""COMPUTED_VALUE"""),"1588-2632")</f>
        <v>1588-2632</v>
      </c>
      <c r="G33" s="1" t="str">
        <f ca="1">IFERROR(__xludf.DUMMYFUNCTION("""COMPUTED_VALUE"""),"0236-5294")</f>
        <v>0236-5294</v>
      </c>
      <c r="H33" s="27" t="str">
        <f ca="1">IFERROR(__xludf.DUMMYFUNCTION("""COMPUTED_VALUE"""),"https://link.springer.com/journal/10474")</f>
        <v>https://link.springer.com/journal/10474</v>
      </c>
      <c r="I33" s="1" t="str">
        <f ca="1">IFERROR(__xludf.DUMMYFUNCTION("""COMPUTED_VALUE"""),"Akadémiai Kiadó, co-published with Springer")</f>
        <v>Akadémiai Kiadó, co-published with Springer</v>
      </c>
      <c r="J33" s="1">
        <f ca="1">IFERROR(__xludf.DUMMYFUNCTION("""COMPUTED_VALUE"""),2000)</f>
        <v>2000</v>
      </c>
      <c r="K33" s="1" t="str">
        <f ca="1">IFERROR(__xludf.DUMMYFUNCTION("""COMPUTED_VALUE"""),"Mathematics and Statistics")</f>
        <v>Mathematics and Statistics</v>
      </c>
      <c r="L33" s="1" t="str">
        <f ca="1">IFERROR(__xludf.DUMMYFUNCTION("""COMPUTED_VALUE"""),"〇")</f>
        <v>〇</v>
      </c>
      <c r="M33" s="1" t="str">
        <f ca="1">IFERROR(__xludf.DUMMYFUNCTION("""COMPUTED_VALUE"""),"〇")</f>
        <v>〇</v>
      </c>
      <c r="N33" s="1"/>
      <c r="O33" s="1"/>
      <c r="P33" s="1"/>
    </row>
    <row r="34" spans="1:16" ht="14.25" customHeight="1" x14ac:dyDescent="0.25">
      <c r="A34" s="1"/>
      <c r="B34" s="1">
        <f ca="1"/>
        <v>22</v>
      </c>
      <c r="C34" s="1">
        <f ca="1">IFERROR(__xludf.DUMMYFUNCTION("""COMPUTED_VALUE"""),2023)</f>
        <v>2023</v>
      </c>
      <c r="D34" s="1">
        <f ca="1">IFERROR(__xludf.DUMMYFUNCTION("""COMPUTED_VALUE"""),10473)</f>
        <v>10473</v>
      </c>
      <c r="E34" s="1" t="str">
        <f ca="1">IFERROR(__xludf.DUMMYFUNCTION("""COMPUTED_VALUE"""),"Acta Mathematica Scientia")</f>
        <v>Acta Mathematica Scientia</v>
      </c>
      <c r="F34" s="1" t="str">
        <f ca="1">IFERROR(__xludf.DUMMYFUNCTION("""COMPUTED_VALUE"""),"1572-9087")</f>
        <v>1572-9087</v>
      </c>
      <c r="G34" s="1" t="str">
        <f ca="1">IFERROR(__xludf.DUMMYFUNCTION("""COMPUTED_VALUE"""),"0252-9602")</f>
        <v>0252-9602</v>
      </c>
      <c r="H34" s="27" t="str">
        <f ca="1">IFERROR(__xludf.DUMMYFUNCTION("""COMPUTED_VALUE"""),"https://link.springer.com/journal/10473")</f>
        <v>https://link.springer.com/journal/10473</v>
      </c>
      <c r="I34" s="1" t="str">
        <f ca="1">IFERROR(__xludf.DUMMYFUNCTION("""COMPUTED_VALUE"""),"Springer")</f>
        <v>Springer</v>
      </c>
      <c r="J34" s="1">
        <f ca="1">IFERROR(__xludf.DUMMYFUNCTION("""COMPUTED_VALUE"""),2019)</f>
        <v>2019</v>
      </c>
      <c r="K34" s="1" t="str">
        <f ca="1">IFERROR(__xludf.DUMMYFUNCTION("""COMPUTED_VALUE"""),"Mathematics and Statistics")</f>
        <v>Mathematics and Statistics</v>
      </c>
      <c r="L34" s="1" t="str">
        <f ca="1">IFERROR(__xludf.DUMMYFUNCTION("""COMPUTED_VALUE"""),"〇")</f>
        <v>〇</v>
      </c>
      <c r="M34" s="1"/>
      <c r="N34" s="1" t="str">
        <f ca="1">IFERROR(__xludf.DUMMYFUNCTION("""COMPUTED_VALUE"""),"TO19")</f>
        <v>TO19</v>
      </c>
      <c r="O34" s="1"/>
      <c r="P34" s="1"/>
    </row>
    <row r="35" spans="1:16" ht="14.25" customHeight="1" x14ac:dyDescent="0.25">
      <c r="A35" s="1"/>
      <c r="B35" s="1">
        <f ca="1"/>
        <v>23</v>
      </c>
      <c r="C35" s="1">
        <f ca="1">IFERROR(__xludf.DUMMYFUNCTION("""COMPUTED_VALUE"""),2023)</f>
        <v>2023</v>
      </c>
      <c r="D35" s="1">
        <f ca="1">IFERROR(__xludf.DUMMYFUNCTION("""COMPUTED_VALUE"""),10114)</f>
        <v>10114</v>
      </c>
      <c r="E35" s="1" t="str">
        <f ca="1">IFERROR(__xludf.DUMMYFUNCTION("""COMPUTED_VALUE"""),"Acta Mathematica Sinica, English Series")</f>
        <v>Acta Mathematica Sinica, English Series</v>
      </c>
      <c r="F35" s="1" t="str">
        <f ca="1">IFERROR(__xludf.DUMMYFUNCTION("""COMPUTED_VALUE"""),"1439-7617")</f>
        <v>1439-7617</v>
      </c>
      <c r="G35" s="1" t="str">
        <f ca="1">IFERROR(__xludf.DUMMYFUNCTION("""COMPUTED_VALUE"""),"1439-8516")</f>
        <v>1439-8516</v>
      </c>
      <c r="H35" s="27" t="str">
        <f ca="1">IFERROR(__xludf.DUMMYFUNCTION("""COMPUTED_VALUE"""),"https://link.springer.com/journal/10114")</f>
        <v>https://link.springer.com/journal/10114</v>
      </c>
      <c r="I35" s="1" t="str">
        <f ca="1">IFERROR(__xludf.DUMMYFUNCTION("""COMPUTED_VALUE"""),"Institute of Mathematics, Chinese Academy of Sciences and Chinese Mathematical Society, co-published with Springer")</f>
        <v>Institute of Mathematics, Chinese Academy of Sciences and Chinese Mathematical Society, co-published with Springer</v>
      </c>
      <c r="J35" s="1">
        <f ca="1">IFERROR(__xludf.DUMMYFUNCTION("""COMPUTED_VALUE"""),2000)</f>
        <v>2000</v>
      </c>
      <c r="K35" s="1" t="str">
        <f ca="1">IFERROR(__xludf.DUMMYFUNCTION("""COMPUTED_VALUE"""),"Mathematics and Statistics")</f>
        <v>Mathematics and Statistics</v>
      </c>
      <c r="L35" s="1" t="str">
        <f ca="1">IFERROR(__xludf.DUMMYFUNCTION("""COMPUTED_VALUE"""),"〇")</f>
        <v>〇</v>
      </c>
      <c r="M35" s="1" t="str">
        <f ca="1">IFERROR(__xludf.DUMMYFUNCTION("""COMPUTED_VALUE"""),"〇")</f>
        <v>〇</v>
      </c>
      <c r="N35" s="1"/>
      <c r="O35" s="1"/>
      <c r="P35" s="1"/>
    </row>
    <row r="36" spans="1:16" ht="14.25" customHeight="1" x14ac:dyDescent="0.25">
      <c r="A36" s="1"/>
      <c r="B36" s="1">
        <f ca="1"/>
        <v>24</v>
      </c>
      <c r="C36" s="1">
        <f ca="1">IFERROR(__xludf.DUMMYFUNCTION("""COMPUTED_VALUE"""),2023)</f>
        <v>2023</v>
      </c>
      <c r="D36" s="1">
        <f ca="1">IFERROR(__xludf.DUMMYFUNCTION("""COMPUTED_VALUE"""),40306)</f>
        <v>40306</v>
      </c>
      <c r="E36" s="1" t="str">
        <f ca="1">IFERROR(__xludf.DUMMYFUNCTION("""COMPUTED_VALUE"""),"Acta Mathematica Vietnamica")</f>
        <v>Acta Mathematica Vietnamica</v>
      </c>
      <c r="F36" s="1" t="str">
        <f ca="1">IFERROR(__xludf.DUMMYFUNCTION("""COMPUTED_VALUE"""),"2315-4144")</f>
        <v>2315-4144</v>
      </c>
      <c r="G36" s="1" t="str">
        <f ca="1">IFERROR(__xludf.DUMMYFUNCTION("""COMPUTED_VALUE"""),"0251-4184")</f>
        <v>0251-4184</v>
      </c>
      <c r="H36" s="27" t="str">
        <f ca="1">IFERROR(__xludf.DUMMYFUNCTION("""COMPUTED_VALUE"""),"https://link.springer.com/journal/40306")</f>
        <v>https://link.springer.com/journal/40306</v>
      </c>
      <c r="I36" s="1" t="str">
        <f ca="1">IFERROR(__xludf.DUMMYFUNCTION("""COMPUTED_VALUE"""),"Springer")</f>
        <v>Springer</v>
      </c>
      <c r="J36" s="1">
        <f ca="1">IFERROR(__xludf.DUMMYFUNCTION("""COMPUTED_VALUE"""),2013)</f>
        <v>2013</v>
      </c>
      <c r="K36" s="1" t="str">
        <f ca="1">IFERROR(__xludf.DUMMYFUNCTION("""COMPUTED_VALUE"""),"Mathematics and Statistics")</f>
        <v>Mathematics and Statistics</v>
      </c>
      <c r="L36" s="1" t="str">
        <f ca="1">IFERROR(__xludf.DUMMYFUNCTION("""COMPUTED_VALUE"""),"〇")</f>
        <v>〇</v>
      </c>
      <c r="M36" s="1"/>
      <c r="N36" s="1" t="str">
        <f ca="1">IFERROR(__xludf.DUMMYFUNCTION("""COMPUTED_VALUE"""),"TO13")</f>
        <v>TO13</v>
      </c>
      <c r="O36" s="1"/>
      <c r="P36" s="1"/>
    </row>
    <row r="37" spans="1:16" ht="14.25" customHeight="1" x14ac:dyDescent="0.25">
      <c r="A37" s="1"/>
      <c r="B37" s="1">
        <f ca="1"/>
        <v>25</v>
      </c>
      <c r="C37" s="1">
        <f ca="1">IFERROR(__xludf.DUMMYFUNCTION("""COMPUTED_VALUE"""),2023)</f>
        <v>2023</v>
      </c>
      <c r="D37" s="1">
        <f ca="1">IFERROR(__xludf.DUMMYFUNCTION("""COMPUTED_VALUE"""),10255)</f>
        <v>10255</v>
      </c>
      <c r="E37" s="1" t="str">
        <f ca="1">IFERROR(__xludf.DUMMYFUNCTION("""COMPUTED_VALUE"""),"Acta Mathematicae Applicatae Sinica, English Series")</f>
        <v>Acta Mathematicae Applicatae Sinica, English Series</v>
      </c>
      <c r="F37" s="1" t="str">
        <f ca="1">IFERROR(__xludf.DUMMYFUNCTION("""COMPUTED_VALUE"""),"1618-3932")</f>
        <v>1618-3932</v>
      </c>
      <c r="G37" s="1" t="str">
        <f ca="1">IFERROR(__xludf.DUMMYFUNCTION("""COMPUTED_VALUE"""),"0168-9673")</f>
        <v>0168-9673</v>
      </c>
      <c r="H37" s="27" t="str">
        <f ca="1">IFERROR(__xludf.DUMMYFUNCTION("""COMPUTED_VALUE"""),"https://link.springer.com/journal/10255")</f>
        <v>https://link.springer.com/journal/10255</v>
      </c>
      <c r="I37" s="1" t="str">
        <f ca="1">IFERROR(__xludf.DUMMYFUNCTION("""COMPUTED_VALUE"""),"Institute of Applied Mathematics, Chinese Academy of Sciences and Chinese Mathematical Society, co-published with Springer")</f>
        <v>Institute of Applied Mathematics, Chinese Academy of Sciences and Chinese Mathematical Society, co-published with Springer</v>
      </c>
      <c r="J37" s="1">
        <f ca="1">IFERROR(__xludf.DUMMYFUNCTION("""COMPUTED_VALUE"""),2000)</f>
        <v>2000</v>
      </c>
      <c r="K37" s="1" t="str">
        <f ca="1">IFERROR(__xludf.DUMMYFUNCTION("""COMPUTED_VALUE"""),"Mathematics and Statistics")</f>
        <v>Mathematics and Statistics</v>
      </c>
      <c r="L37" s="1" t="str">
        <f ca="1">IFERROR(__xludf.DUMMYFUNCTION("""COMPUTED_VALUE"""),"〇")</f>
        <v>〇</v>
      </c>
      <c r="M37" s="1" t="str">
        <f ca="1">IFERROR(__xludf.DUMMYFUNCTION("""COMPUTED_VALUE"""),"〇")</f>
        <v>〇</v>
      </c>
      <c r="N37" s="1"/>
      <c r="O37" s="1"/>
      <c r="P37" s="1"/>
    </row>
    <row r="38" spans="1:16" ht="14.25" customHeight="1" x14ac:dyDescent="0.25">
      <c r="A38" s="1"/>
      <c r="B38" s="1">
        <f ca="1"/>
        <v>26</v>
      </c>
      <c r="C38" s="1">
        <f ca="1">IFERROR(__xludf.DUMMYFUNCTION("""COMPUTED_VALUE"""),2023)</f>
        <v>2023</v>
      </c>
      <c r="D38" s="1">
        <f ca="1">IFERROR(__xludf.DUMMYFUNCTION("""COMPUTED_VALUE"""),707)</f>
        <v>707</v>
      </c>
      <c r="E38" s="1" t="str">
        <f ca="1">IFERROR(__xludf.DUMMYFUNCTION("""COMPUTED_VALUE"""),"Acta Mechanica")</f>
        <v>Acta Mechanica</v>
      </c>
      <c r="F38" s="1" t="str">
        <f ca="1">IFERROR(__xludf.DUMMYFUNCTION("""COMPUTED_VALUE"""),"1619-6937")</f>
        <v>1619-6937</v>
      </c>
      <c r="G38" s="1" t="str">
        <f ca="1">IFERROR(__xludf.DUMMYFUNCTION("""COMPUTED_VALUE"""),"0001-5970")</f>
        <v>0001-5970</v>
      </c>
      <c r="H38" s="27" t="str">
        <f ca="1">IFERROR(__xludf.DUMMYFUNCTION("""COMPUTED_VALUE"""),"https://link.springer.com/journal/707")</f>
        <v>https://link.springer.com/journal/707</v>
      </c>
      <c r="I38" s="1" t="str">
        <f ca="1">IFERROR(__xludf.DUMMYFUNCTION("""COMPUTED_VALUE"""),"Springer")</f>
        <v>Springer</v>
      </c>
      <c r="J38" s="1">
        <f ca="1">IFERROR(__xludf.DUMMYFUNCTION("""COMPUTED_VALUE"""),2000)</f>
        <v>2000</v>
      </c>
      <c r="K38" s="1" t="str">
        <f ca="1">IFERROR(__xludf.DUMMYFUNCTION("""COMPUTED_VALUE"""),"Engineering")</f>
        <v>Engineering</v>
      </c>
      <c r="L38" s="1" t="str">
        <f ca="1">IFERROR(__xludf.DUMMYFUNCTION("""COMPUTED_VALUE"""),"〇")</f>
        <v>〇</v>
      </c>
      <c r="M38" s="1" t="str">
        <f ca="1">IFERROR(__xludf.DUMMYFUNCTION("""COMPUTED_VALUE"""),"〇")</f>
        <v>〇</v>
      </c>
      <c r="N38" s="1"/>
      <c r="O38" s="1"/>
      <c r="P38" s="1"/>
    </row>
    <row r="39" spans="1:16" ht="14.25" customHeight="1" x14ac:dyDescent="0.25">
      <c r="A39" s="1"/>
      <c r="B39" s="1">
        <f ca="1"/>
        <v>27</v>
      </c>
      <c r="C39" s="1">
        <f ca="1">IFERROR(__xludf.DUMMYFUNCTION("""COMPUTED_VALUE"""),2023)</f>
        <v>2023</v>
      </c>
      <c r="D39" s="1">
        <f ca="1">IFERROR(__xludf.DUMMYFUNCTION("""COMPUTED_VALUE"""),10409)</f>
        <v>10409</v>
      </c>
      <c r="E39" s="1" t="str">
        <f ca="1">IFERROR(__xludf.DUMMYFUNCTION("""COMPUTED_VALUE"""),"Acta Mechanica Sinica")</f>
        <v>Acta Mechanica Sinica</v>
      </c>
      <c r="F39" s="1" t="str">
        <f ca="1">IFERROR(__xludf.DUMMYFUNCTION("""COMPUTED_VALUE"""),"1614-3116")</f>
        <v>1614-3116</v>
      </c>
      <c r="G39" s="1" t="str">
        <f ca="1">IFERROR(__xludf.DUMMYFUNCTION("""COMPUTED_VALUE"""),"0567-7718")</f>
        <v>0567-7718</v>
      </c>
      <c r="H39" s="27" t="str">
        <f ca="1">IFERROR(__xludf.DUMMYFUNCTION("""COMPUTED_VALUE"""),"https://link.springer.com/journal/10409")</f>
        <v>https://link.springer.com/journal/10409</v>
      </c>
      <c r="I39" s="1" t="str">
        <f ca="1">IFERROR(__xludf.DUMMYFUNCTION("""COMPUTED_VALUE"""),"The Chinese Society of Theoretical and Applied Mechanics; Institute of Mechanics, Chinese Academy of Sciences, co-published with Springer")</f>
        <v>The Chinese Society of Theoretical and Applied Mechanics; Institute of Mechanics, Chinese Academy of Sciences, co-published with Springer</v>
      </c>
      <c r="J39" s="1">
        <f ca="1">IFERROR(__xludf.DUMMYFUNCTION("""COMPUTED_VALUE"""),2000)</f>
        <v>2000</v>
      </c>
      <c r="K39" s="1" t="str">
        <f ca="1">IFERROR(__xludf.DUMMYFUNCTION("""COMPUTED_VALUE"""),"Engineering")</f>
        <v>Engineering</v>
      </c>
      <c r="L39" s="1" t="str">
        <f ca="1">IFERROR(__xludf.DUMMYFUNCTION("""COMPUTED_VALUE"""),"〇")</f>
        <v>〇</v>
      </c>
      <c r="M39" s="1" t="str">
        <f ca="1">IFERROR(__xludf.DUMMYFUNCTION("""COMPUTED_VALUE"""),"〇")</f>
        <v>〇</v>
      </c>
      <c r="N39" s="1"/>
      <c r="O39" s="1"/>
      <c r="P39" s="1"/>
    </row>
    <row r="40" spans="1:16" ht="14.25" customHeight="1" x14ac:dyDescent="0.25">
      <c r="A40" s="1"/>
      <c r="B40" s="1">
        <f ca="1"/>
        <v>28</v>
      </c>
      <c r="C40" s="1">
        <f ca="1">IFERROR(__xludf.DUMMYFUNCTION("""COMPUTED_VALUE"""),2023)</f>
        <v>2023</v>
      </c>
      <c r="D40" s="1">
        <f ca="1">IFERROR(__xludf.DUMMYFUNCTION("""COMPUTED_VALUE"""),10338)</f>
        <v>10338</v>
      </c>
      <c r="E40" s="1" t="str">
        <f ca="1">IFERROR(__xludf.DUMMYFUNCTION("""COMPUTED_VALUE"""),"Acta Mechanica Solida Sinica")</f>
        <v>Acta Mechanica Solida Sinica</v>
      </c>
      <c r="F40" s="1" t="str">
        <f ca="1">IFERROR(__xludf.DUMMYFUNCTION("""COMPUTED_VALUE"""),"1860-2134")</f>
        <v>1860-2134</v>
      </c>
      <c r="G40" s="1" t="str">
        <f ca="1">IFERROR(__xludf.DUMMYFUNCTION("""COMPUTED_VALUE"""),"0894-9166")</f>
        <v>0894-9166</v>
      </c>
      <c r="H40" s="27" t="str">
        <f ca="1">IFERROR(__xludf.DUMMYFUNCTION("""COMPUTED_VALUE"""),"https://link.springer.com/journal/10338")</f>
        <v>https://link.springer.com/journal/10338</v>
      </c>
      <c r="I40" s="1" t="str">
        <f ca="1">IFERROR(__xludf.DUMMYFUNCTION("""COMPUTED_VALUE"""),"Springer")</f>
        <v>Springer</v>
      </c>
      <c r="J40" s="1">
        <f ca="1">IFERROR(__xludf.DUMMYFUNCTION("""COMPUTED_VALUE"""),2006)</f>
        <v>2006</v>
      </c>
      <c r="K40" s="1" t="str">
        <f ca="1">IFERROR(__xludf.DUMMYFUNCTION("""COMPUTED_VALUE"""),"Engineering")</f>
        <v>Engineering</v>
      </c>
      <c r="L40" s="1" t="str">
        <f ca="1">IFERROR(__xludf.DUMMYFUNCTION("""COMPUTED_VALUE"""),"〇")</f>
        <v>〇</v>
      </c>
      <c r="M40" s="1"/>
      <c r="N40" s="1" t="str">
        <f ca="1">IFERROR(__xludf.DUMMYFUNCTION("""COMPUTED_VALUE"""),"TO18")</f>
        <v>TO18</v>
      </c>
      <c r="O40" s="1"/>
      <c r="P40" s="1"/>
    </row>
    <row r="41" spans="1:16" ht="14.25" customHeight="1" x14ac:dyDescent="0.25">
      <c r="A41" s="1"/>
      <c r="B41" s="1">
        <f ca="1"/>
        <v>29</v>
      </c>
      <c r="C41" s="1">
        <f ca="1">IFERROR(__xludf.DUMMYFUNCTION("""COMPUTED_VALUE"""),2023)</f>
        <v>2023</v>
      </c>
      <c r="D41" s="1">
        <f ca="1">IFERROR(__xludf.DUMMYFUNCTION("""COMPUTED_VALUE"""),40195)</f>
        <v>40195</v>
      </c>
      <c r="E41" s="1" t="str">
        <f ca="1">IFERROR(__xludf.DUMMYFUNCTION("""COMPUTED_VALUE"""),"Acta Metallurgica Sinica (English Letters)")</f>
        <v>Acta Metallurgica Sinica (English Letters)</v>
      </c>
      <c r="F41" s="1" t="str">
        <f ca="1">IFERROR(__xludf.DUMMYFUNCTION("""COMPUTED_VALUE"""),"2194-1289")</f>
        <v>2194-1289</v>
      </c>
      <c r="G41" s="1" t="str">
        <f ca="1">IFERROR(__xludf.DUMMYFUNCTION("""COMPUTED_VALUE"""),"1006-7191")</f>
        <v>1006-7191</v>
      </c>
      <c r="H41" s="27" t="str">
        <f ca="1">IFERROR(__xludf.DUMMYFUNCTION("""COMPUTED_VALUE"""),"https://link.springer.com/journal/40195")</f>
        <v>https://link.springer.com/journal/40195</v>
      </c>
      <c r="I41" s="1" t="str">
        <f ca="1">IFERROR(__xludf.DUMMYFUNCTION("""COMPUTED_VALUE"""),"The Chinese Society for Metals, co-published with Springer")</f>
        <v>The Chinese Society for Metals, co-published with Springer</v>
      </c>
      <c r="J41" s="1">
        <f ca="1">IFERROR(__xludf.DUMMYFUNCTION("""COMPUTED_VALUE"""),2013)</f>
        <v>2013</v>
      </c>
      <c r="K41" s="1" t="str">
        <f ca="1">IFERROR(__xludf.DUMMYFUNCTION("""COMPUTED_VALUE"""),"Chemistry and Materials Science")</f>
        <v>Chemistry and Materials Science</v>
      </c>
      <c r="L41" s="1" t="str">
        <f ca="1">IFERROR(__xludf.DUMMYFUNCTION("""COMPUTED_VALUE"""),"〇")</f>
        <v>〇</v>
      </c>
      <c r="M41" s="1"/>
      <c r="N41" s="1" t="str">
        <f ca="1">IFERROR(__xludf.DUMMYFUNCTION("""COMPUTED_VALUE"""),"TO13")</f>
        <v>TO13</v>
      </c>
      <c r="O41" s="1"/>
      <c r="P41" s="1"/>
    </row>
    <row r="42" spans="1:16" ht="14.25" customHeight="1" x14ac:dyDescent="0.25">
      <c r="A42" s="1"/>
      <c r="B42" s="1">
        <f ca="1"/>
        <v>30</v>
      </c>
      <c r="C42" s="1">
        <f ca="1">IFERROR(__xludf.DUMMYFUNCTION("""COMPUTED_VALUE"""),2023)</f>
        <v>2023</v>
      </c>
      <c r="D42" s="1">
        <f ca="1">IFERROR(__xludf.DUMMYFUNCTION("""COMPUTED_VALUE"""),701)</f>
        <v>701</v>
      </c>
      <c r="E42" s="1" t="str">
        <f ca="1">IFERROR(__xludf.DUMMYFUNCTION("""COMPUTED_VALUE"""),"Acta Neurochirurgica")</f>
        <v>Acta Neurochirurgica</v>
      </c>
      <c r="F42" s="1" t="str">
        <f ca="1">IFERROR(__xludf.DUMMYFUNCTION("""COMPUTED_VALUE"""),"0942-0940")</f>
        <v>0942-0940</v>
      </c>
      <c r="G42" s="1"/>
      <c r="H42" s="27" t="str">
        <f ca="1">IFERROR(__xludf.DUMMYFUNCTION("""COMPUTED_VALUE"""),"https://link.springer.com/journal/701")</f>
        <v>https://link.springer.com/journal/701</v>
      </c>
      <c r="I42" s="1" t="str">
        <f ca="1">IFERROR(__xludf.DUMMYFUNCTION("""COMPUTED_VALUE"""),"Springer")</f>
        <v>Springer</v>
      </c>
      <c r="J42" s="1">
        <f ca="1">IFERROR(__xludf.DUMMYFUNCTION("""COMPUTED_VALUE"""),2000)</f>
        <v>2000</v>
      </c>
      <c r="K42" s="1" t="str">
        <f ca="1">IFERROR(__xludf.DUMMYFUNCTION("""COMPUTED_VALUE"""),"Medicine")</f>
        <v>Medicine</v>
      </c>
      <c r="L42" s="1"/>
      <c r="M42" s="1" t="str">
        <f ca="1">IFERROR(__xludf.DUMMYFUNCTION("""COMPUTED_VALUE"""),"〇")</f>
        <v>〇</v>
      </c>
      <c r="N42" s="1"/>
      <c r="O42" s="1"/>
      <c r="P42" s="1"/>
    </row>
    <row r="43" spans="1:16" ht="14.25" customHeight="1" x14ac:dyDescent="0.25">
      <c r="A43" s="1"/>
      <c r="B43" s="1">
        <f ca="1"/>
        <v>31</v>
      </c>
      <c r="C43" s="1">
        <f ca="1">IFERROR(__xludf.DUMMYFUNCTION("""COMPUTED_VALUE"""),2023)</f>
        <v>2023</v>
      </c>
      <c r="D43" s="1">
        <f ca="1">IFERROR(__xludf.DUMMYFUNCTION("""COMPUTED_VALUE"""),13760)</f>
        <v>13760</v>
      </c>
      <c r="E43" s="1" t="str">
        <f ca="1">IFERROR(__xludf.DUMMYFUNCTION("""COMPUTED_VALUE"""),"Acta Neurologica Belgica")</f>
        <v>Acta Neurologica Belgica</v>
      </c>
      <c r="F43" s="1" t="str">
        <f ca="1">IFERROR(__xludf.DUMMYFUNCTION("""COMPUTED_VALUE"""),"2240-2993")</f>
        <v>2240-2993</v>
      </c>
      <c r="G43" s="1"/>
      <c r="H43" s="27" t="str">
        <f ca="1">IFERROR(__xludf.DUMMYFUNCTION("""COMPUTED_VALUE"""),"https://link.springer.com/journal/13760")</f>
        <v>https://link.springer.com/journal/13760</v>
      </c>
      <c r="I43" s="1" t="str">
        <f ca="1">IFERROR(__xludf.DUMMYFUNCTION("""COMPUTED_VALUE"""),"Springer")</f>
        <v>Springer</v>
      </c>
      <c r="J43" s="1">
        <f ca="1">IFERROR(__xludf.DUMMYFUNCTION("""COMPUTED_VALUE"""),2012)</f>
        <v>2012</v>
      </c>
      <c r="K43" s="1" t="str">
        <f ca="1">IFERROR(__xludf.DUMMYFUNCTION("""COMPUTED_VALUE"""),"Biomedical and Life Sciences")</f>
        <v>Biomedical and Life Sciences</v>
      </c>
      <c r="L43" s="1"/>
      <c r="M43" s="1"/>
      <c r="N43" s="1" t="str">
        <f ca="1">IFERROR(__xludf.DUMMYFUNCTION("""COMPUTED_VALUE"""),"TO12")</f>
        <v>TO12</v>
      </c>
      <c r="O43" s="1"/>
      <c r="P43" s="1"/>
    </row>
    <row r="44" spans="1:16" ht="14.25" customHeight="1" x14ac:dyDescent="0.25">
      <c r="A44" s="1"/>
      <c r="B44" s="1">
        <f ca="1"/>
        <v>32</v>
      </c>
      <c r="C44" s="1">
        <f ca="1">IFERROR(__xludf.DUMMYFUNCTION("""COMPUTED_VALUE"""),2023)</f>
        <v>2023</v>
      </c>
      <c r="D44" s="1">
        <f ca="1">IFERROR(__xludf.DUMMYFUNCTION("""COMPUTED_VALUE"""),401)</f>
        <v>401</v>
      </c>
      <c r="E44" s="1" t="str">
        <f ca="1">IFERROR(__xludf.DUMMYFUNCTION("""COMPUTED_VALUE"""),"Acta Neuropathologica")</f>
        <v>Acta Neuropathologica</v>
      </c>
      <c r="F44" s="1" t="str">
        <f ca="1">IFERROR(__xludf.DUMMYFUNCTION("""COMPUTED_VALUE"""),"1432-0533")</f>
        <v>1432-0533</v>
      </c>
      <c r="G44" s="1" t="str">
        <f ca="1">IFERROR(__xludf.DUMMYFUNCTION("""COMPUTED_VALUE"""),"0001-6322")</f>
        <v>0001-6322</v>
      </c>
      <c r="H44" s="27" t="str">
        <f ca="1">IFERROR(__xludf.DUMMYFUNCTION("""COMPUTED_VALUE"""),"https://link.springer.com/journal/401")</f>
        <v>https://link.springer.com/journal/401</v>
      </c>
      <c r="I44" s="1" t="str">
        <f ca="1">IFERROR(__xludf.DUMMYFUNCTION("""COMPUTED_VALUE"""),"Springer")</f>
        <v>Springer</v>
      </c>
      <c r="J44" s="1">
        <f ca="1">IFERROR(__xludf.DUMMYFUNCTION("""COMPUTED_VALUE"""),2000)</f>
        <v>2000</v>
      </c>
      <c r="K44" s="1" t="str">
        <f ca="1">IFERROR(__xludf.DUMMYFUNCTION("""COMPUTED_VALUE"""),"Medicine")</f>
        <v>Medicine</v>
      </c>
      <c r="L44" s="1" t="str">
        <f ca="1">IFERROR(__xludf.DUMMYFUNCTION("""COMPUTED_VALUE"""),"〇")</f>
        <v>〇</v>
      </c>
      <c r="M44" s="1" t="str">
        <f ca="1">IFERROR(__xludf.DUMMYFUNCTION("""COMPUTED_VALUE"""),"〇")</f>
        <v>〇</v>
      </c>
      <c r="N44" s="1"/>
      <c r="O44" s="1"/>
      <c r="P44" s="1"/>
    </row>
    <row r="45" spans="1:16" ht="14.25" customHeight="1" x14ac:dyDescent="0.25">
      <c r="A45" s="1"/>
      <c r="B45" s="1">
        <f ca="1"/>
        <v>33</v>
      </c>
      <c r="C45" s="1">
        <f ca="1">IFERROR(__xludf.DUMMYFUNCTION("""COMPUTED_VALUE"""),2023)</f>
        <v>2023</v>
      </c>
      <c r="D45" s="1">
        <f ca="1">IFERROR(__xludf.DUMMYFUNCTION("""COMPUTED_VALUE"""),13131)</f>
        <v>13131</v>
      </c>
      <c r="E45" s="1" t="str">
        <f ca="1">IFERROR(__xludf.DUMMYFUNCTION("""COMPUTED_VALUE"""),"Acta Oceanologica Sinica")</f>
        <v>Acta Oceanologica Sinica</v>
      </c>
      <c r="F45" s="1" t="str">
        <f ca="1">IFERROR(__xludf.DUMMYFUNCTION("""COMPUTED_VALUE"""),"1869-1099")</f>
        <v>1869-1099</v>
      </c>
      <c r="G45" s="1" t="str">
        <f ca="1">IFERROR(__xludf.DUMMYFUNCTION("""COMPUTED_VALUE"""),"0253-505X")</f>
        <v>0253-505X</v>
      </c>
      <c r="H45" s="27" t="str">
        <f ca="1">IFERROR(__xludf.DUMMYFUNCTION("""COMPUTED_VALUE"""),"https://link.springer.com/journal/13131")</f>
        <v>https://link.springer.com/journal/13131</v>
      </c>
      <c r="I45" s="1" t="str">
        <f ca="1">IFERROR(__xludf.DUMMYFUNCTION("""COMPUTED_VALUE"""),"The Chinese Society of Oceanography, co-published with Springer")</f>
        <v>The Chinese Society of Oceanography, co-published with Springer</v>
      </c>
      <c r="J45" s="1">
        <f ca="1">IFERROR(__xludf.DUMMYFUNCTION("""COMPUTED_VALUE"""),2010)</f>
        <v>2010</v>
      </c>
      <c r="K45" s="1" t="str">
        <f ca="1">IFERROR(__xludf.DUMMYFUNCTION("""COMPUTED_VALUE"""),"Earth and Environmental Science")</f>
        <v>Earth and Environmental Science</v>
      </c>
      <c r="L45" s="1" t="str">
        <f ca="1">IFERROR(__xludf.DUMMYFUNCTION("""COMPUTED_VALUE"""),"〇")</f>
        <v>〇</v>
      </c>
      <c r="M45" s="1"/>
      <c r="N45" s="1" t="str">
        <f ca="1">IFERROR(__xludf.DUMMYFUNCTION("""COMPUTED_VALUE"""),"TO10")</f>
        <v>TO10</v>
      </c>
      <c r="O45" s="1"/>
      <c r="P45" s="1"/>
    </row>
    <row r="46" spans="1:16" ht="14.25" customHeight="1" x14ac:dyDescent="0.25">
      <c r="A46" s="1"/>
      <c r="B46" s="1">
        <f ca="1"/>
        <v>34</v>
      </c>
      <c r="C46" s="1">
        <f ca="1">IFERROR(__xludf.DUMMYFUNCTION("""COMPUTED_VALUE"""),2023)</f>
        <v>2023</v>
      </c>
      <c r="D46" s="1">
        <f ca="1">IFERROR(__xludf.DUMMYFUNCTION("""COMPUTED_VALUE"""),11686)</f>
        <v>11686</v>
      </c>
      <c r="E46" s="1" t="str">
        <f ca="1">IFERROR(__xludf.DUMMYFUNCTION("""COMPUTED_VALUE"""),"Acta Parasitologica")</f>
        <v>Acta Parasitologica</v>
      </c>
      <c r="F46" s="1" t="str">
        <f ca="1">IFERROR(__xludf.DUMMYFUNCTION("""COMPUTED_VALUE"""),"1896-1851")</f>
        <v>1896-1851</v>
      </c>
      <c r="G46" s="1" t="str">
        <f ca="1">IFERROR(__xludf.DUMMYFUNCTION("""COMPUTED_VALUE"""),"1230-2821")</f>
        <v>1230-2821</v>
      </c>
      <c r="H46" s="27" t="str">
        <f ca="1">IFERROR(__xludf.DUMMYFUNCTION("""COMPUTED_VALUE"""),"https://link.springer.com/journal/11686")</f>
        <v>https://link.springer.com/journal/11686</v>
      </c>
      <c r="I46" s="1" t="str">
        <f ca="1">IFERROR(__xludf.DUMMYFUNCTION("""COMPUTED_VALUE"""),"Springer")</f>
        <v>Springer</v>
      </c>
      <c r="J46" s="1">
        <f ca="1">IFERROR(__xludf.DUMMYFUNCTION("""COMPUTED_VALUE"""),2006)</f>
        <v>2006</v>
      </c>
      <c r="K46" s="1" t="str">
        <f ca="1">IFERROR(__xludf.DUMMYFUNCTION("""COMPUTED_VALUE"""),"Biomedical and Life Sciences")</f>
        <v>Biomedical and Life Sciences</v>
      </c>
      <c r="L46" s="1" t="str">
        <f ca="1">IFERROR(__xludf.DUMMYFUNCTION("""COMPUTED_VALUE"""),"〇")</f>
        <v>〇</v>
      </c>
      <c r="M46" s="1"/>
      <c r="N46" s="1" t="str">
        <f ca="1">IFERROR(__xludf.DUMMYFUNCTION("""COMPUTED_VALUE"""),"TO19")</f>
        <v>TO19</v>
      </c>
      <c r="O46" s="1"/>
      <c r="P46" s="1"/>
    </row>
    <row r="47" spans="1:16" ht="14.25" customHeight="1" x14ac:dyDescent="0.25">
      <c r="A47" s="1"/>
      <c r="B47" s="1">
        <f ca="1"/>
        <v>35</v>
      </c>
      <c r="C47" s="1">
        <f ca="1">IFERROR(__xludf.DUMMYFUNCTION("""COMPUTED_VALUE"""),2023)</f>
        <v>2023</v>
      </c>
      <c r="D47" s="1">
        <f ca="1">IFERROR(__xludf.DUMMYFUNCTION("""COMPUTED_VALUE"""),11738)</f>
        <v>11738</v>
      </c>
      <c r="E47" s="1" t="str">
        <f ca="1">IFERROR(__xludf.DUMMYFUNCTION("""COMPUTED_VALUE"""),"Acta Physiologiae Plantarum")</f>
        <v>Acta Physiologiae Plantarum</v>
      </c>
      <c r="F47" s="1" t="str">
        <f ca="1">IFERROR(__xludf.DUMMYFUNCTION("""COMPUTED_VALUE"""),"1861-1664")</f>
        <v>1861-1664</v>
      </c>
      <c r="G47" s="1"/>
      <c r="H47" s="27" t="str">
        <f ca="1">IFERROR(__xludf.DUMMYFUNCTION("""COMPUTED_VALUE"""),"https://link.springer.com/journal/11738")</f>
        <v>https://link.springer.com/journal/11738</v>
      </c>
      <c r="I47" s="1" t="str">
        <f ca="1">IFERROR(__xludf.DUMMYFUNCTION("""COMPUTED_VALUE"""),"Springer")</f>
        <v>Springer</v>
      </c>
      <c r="J47" s="1">
        <f ca="1">IFERROR(__xludf.DUMMYFUNCTION("""COMPUTED_VALUE"""),2000)</f>
        <v>2000</v>
      </c>
      <c r="K47" s="1" t="str">
        <f ca="1">IFERROR(__xludf.DUMMYFUNCTION("""COMPUTED_VALUE"""),"Biomedical and Life Sciences")</f>
        <v>Biomedical and Life Sciences</v>
      </c>
      <c r="L47" s="1"/>
      <c r="M47" s="1" t="str">
        <f ca="1">IFERROR(__xludf.DUMMYFUNCTION("""COMPUTED_VALUE"""),"〇")</f>
        <v>〇</v>
      </c>
      <c r="N47" s="1" t="str">
        <f ca="1">IFERROR(__xludf.DUMMYFUNCTION("""COMPUTED_VALUE"""),"TO7")</f>
        <v>TO7</v>
      </c>
      <c r="O47" s="1"/>
      <c r="P47" s="1"/>
    </row>
    <row r="48" spans="1:16" ht="14.25" customHeight="1" x14ac:dyDescent="0.25">
      <c r="A48" s="1"/>
      <c r="B48" s="1">
        <f ca="1"/>
        <v>36</v>
      </c>
      <c r="C48" s="1">
        <f ca="1">IFERROR(__xludf.DUMMYFUNCTION("""COMPUTED_VALUE"""),2023)</f>
        <v>2023</v>
      </c>
      <c r="D48" s="1">
        <f ca="1">IFERROR(__xludf.DUMMYFUNCTION("""COMPUTED_VALUE"""),40750)</f>
        <v>40750</v>
      </c>
      <c r="E48" s="1" t="str">
        <f ca="1">IFERROR(__xludf.DUMMYFUNCTION("""COMPUTED_VALUE"""),"Adaptive Human Behavior and Physiology")</f>
        <v>Adaptive Human Behavior and Physiology</v>
      </c>
      <c r="F48" s="1" t="str">
        <f ca="1">IFERROR(__xludf.DUMMYFUNCTION("""COMPUTED_VALUE"""),"2198-7335")</f>
        <v>2198-7335</v>
      </c>
      <c r="G48" s="1"/>
      <c r="H48" s="27" t="str">
        <f ca="1">IFERROR(__xludf.DUMMYFUNCTION("""COMPUTED_VALUE"""),"https://link.springer.com/journal/40750")</f>
        <v>https://link.springer.com/journal/40750</v>
      </c>
      <c r="I48" s="1" t="str">
        <f ca="1">IFERROR(__xludf.DUMMYFUNCTION("""COMPUTED_VALUE"""),"Springer")</f>
        <v>Springer</v>
      </c>
      <c r="J48" s="1">
        <f ca="1">IFERROR(__xludf.DUMMYFUNCTION("""COMPUTED_VALUE"""),2015)</f>
        <v>2015</v>
      </c>
      <c r="K48" s="1" t="str">
        <f ca="1">IFERROR(__xludf.DUMMYFUNCTION("""COMPUTED_VALUE"""),"Social Sciences")</f>
        <v>Social Sciences</v>
      </c>
      <c r="L48" s="1"/>
      <c r="M48" s="1"/>
      <c r="N48" s="1" t="str">
        <f ca="1">IFERROR(__xludf.DUMMYFUNCTION("""COMPUTED_VALUE"""),"SNS15")</f>
        <v>SNS15</v>
      </c>
      <c r="O48" s="1"/>
      <c r="P48" s="1"/>
    </row>
    <row r="49" spans="1:16" ht="14.25" customHeight="1" x14ac:dyDescent="0.25">
      <c r="A49" s="1"/>
      <c r="B49" s="1">
        <f ca="1"/>
        <v>37</v>
      </c>
      <c r="C49" s="1">
        <f ca="1">IFERROR(__xludf.DUMMYFUNCTION("""COMPUTED_VALUE"""),2023)</f>
        <v>2023</v>
      </c>
      <c r="D49" s="1">
        <f ca="1">IFERROR(__xludf.DUMMYFUNCTION("""COMPUTED_VALUE"""),35145)</f>
        <v>35145</v>
      </c>
      <c r="E49" s="1" t="str">
        <f ca="1">IFERROR(__xludf.DUMMYFUNCTION("""COMPUTED_VALUE"""),"adhäsion KLEBEN &amp; DICHTEN")</f>
        <v>adhäsion KLEBEN &amp; DICHTEN</v>
      </c>
      <c r="F49" s="1" t="str">
        <f ca="1">IFERROR(__xludf.DUMMYFUNCTION("""COMPUTED_VALUE"""),"2192-8681")</f>
        <v>2192-8681</v>
      </c>
      <c r="G49" s="1" t="str">
        <f ca="1">IFERROR(__xludf.DUMMYFUNCTION("""COMPUTED_VALUE"""),"1619-1919")</f>
        <v>1619-1919</v>
      </c>
      <c r="H49" s="27" t="str">
        <f ca="1">IFERROR(__xludf.DUMMYFUNCTION("""COMPUTED_VALUE"""),"https://link.springer.com/journal/35145")</f>
        <v>https://link.springer.com/journal/35145</v>
      </c>
      <c r="I49" s="1" t="str">
        <f ca="1">IFERROR(__xludf.DUMMYFUNCTION("""COMPUTED_VALUE"""),"Springer Vieweg")</f>
        <v>Springer Vieweg</v>
      </c>
      <c r="J49" s="1">
        <f ca="1">IFERROR(__xludf.DUMMYFUNCTION("""COMPUTED_VALUE"""),2003)</f>
        <v>2003</v>
      </c>
      <c r="K49" s="1" t="str">
        <f ca="1">IFERROR(__xludf.DUMMYFUNCTION("""COMPUTED_VALUE"""),"Chemistry and Materials Science")</f>
        <v>Chemistry and Materials Science</v>
      </c>
      <c r="L49" s="1" t="str">
        <f ca="1">IFERROR(__xludf.DUMMYFUNCTION("""COMPUTED_VALUE"""),"〇")</f>
        <v>〇</v>
      </c>
      <c r="M49" s="1"/>
      <c r="N49" s="1"/>
      <c r="O49" s="1"/>
      <c r="P49" s="1"/>
    </row>
    <row r="50" spans="1:16" ht="14.25" customHeight="1" x14ac:dyDescent="0.25">
      <c r="A50" s="1"/>
      <c r="B50" s="1">
        <f ca="1"/>
        <v>38</v>
      </c>
      <c r="C50" s="1">
        <f ca="1">IFERROR(__xludf.DUMMYFUNCTION("""COMPUTED_VALUE"""),2023)</f>
        <v>2023</v>
      </c>
      <c r="D50" s="1">
        <f ca="1">IFERROR(__xludf.DUMMYFUNCTION("""COMPUTED_VALUE"""),35784)</f>
        <v>35784</v>
      </c>
      <c r="E50" s="1" t="str">
        <f ca="1">IFERROR(__xludf.DUMMYFUNCTION("""COMPUTED_VALUE"""),"adhesion ADHESIVES + SEALANTS")</f>
        <v>adhesion ADHESIVES + SEALANTS</v>
      </c>
      <c r="F50" s="1" t="str">
        <f ca="1">IFERROR(__xludf.DUMMYFUNCTION("""COMPUTED_VALUE"""),"2195-6545")</f>
        <v>2195-6545</v>
      </c>
      <c r="G50" s="1" t="str">
        <f ca="1">IFERROR(__xludf.DUMMYFUNCTION("""COMPUTED_VALUE"""),"2192-2624")</f>
        <v>2192-2624</v>
      </c>
      <c r="H50" s="27" t="str">
        <f ca="1">IFERROR(__xludf.DUMMYFUNCTION("""COMPUTED_VALUE"""),"https://link.springer.com/journal/35784")</f>
        <v>https://link.springer.com/journal/35784</v>
      </c>
      <c r="I50" s="1" t="str">
        <f ca="1">IFERROR(__xludf.DUMMYFUNCTION("""COMPUTED_VALUE"""),"Springer Vieweg")</f>
        <v>Springer Vieweg</v>
      </c>
      <c r="J50" s="1">
        <f ca="1">IFERROR(__xludf.DUMMYFUNCTION("""COMPUTED_VALUE"""),2009)</f>
        <v>2009</v>
      </c>
      <c r="K50" s="1" t="str">
        <f ca="1">IFERROR(__xludf.DUMMYFUNCTION("""COMPUTED_VALUE"""),"Chemistry and Materials Science")</f>
        <v>Chemistry and Materials Science</v>
      </c>
      <c r="L50" s="1" t="str">
        <f ca="1">IFERROR(__xludf.DUMMYFUNCTION("""COMPUTED_VALUE"""),"〇")</f>
        <v>〇</v>
      </c>
      <c r="M50" s="1"/>
      <c r="N50" s="1"/>
      <c r="O50" s="1"/>
      <c r="P50" s="1"/>
    </row>
    <row r="51" spans="1:16" ht="14.25" customHeight="1" x14ac:dyDescent="0.25">
      <c r="A51" s="1"/>
      <c r="B51" s="1">
        <f ca="1"/>
        <v>39</v>
      </c>
      <c r="C51" s="1">
        <f ca="1">IFERROR(__xludf.DUMMYFUNCTION("""COMPUTED_VALUE"""),2023)</f>
        <v>2023</v>
      </c>
      <c r="D51" s="1">
        <f ca="1">IFERROR(__xludf.DUMMYFUNCTION("""COMPUTED_VALUE"""),10488)</f>
        <v>10488</v>
      </c>
      <c r="E51" s="1" t="str">
        <f ca="1">IFERROR(__xludf.DUMMYFUNCTION("""COMPUTED_VALUE"""),"Administration and Policy in Mental Health and Mental Health Services Research")</f>
        <v>Administration and Policy in Mental Health and Mental Health Services Research</v>
      </c>
      <c r="F51" s="1" t="str">
        <f ca="1">IFERROR(__xludf.DUMMYFUNCTION("""COMPUTED_VALUE"""),"1573-3289")</f>
        <v>1573-3289</v>
      </c>
      <c r="G51" s="1" t="str">
        <f ca="1">IFERROR(__xludf.DUMMYFUNCTION("""COMPUTED_VALUE"""),"0894-587X")</f>
        <v>0894-587X</v>
      </c>
      <c r="H51" s="27" t="str">
        <f ca="1">IFERROR(__xludf.DUMMYFUNCTION("""COMPUTED_VALUE"""),"https://link.springer.com/journal/10488")</f>
        <v>https://link.springer.com/journal/10488</v>
      </c>
      <c r="I51" s="1" t="str">
        <f ca="1">IFERROR(__xludf.DUMMYFUNCTION("""COMPUTED_VALUE"""),"Springer")</f>
        <v>Springer</v>
      </c>
      <c r="J51" s="1">
        <f ca="1">IFERROR(__xludf.DUMMYFUNCTION("""COMPUTED_VALUE"""),2000)</f>
        <v>2000</v>
      </c>
      <c r="K51" s="1" t="str">
        <f ca="1">IFERROR(__xludf.DUMMYFUNCTION("""COMPUTED_VALUE"""),"Medicine")</f>
        <v>Medicine</v>
      </c>
      <c r="L51" s="1" t="str">
        <f ca="1">IFERROR(__xludf.DUMMYFUNCTION("""COMPUTED_VALUE"""),"〇")</f>
        <v>〇</v>
      </c>
      <c r="M51" s="1" t="str">
        <f ca="1">IFERROR(__xludf.DUMMYFUNCTION("""COMPUTED_VALUE"""),"〇")</f>
        <v>〇</v>
      </c>
      <c r="N51" s="1"/>
      <c r="O51" s="1"/>
      <c r="P51" s="1"/>
    </row>
    <row r="52" spans="1:16" ht="14.25" customHeight="1" x14ac:dyDescent="0.25">
      <c r="A52" s="1"/>
      <c r="B52" s="1">
        <f ca="1"/>
        <v>40</v>
      </c>
      <c r="C52" s="1">
        <f ca="1">IFERROR(__xludf.DUMMYFUNCTION("""COMPUTED_VALUE"""),2023)</f>
        <v>2023</v>
      </c>
      <c r="D52" s="1">
        <f ca="1">IFERROR(__xludf.DUMMYFUNCTION("""COMPUTED_VALUE"""),40894)</f>
        <v>40894</v>
      </c>
      <c r="E52" s="1" t="str">
        <f ca="1">IFERROR(__xludf.DUMMYFUNCTION("""COMPUTED_VALUE"""),"Adolescent Research Review")</f>
        <v>Adolescent Research Review</v>
      </c>
      <c r="F52" s="1" t="str">
        <f ca="1">IFERROR(__xludf.DUMMYFUNCTION("""COMPUTED_VALUE"""),"2363-8354")</f>
        <v>2363-8354</v>
      </c>
      <c r="G52" s="1" t="str">
        <f ca="1">IFERROR(__xludf.DUMMYFUNCTION("""COMPUTED_VALUE"""),"2363-8346")</f>
        <v>2363-8346</v>
      </c>
      <c r="H52" s="27" t="str">
        <f ca="1">IFERROR(__xludf.DUMMYFUNCTION("""COMPUTED_VALUE"""),"https://link.springer.com/journal/40894")</f>
        <v>https://link.springer.com/journal/40894</v>
      </c>
      <c r="I52" s="1" t="str">
        <f ca="1">IFERROR(__xludf.DUMMYFUNCTION("""COMPUTED_VALUE"""),"Springer")</f>
        <v>Springer</v>
      </c>
      <c r="J52" s="1">
        <f ca="1">IFERROR(__xludf.DUMMYFUNCTION("""COMPUTED_VALUE"""),2016)</f>
        <v>2016</v>
      </c>
      <c r="K52" s="1" t="str">
        <f ca="1">IFERROR(__xludf.DUMMYFUNCTION("""COMPUTED_VALUE"""),"Behavioral Science and Psychology")</f>
        <v>Behavioral Science and Psychology</v>
      </c>
      <c r="L52" s="1" t="str">
        <f ca="1">IFERROR(__xludf.DUMMYFUNCTION("""COMPUTED_VALUE"""),"〇")</f>
        <v>〇</v>
      </c>
      <c r="M52" s="1"/>
      <c r="N52" s="1" t="str">
        <f ca="1">IFERROR(__xludf.DUMMYFUNCTION("""COMPUTED_VALUE"""),"SNS16")</f>
        <v>SNS16</v>
      </c>
      <c r="O52" s="1"/>
      <c r="P52" s="1"/>
    </row>
    <row r="53" spans="1:16" ht="14.25" customHeight="1" x14ac:dyDescent="0.25">
      <c r="A53" s="1"/>
      <c r="B53" s="1">
        <f ca="1"/>
        <v>41</v>
      </c>
      <c r="C53" s="1">
        <f ca="1">IFERROR(__xludf.DUMMYFUNCTION("""COMPUTED_VALUE"""),2023)</f>
        <v>2023</v>
      </c>
      <c r="D53" s="1">
        <f ca="1">IFERROR(__xludf.DUMMYFUNCTION("""COMPUTED_VALUE"""),10450)</f>
        <v>10450</v>
      </c>
      <c r="E53" s="1" t="str">
        <f ca="1">IFERROR(__xludf.DUMMYFUNCTION("""COMPUTED_VALUE"""),"Adsorption")</f>
        <v>Adsorption</v>
      </c>
      <c r="F53" s="1" t="str">
        <f ca="1">IFERROR(__xludf.DUMMYFUNCTION("""COMPUTED_VALUE"""),"1572-8757")</f>
        <v>1572-8757</v>
      </c>
      <c r="G53" s="1" t="str">
        <f ca="1">IFERROR(__xludf.DUMMYFUNCTION("""COMPUTED_VALUE"""),"0929-5607")</f>
        <v>0929-5607</v>
      </c>
      <c r="H53" s="27" t="str">
        <f ca="1">IFERROR(__xludf.DUMMYFUNCTION("""COMPUTED_VALUE"""),"https://link.springer.com/journal/10450")</f>
        <v>https://link.springer.com/journal/10450</v>
      </c>
      <c r="I53" s="1" t="str">
        <f ca="1">IFERROR(__xludf.DUMMYFUNCTION("""COMPUTED_VALUE"""),"Springer")</f>
        <v>Springer</v>
      </c>
      <c r="J53" s="1">
        <f ca="1">IFERROR(__xludf.DUMMYFUNCTION("""COMPUTED_VALUE"""),2000)</f>
        <v>2000</v>
      </c>
      <c r="K53" s="1" t="str">
        <f ca="1">IFERROR(__xludf.DUMMYFUNCTION("""COMPUTED_VALUE"""),"Chemistry and Materials Science")</f>
        <v>Chemistry and Materials Science</v>
      </c>
      <c r="L53" s="1" t="str">
        <f ca="1">IFERROR(__xludf.DUMMYFUNCTION("""COMPUTED_VALUE"""),"〇")</f>
        <v>〇</v>
      </c>
      <c r="M53" s="1" t="str">
        <f ca="1">IFERROR(__xludf.DUMMYFUNCTION("""COMPUTED_VALUE"""),"〇")</f>
        <v>〇</v>
      </c>
      <c r="N53" s="1"/>
      <c r="O53" s="1"/>
      <c r="P53" s="1"/>
    </row>
    <row r="54" spans="1:16" ht="14.25" customHeight="1" x14ac:dyDescent="0.25">
      <c r="A54" s="1"/>
      <c r="B54" s="1">
        <f ca="1"/>
        <v>42</v>
      </c>
      <c r="C54" s="1">
        <f ca="1">IFERROR(__xludf.DUMMYFUNCTION("""COMPUTED_VALUE"""),2023)</f>
        <v>2023</v>
      </c>
      <c r="D54" s="1">
        <f ca="1">IFERROR(__xludf.DUMMYFUNCTION("""COMPUTED_VALUE"""),42114)</f>
        <v>42114</v>
      </c>
      <c r="E54" s="1" t="str">
        <f ca="1">IFERROR(__xludf.DUMMYFUNCTION("""COMPUTED_VALUE"""),"Advanced Composites and Hybrid Materials")</f>
        <v>Advanced Composites and Hybrid Materials</v>
      </c>
      <c r="F54" s="1" t="str">
        <f ca="1">IFERROR(__xludf.DUMMYFUNCTION("""COMPUTED_VALUE"""),"2522-0136")</f>
        <v>2522-0136</v>
      </c>
      <c r="G54" s="1" t="str">
        <f ca="1">IFERROR(__xludf.DUMMYFUNCTION("""COMPUTED_VALUE"""),"2522-0128")</f>
        <v>2522-0128</v>
      </c>
      <c r="H54" s="27" t="str">
        <f ca="1">IFERROR(__xludf.DUMMYFUNCTION("""COMPUTED_VALUE"""),"https://link.springer.com/journal/42114")</f>
        <v>https://link.springer.com/journal/42114</v>
      </c>
      <c r="I54" s="1" t="str">
        <f ca="1">IFERROR(__xludf.DUMMYFUNCTION("""COMPUTED_VALUE"""),"Springer")</f>
        <v>Springer</v>
      </c>
      <c r="J54" s="1">
        <f ca="1">IFERROR(__xludf.DUMMYFUNCTION("""COMPUTED_VALUE"""),2018)</f>
        <v>2018</v>
      </c>
      <c r="K54" s="1" t="str">
        <f ca="1">IFERROR(__xludf.DUMMYFUNCTION("""COMPUTED_VALUE"""),"Chemistry and Materials Science")</f>
        <v>Chemistry and Materials Science</v>
      </c>
      <c r="L54" s="1" t="str">
        <f ca="1">IFERROR(__xludf.DUMMYFUNCTION("""COMPUTED_VALUE"""),"〇")</f>
        <v>〇</v>
      </c>
      <c r="M54" s="1"/>
      <c r="N54" s="1" t="str">
        <f ca="1">IFERROR(__xludf.DUMMYFUNCTION("""COMPUTED_VALUE"""),"SNS18")</f>
        <v>SNS18</v>
      </c>
      <c r="O54" s="1"/>
      <c r="P54" s="1"/>
    </row>
    <row r="55" spans="1:16" ht="14.25" customHeight="1" x14ac:dyDescent="0.25">
      <c r="A55" s="1"/>
      <c r="B55" s="1">
        <f ca="1"/>
        <v>43</v>
      </c>
      <c r="C55" s="1">
        <f ca="1">IFERROR(__xludf.DUMMYFUNCTION("""COMPUTED_VALUE"""),2023)</f>
        <v>2023</v>
      </c>
      <c r="D55" s="1">
        <f ca="1">IFERROR(__xludf.DUMMYFUNCTION("""COMPUTED_VALUE"""),42765)</f>
        <v>42765</v>
      </c>
      <c r="E55" s="1" t="str">
        <f ca="1">IFERROR(__xludf.DUMMYFUNCTION("""COMPUTED_VALUE"""),"Advanced Fiber Materials")</f>
        <v>Advanced Fiber Materials</v>
      </c>
      <c r="F55" s="1" t="str">
        <f ca="1">IFERROR(__xludf.DUMMYFUNCTION("""COMPUTED_VALUE"""),"2524-793X")</f>
        <v>2524-793X</v>
      </c>
      <c r="G55" s="1" t="str">
        <f ca="1">IFERROR(__xludf.DUMMYFUNCTION("""COMPUTED_VALUE"""),"2524-7921")</f>
        <v>2524-7921</v>
      </c>
      <c r="H55" s="27" t="str">
        <f ca="1">IFERROR(__xludf.DUMMYFUNCTION("""COMPUTED_VALUE"""),"https://link.springer.com/journal/42765")</f>
        <v>https://link.springer.com/journal/42765</v>
      </c>
      <c r="I55" s="1" t="str">
        <f ca="1">IFERROR(__xludf.DUMMYFUNCTION("""COMPUTED_VALUE"""),"Springer")</f>
        <v>Springer</v>
      </c>
      <c r="J55" s="1">
        <f ca="1">IFERROR(__xludf.DUMMYFUNCTION("""COMPUTED_VALUE"""),2019)</f>
        <v>2019</v>
      </c>
      <c r="K55" s="1" t="str">
        <f ca="1">IFERROR(__xludf.DUMMYFUNCTION("""COMPUTED_VALUE"""),"Chemistry and Materials Science")</f>
        <v>Chemistry and Materials Science</v>
      </c>
      <c r="L55" s="1" t="str">
        <f ca="1">IFERROR(__xludf.DUMMYFUNCTION("""COMPUTED_VALUE"""),"〇")</f>
        <v>〇</v>
      </c>
      <c r="M55" s="1"/>
      <c r="N55" s="1" t="str">
        <f ca="1">IFERROR(__xludf.DUMMYFUNCTION("""COMPUTED_VALUE"""),"SNS19")</f>
        <v>SNS19</v>
      </c>
      <c r="O55" s="1"/>
      <c r="P55" s="1"/>
    </row>
    <row r="56" spans="1:16" ht="14.25" customHeight="1" x14ac:dyDescent="0.25">
      <c r="A56" s="1"/>
      <c r="B56" s="1">
        <f ca="1"/>
        <v>44</v>
      </c>
      <c r="C56" s="1">
        <f ca="1">IFERROR(__xludf.DUMMYFUNCTION("""COMPUTED_VALUE"""),2023)</f>
        <v>2023</v>
      </c>
      <c r="D56" s="1">
        <f ca="1">IFERROR(__xludf.DUMMYFUNCTION("""COMPUTED_VALUE"""),6)</f>
        <v>6</v>
      </c>
      <c r="E56" s="1" t="str">
        <f ca="1">IFERROR(__xludf.DUMMYFUNCTION("""COMPUTED_VALUE"""),"Advances in Applied Clifford Algebras")</f>
        <v>Advances in Applied Clifford Algebras</v>
      </c>
      <c r="F56" s="1" t="str">
        <f ca="1">IFERROR(__xludf.DUMMYFUNCTION("""COMPUTED_VALUE"""),"1661-4909")</f>
        <v>1661-4909</v>
      </c>
      <c r="G56" s="1" t="str">
        <f ca="1">IFERROR(__xludf.DUMMYFUNCTION("""COMPUTED_VALUE"""),"0188-7009")</f>
        <v>0188-7009</v>
      </c>
      <c r="H56" s="27" t="str">
        <f ca="1">IFERROR(__xludf.DUMMYFUNCTION("""COMPUTED_VALUE"""),"https://link.springer.com/journal/6")</f>
        <v>https://link.springer.com/journal/6</v>
      </c>
      <c r="I56" s="1" t="str">
        <f ca="1">IFERROR(__xludf.DUMMYFUNCTION("""COMPUTED_VALUE"""),"Birkhäuser")</f>
        <v>Birkhäuser</v>
      </c>
      <c r="J56" s="1">
        <f ca="1">IFERROR(__xludf.DUMMYFUNCTION("""COMPUTED_VALUE"""),2000)</f>
        <v>2000</v>
      </c>
      <c r="K56" s="1" t="str">
        <f ca="1">IFERROR(__xludf.DUMMYFUNCTION("""COMPUTED_VALUE"""),"Physics and Astronomy")</f>
        <v>Physics and Astronomy</v>
      </c>
      <c r="L56" s="1" t="str">
        <f ca="1">IFERROR(__xludf.DUMMYFUNCTION("""COMPUTED_VALUE"""),"〇")</f>
        <v>〇</v>
      </c>
      <c r="M56" s="1" t="str">
        <f ca="1">IFERROR(__xludf.DUMMYFUNCTION("""COMPUTED_VALUE"""),"〇")</f>
        <v>〇</v>
      </c>
      <c r="N56" s="1"/>
      <c r="O56" s="1"/>
      <c r="P56" s="1"/>
    </row>
    <row r="57" spans="1:16" ht="14.25" customHeight="1" x14ac:dyDescent="0.25">
      <c r="A57" s="1"/>
      <c r="B57" s="1">
        <f ca="1"/>
        <v>45</v>
      </c>
      <c r="C57" s="1">
        <f ca="1">IFERROR(__xludf.DUMMYFUNCTION("""COMPUTED_VALUE"""),2023)</f>
        <v>2023</v>
      </c>
      <c r="D57" s="1">
        <f ca="1">IFERROR(__xludf.DUMMYFUNCTION("""COMPUTED_VALUE"""),42423)</f>
        <v>42423</v>
      </c>
      <c r="E57" s="1" t="str">
        <f ca="1">IFERROR(__xludf.DUMMYFUNCTION("""COMPUTED_VALUE"""),"Advances in Astronautics Science and Technology")</f>
        <v>Advances in Astronautics Science and Technology</v>
      </c>
      <c r="F57" s="1" t="str">
        <f ca="1">IFERROR(__xludf.DUMMYFUNCTION("""COMPUTED_VALUE"""),"2524-5260")</f>
        <v>2524-5260</v>
      </c>
      <c r="G57" s="1" t="str">
        <f ca="1">IFERROR(__xludf.DUMMYFUNCTION("""COMPUTED_VALUE"""),"2524-5252")</f>
        <v>2524-5252</v>
      </c>
      <c r="H57" s="27" t="str">
        <f ca="1">IFERROR(__xludf.DUMMYFUNCTION("""COMPUTED_VALUE"""),"https://link.springer.com/journal/42423")</f>
        <v>https://link.springer.com/journal/42423</v>
      </c>
      <c r="I57" s="1" t="str">
        <f ca="1">IFERROR(__xludf.DUMMYFUNCTION("""COMPUTED_VALUE"""),"Springer")</f>
        <v>Springer</v>
      </c>
      <c r="J57" s="1">
        <f ca="1">IFERROR(__xludf.DUMMYFUNCTION("""COMPUTED_VALUE"""),2018)</f>
        <v>2018</v>
      </c>
      <c r="K57" s="1" t="str">
        <f ca="1">IFERROR(__xludf.DUMMYFUNCTION("""COMPUTED_VALUE"""),"Engineering")</f>
        <v>Engineering</v>
      </c>
      <c r="L57" s="1" t="str">
        <f ca="1">IFERROR(__xludf.DUMMYFUNCTION("""COMPUTED_VALUE"""),"〇")</f>
        <v>〇</v>
      </c>
      <c r="M57" s="1"/>
      <c r="N57" s="1" t="str">
        <f ca="1">IFERROR(__xludf.DUMMYFUNCTION("""COMPUTED_VALUE"""),"SNS18")</f>
        <v>SNS18</v>
      </c>
      <c r="O57" s="1"/>
      <c r="P57" s="1"/>
    </row>
    <row r="58" spans="1:16" ht="14.25" customHeight="1" x14ac:dyDescent="0.25">
      <c r="A58" s="1"/>
      <c r="B58" s="1">
        <f ca="1"/>
        <v>46</v>
      </c>
      <c r="C58" s="1">
        <f ca="1">IFERROR(__xludf.DUMMYFUNCTION("""COMPUTED_VALUE"""),2023)</f>
        <v>2023</v>
      </c>
      <c r="D58" s="1">
        <f ca="1">IFERROR(__xludf.DUMMYFUNCTION("""COMPUTED_VALUE"""),376)</f>
        <v>376</v>
      </c>
      <c r="E58" s="1" t="str">
        <f ca="1">IFERROR(__xludf.DUMMYFUNCTION("""COMPUTED_VALUE"""),"Advances in Atmospheric Sciences")</f>
        <v>Advances in Atmospheric Sciences</v>
      </c>
      <c r="F58" s="1" t="str">
        <f ca="1">IFERROR(__xludf.DUMMYFUNCTION("""COMPUTED_VALUE"""),"1861-9533")</f>
        <v>1861-9533</v>
      </c>
      <c r="G58" s="1" t="str">
        <f ca="1">IFERROR(__xludf.DUMMYFUNCTION("""COMPUTED_VALUE"""),"0256-1530")</f>
        <v>0256-1530</v>
      </c>
      <c r="H58" s="27" t="str">
        <f ca="1">IFERROR(__xludf.DUMMYFUNCTION("""COMPUTED_VALUE"""),"https://link.springer.com/journal/376")</f>
        <v>https://link.springer.com/journal/376</v>
      </c>
      <c r="I58" s="1" t="str">
        <f ca="1">IFERROR(__xludf.DUMMYFUNCTION("""COMPUTED_VALUE"""),"Science Press, co-published with Springer")</f>
        <v>Science Press, co-published with Springer</v>
      </c>
      <c r="J58" s="1">
        <f ca="1">IFERROR(__xludf.DUMMYFUNCTION("""COMPUTED_VALUE"""),2000)</f>
        <v>2000</v>
      </c>
      <c r="K58" s="1" t="str">
        <f ca="1">IFERROR(__xludf.DUMMYFUNCTION("""COMPUTED_VALUE"""),"Earth and Environmental Science")</f>
        <v>Earth and Environmental Science</v>
      </c>
      <c r="L58" s="1" t="str">
        <f ca="1">IFERROR(__xludf.DUMMYFUNCTION("""COMPUTED_VALUE"""),"〇")</f>
        <v>〇</v>
      </c>
      <c r="M58" s="1" t="str">
        <f ca="1">IFERROR(__xludf.DUMMYFUNCTION("""COMPUTED_VALUE"""),"〇")</f>
        <v>〇</v>
      </c>
      <c r="N58" s="1"/>
      <c r="O58" s="1"/>
      <c r="P58" s="1"/>
    </row>
    <row r="59" spans="1:16" ht="14.25" customHeight="1" x14ac:dyDescent="0.25">
      <c r="A59" s="1"/>
      <c r="B59" s="1">
        <f ca="1"/>
        <v>47</v>
      </c>
      <c r="C59" s="1">
        <f ca="1">IFERROR(__xludf.DUMMYFUNCTION("""COMPUTED_VALUE"""),2023)</f>
        <v>2023</v>
      </c>
      <c r="D59" s="1">
        <f ca="1">IFERROR(__xludf.DUMMYFUNCTION("""COMPUTED_VALUE"""),43674)</f>
        <v>43674</v>
      </c>
      <c r="E59" s="1" t="str">
        <f ca="1">IFERROR(__xludf.DUMMYFUNCTION("""COMPUTED_VALUE"""),"Advances in Computational Intelligence")</f>
        <v>Advances in Computational Intelligence</v>
      </c>
      <c r="F59" s="1" t="str">
        <f ca="1">IFERROR(__xludf.DUMMYFUNCTION("""COMPUTED_VALUE"""),"2730-7808")</f>
        <v>2730-7808</v>
      </c>
      <c r="G59" s="1" t="str">
        <f ca="1">IFERROR(__xludf.DUMMYFUNCTION("""COMPUTED_VALUE"""),"2730-7794")</f>
        <v>2730-7794</v>
      </c>
      <c r="H59" s="27" t="str">
        <f ca="1">IFERROR(__xludf.DUMMYFUNCTION("""COMPUTED_VALUE"""),"https://link.springer.com/journal/43674")</f>
        <v>https://link.springer.com/journal/43674</v>
      </c>
      <c r="I59" s="1" t="str">
        <f ca="1">IFERROR(__xludf.DUMMYFUNCTION("""COMPUTED_VALUE"""),"Springer")</f>
        <v>Springer</v>
      </c>
      <c r="J59" s="1">
        <f ca="1">IFERROR(__xludf.DUMMYFUNCTION("""COMPUTED_VALUE"""),2021)</f>
        <v>2021</v>
      </c>
      <c r="K59" s="1" t="str">
        <f ca="1">IFERROR(__xludf.DUMMYFUNCTION("""COMPUTED_VALUE"""),"Engineering")</f>
        <v>Engineering</v>
      </c>
      <c r="L59" s="1" t="str">
        <f ca="1">IFERROR(__xludf.DUMMYFUNCTION("""COMPUTED_VALUE"""),"〇")</f>
        <v>〇</v>
      </c>
      <c r="M59" s="1"/>
      <c r="N59" s="1" t="str">
        <f ca="1">IFERROR(__xludf.DUMMYFUNCTION("""COMPUTED_VALUE"""),"SNS21")</f>
        <v>SNS21</v>
      </c>
      <c r="O59" s="1"/>
      <c r="P59" s="1"/>
    </row>
    <row r="60" spans="1:16" ht="14.25" customHeight="1" x14ac:dyDescent="0.25">
      <c r="A60" s="1"/>
      <c r="B60" s="1">
        <f ca="1"/>
        <v>48</v>
      </c>
      <c r="C60" s="1">
        <f ca="1">IFERROR(__xludf.DUMMYFUNCTION("""COMPUTED_VALUE"""),2023)</f>
        <v>2023</v>
      </c>
      <c r="D60" s="1">
        <f ca="1">IFERROR(__xludf.DUMMYFUNCTION("""COMPUTED_VALUE"""),10444)</f>
        <v>10444</v>
      </c>
      <c r="E60" s="1" t="str">
        <f ca="1">IFERROR(__xludf.DUMMYFUNCTION("""COMPUTED_VALUE"""),"Advances in Computational Mathematics")</f>
        <v>Advances in Computational Mathematics</v>
      </c>
      <c r="F60" s="1" t="str">
        <f ca="1">IFERROR(__xludf.DUMMYFUNCTION("""COMPUTED_VALUE"""),"1572-9044")</f>
        <v>1572-9044</v>
      </c>
      <c r="G60" s="1" t="str">
        <f ca="1">IFERROR(__xludf.DUMMYFUNCTION("""COMPUTED_VALUE"""),"1019-7168")</f>
        <v>1019-7168</v>
      </c>
      <c r="H60" s="27" t="str">
        <f ca="1">IFERROR(__xludf.DUMMYFUNCTION("""COMPUTED_VALUE"""),"https://link.springer.com/journal/10444")</f>
        <v>https://link.springer.com/journal/10444</v>
      </c>
      <c r="I60" s="1" t="str">
        <f ca="1">IFERROR(__xludf.DUMMYFUNCTION("""COMPUTED_VALUE"""),"Springer")</f>
        <v>Springer</v>
      </c>
      <c r="J60" s="1">
        <f ca="1">IFERROR(__xludf.DUMMYFUNCTION("""COMPUTED_VALUE"""),2000)</f>
        <v>2000</v>
      </c>
      <c r="K60" s="1" t="str">
        <f ca="1">IFERROR(__xludf.DUMMYFUNCTION("""COMPUTED_VALUE"""),"Mathematics and Statistics")</f>
        <v>Mathematics and Statistics</v>
      </c>
      <c r="L60" s="1" t="str">
        <f ca="1">IFERROR(__xludf.DUMMYFUNCTION("""COMPUTED_VALUE"""),"〇")</f>
        <v>〇</v>
      </c>
      <c r="M60" s="1" t="str">
        <f ca="1">IFERROR(__xludf.DUMMYFUNCTION("""COMPUTED_VALUE"""),"〇")</f>
        <v>〇</v>
      </c>
      <c r="N60" s="1"/>
      <c r="O60" s="1"/>
      <c r="P60" s="1"/>
    </row>
    <row r="61" spans="1:16" ht="14.25" customHeight="1" x14ac:dyDescent="0.25">
      <c r="A61" s="1"/>
      <c r="B61" s="1">
        <f ca="1"/>
        <v>49</v>
      </c>
      <c r="C61" s="1">
        <f ca="1">IFERROR(__xludf.DUMMYFUNCTION("""COMPUTED_VALUE"""),2023)</f>
        <v>2023</v>
      </c>
      <c r="D61" s="1">
        <f ca="1">IFERROR(__xludf.DUMMYFUNCTION("""COMPUTED_VALUE"""),11634)</f>
        <v>11634</v>
      </c>
      <c r="E61" s="1" t="str">
        <f ca="1">IFERROR(__xludf.DUMMYFUNCTION("""COMPUTED_VALUE"""),"Advances in Data Analysis and Classification")</f>
        <v>Advances in Data Analysis and Classification</v>
      </c>
      <c r="F61" s="1" t="str">
        <f ca="1">IFERROR(__xludf.DUMMYFUNCTION("""COMPUTED_VALUE"""),"1862-5355")</f>
        <v>1862-5355</v>
      </c>
      <c r="G61" s="1" t="str">
        <f ca="1">IFERROR(__xludf.DUMMYFUNCTION("""COMPUTED_VALUE"""),"1862-5347")</f>
        <v>1862-5347</v>
      </c>
      <c r="H61" s="27" t="str">
        <f ca="1">IFERROR(__xludf.DUMMYFUNCTION("""COMPUTED_VALUE"""),"https://link.springer.com/journal/11634")</f>
        <v>https://link.springer.com/journal/11634</v>
      </c>
      <c r="I61" s="1" t="str">
        <f ca="1">IFERROR(__xludf.DUMMYFUNCTION("""COMPUTED_VALUE"""),"Springer")</f>
        <v>Springer</v>
      </c>
      <c r="J61" s="1">
        <f ca="1">IFERROR(__xludf.DUMMYFUNCTION("""COMPUTED_VALUE"""),2007)</f>
        <v>2007</v>
      </c>
      <c r="K61" s="1" t="str">
        <f ca="1">IFERROR(__xludf.DUMMYFUNCTION("""COMPUTED_VALUE"""),"Mathematics and Statistics")</f>
        <v>Mathematics and Statistics</v>
      </c>
      <c r="L61" s="1" t="str">
        <f ca="1">IFERROR(__xludf.DUMMYFUNCTION("""COMPUTED_VALUE"""),"〇")</f>
        <v>〇</v>
      </c>
      <c r="M61" s="1" t="str">
        <f ca="1">IFERROR(__xludf.DUMMYFUNCTION("""COMPUTED_VALUE"""),"〇")</f>
        <v>〇</v>
      </c>
      <c r="N61" s="1" t="str">
        <f ca="1">IFERROR(__xludf.DUMMYFUNCTION("""COMPUTED_VALUE"""),"SNS7")</f>
        <v>SNS7</v>
      </c>
      <c r="O61" s="1"/>
      <c r="P61" s="1"/>
    </row>
    <row r="62" spans="1:16" ht="14.25" customHeight="1" x14ac:dyDescent="0.25">
      <c r="A62" s="1"/>
      <c r="B62" s="1">
        <f ca="1"/>
        <v>50</v>
      </c>
      <c r="C62" s="1">
        <f ca="1">IFERROR(__xludf.DUMMYFUNCTION("""COMPUTED_VALUE"""),2023)</f>
        <v>2023</v>
      </c>
      <c r="D62" s="1">
        <f ca="1">IFERROR(__xludf.DUMMYFUNCTION("""COMPUTED_VALUE"""),13329)</f>
        <v>13329</v>
      </c>
      <c r="E62" s="1" t="str">
        <f ca="1">IFERROR(__xludf.DUMMYFUNCTION("""COMPUTED_VALUE"""),"Advances in Gerontology")</f>
        <v>Advances in Gerontology</v>
      </c>
      <c r="F62" s="1" t="str">
        <f ca="1">IFERROR(__xludf.DUMMYFUNCTION("""COMPUTED_VALUE"""),"2079-0589")</f>
        <v>2079-0589</v>
      </c>
      <c r="G62" s="1" t="str">
        <f ca="1">IFERROR(__xludf.DUMMYFUNCTION("""COMPUTED_VALUE"""),"2079-0570")</f>
        <v>2079-0570</v>
      </c>
      <c r="H62" s="27" t="str">
        <f ca="1">IFERROR(__xludf.DUMMYFUNCTION("""COMPUTED_VALUE"""),"https://link.springer.com/journal/13329")</f>
        <v>https://link.springer.com/journal/13329</v>
      </c>
      <c r="I62" s="1" t="str">
        <f ca="1">IFERROR(__xludf.DUMMYFUNCTION("""COMPUTED_VALUE"""),"Pleiades Publishing")</f>
        <v>Pleiades Publishing</v>
      </c>
      <c r="J62" s="1">
        <f ca="1">IFERROR(__xludf.DUMMYFUNCTION("""COMPUTED_VALUE"""),2011)</f>
        <v>2011</v>
      </c>
      <c r="K62" s="1" t="str">
        <f ca="1">IFERROR(__xludf.DUMMYFUNCTION("""COMPUTED_VALUE"""),"Medicine")</f>
        <v>Medicine</v>
      </c>
      <c r="L62" s="1" t="str">
        <f ca="1">IFERROR(__xludf.DUMMYFUNCTION("""COMPUTED_VALUE"""),"〇")</f>
        <v>〇</v>
      </c>
      <c r="M62" s="1"/>
      <c r="N62" s="1" t="str">
        <f ca="1">IFERROR(__xludf.DUMMYFUNCTION("""COMPUTED_VALUE"""),"SNS11")</f>
        <v>SNS11</v>
      </c>
      <c r="O62" s="1"/>
      <c r="P62" s="1"/>
    </row>
    <row r="63" spans="1:16" ht="14.25" customHeight="1" x14ac:dyDescent="0.25">
      <c r="A63" s="1"/>
      <c r="B63" s="1">
        <f ca="1"/>
        <v>51</v>
      </c>
      <c r="C63" s="1">
        <f ca="1">IFERROR(__xludf.DUMMYFUNCTION("""COMPUTED_VALUE"""),2023)</f>
        <v>2023</v>
      </c>
      <c r="D63" s="1">
        <f ca="1">IFERROR(__xludf.DUMMYFUNCTION("""COMPUTED_VALUE"""),10459)</f>
        <v>10459</v>
      </c>
      <c r="E63" s="1" t="str">
        <f ca="1">IFERROR(__xludf.DUMMYFUNCTION("""COMPUTED_VALUE"""),"Advances in Health Sciences Education")</f>
        <v>Advances in Health Sciences Education</v>
      </c>
      <c r="F63" s="1" t="str">
        <f ca="1">IFERROR(__xludf.DUMMYFUNCTION("""COMPUTED_VALUE"""),"1573-1677")</f>
        <v>1573-1677</v>
      </c>
      <c r="G63" s="1" t="str">
        <f ca="1">IFERROR(__xludf.DUMMYFUNCTION("""COMPUTED_VALUE"""),"1382-4996")</f>
        <v>1382-4996</v>
      </c>
      <c r="H63" s="27" t="str">
        <f ca="1">IFERROR(__xludf.DUMMYFUNCTION("""COMPUTED_VALUE"""),"https://link.springer.com/journal/10459")</f>
        <v>https://link.springer.com/journal/10459</v>
      </c>
      <c r="I63" s="1" t="str">
        <f ca="1">IFERROR(__xludf.DUMMYFUNCTION("""COMPUTED_VALUE"""),"Springer")</f>
        <v>Springer</v>
      </c>
      <c r="J63" s="1">
        <f ca="1">IFERROR(__xludf.DUMMYFUNCTION("""COMPUTED_VALUE"""),2000)</f>
        <v>2000</v>
      </c>
      <c r="K63" s="1" t="str">
        <f ca="1">IFERROR(__xludf.DUMMYFUNCTION("""COMPUTED_VALUE"""),"Education")</f>
        <v>Education</v>
      </c>
      <c r="L63" s="1" t="str">
        <f ca="1">IFERROR(__xludf.DUMMYFUNCTION("""COMPUTED_VALUE"""),"〇")</f>
        <v>〇</v>
      </c>
      <c r="M63" s="1" t="str">
        <f ca="1">IFERROR(__xludf.DUMMYFUNCTION("""COMPUTED_VALUE"""),"〇")</f>
        <v>〇</v>
      </c>
      <c r="N63" s="1"/>
      <c r="O63" s="1"/>
      <c r="P63" s="1"/>
    </row>
    <row r="64" spans="1:16" ht="14.25" customHeight="1" x14ac:dyDescent="0.25">
      <c r="A64" s="1"/>
      <c r="B64" s="1">
        <f ca="1"/>
        <v>52</v>
      </c>
      <c r="C64" s="1">
        <f ca="1">IFERROR(__xludf.DUMMYFUNCTION("""COMPUTED_VALUE"""),2023)</f>
        <v>2023</v>
      </c>
      <c r="D64" s="1">
        <f ca="1">IFERROR(__xludf.DUMMYFUNCTION("""COMPUTED_VALUE"""),40436)</f>
        <v>40436</v>
      </c>
      <c r="E64" s="1" t="str">
        <f ca="1">IFERROR(__xludf.DUMMYFUNCTION("""COMPUTED_VALUE"""),"Advances in Manufacturing")</f>
        <v>Advances in Manufacturing</v>
      </c>
      <c r="F64" s="1" t="str">
        <f ca="1">IFERROR(__xludf.DUMMYFUNCTION("""COMPUTED_VALUE"""),"2195-3597")</f>
        <v>2195-3597</v>
      </c>
      <c r="G64" s="1" t="str">
        <f ca="1">IFERROR(__xludf.DUMMYFUNCTION("""COMPUTED_VALUE"""),"2095-3127")</f>
        <v>2095-3127</v>
      </c>
      <c r="H64" s="27" t="str">
        <f ca="1">IFERROR(__xludf.DUMMYFUNCTION("""COMPUTED_VALUE"""),"https://link.springer.com/journal/40436")</f>
        <v>https://link.springer.com/journal/40436</v>
      </c>
      <c r="I64" s="1" t="str">
        <f ca="1">IFERROR(__xludf.DUMMYFUNCTION("""COMPUTED_VALUE"""),"Shanghai University, co-published with Springer")</f>
        <v>Shanghai University, co-published with Springer</v>
      </c>
      <c r="J64" s="1">
        <f ca="1">IFERROR(__xludf.DUMMYFUNCTION("""COMPUTED_VALUE"""),2013)</f>
        <v>2013</v>
      </c>
      <c r="K64" s="1" t="str">
        <f ca="1">IFERROR(__xludf.DUMMYFUNCTION("""COMPUTED_VALUE"""),"Engineering")</f>
        <v>Engineering</v>
      </c>
      <c r="L64" s="1" t="str">
        <f ca="1">IFERROR(__xludf.DUMMYFUNCTION("""COMPUTED_VALUE"""),"〇")</f>
        <v>〇</v>
      </c>
      <c r="M64" s="1"/>
      <c r="N64" s="1" t="str">
        <f ca="1">IFERROR(__xludf.DUMMYFUNCTION("""COMPUTED_VALUE"""),"SNS13")</f>
        <v>SNS13</v>
      </c>
      <c r="O64" s="1"/>
      <c r="P64" s="1"/>
    </row>
    <row r="65" spans="1:16" ht="14.25" customHeight="1" x14ac:dyDescent="0.25">
      <c r="A65" s="1"/>
      <c r="B65" s="1">
        <f ca="1"/>
        <v>53</v>
      </c>
      <c r="C65" s="1">
        <f ca="1">IFERROR(__xludf.DUMMYFUNCTION("""COMPUTED_VALUE"""),2023)</f>
        <v>2023</v>
      </c>
      <c r="D65" s="1">
        <f ca="1">IFERROR(__xludf.DUMMYFUNCTION("""COMPUTED_VALUE"""),41252)</f>
        <v>41252</v>
      </c>
      <c r="E65" s="1" t="str">
        <f ca="1">IFERROR(__xludf.DUMMYFUNCTION("""COMPUTED_VALUE"""),"Advances in Neurodevelopmental Disorders")</f>
        <v>Advances in Neurodevelopmental Disorders</v>
      </c>
      <c r="F65" s="1" t="str">
        <f ca="1">IFERROR(__xludf.DUMMYFUNCTION("""COMPUTED_VALUE"""),"2366-7540")</f>
        <v>2366-7540</v>
      </c>
      <c r="G65" s="1" t="str">
        <f ca="1">IFERROR(__xludf.DUMMYFUNCTION("""COMPUTED_VALUE"""),"2366-7532")</f>
        <v>2366-7532</v>
      </c>
      <c r="H65" s="27" t="str">
        <f ca="1">IFERROR(__xludf.DUMMYFUNCTION("""COMPUTED_VALUE"""),"https://link.springer.com/journal/41252")</f>
        <v>https://link.springer.com/journal/41252</v>
      </c>
      <c r="I65" s="1" t="str">
        <f ca="1">IFERROR(__xludf.DUMMYFUNCTION("""COMPUTED_VALUE"""),"Springer")</f>
        <v>Springer</v>
      </c>
      <c r="J65" s="1">
        <f ca="1">IFERROR(__xludf.DUMMYFUNCTION("""COMPUTED_VALUE"""),2017)</f>
        <v>2017</v>
      </c>
      <c r="K65" s="1" t="str">
        <f ca="1">IFERROR(__xludf.DUMMYFUNCTION("""COMPUTED_VALUE"""),"Behavioral Science and Psychology")</f>
        <v>Behavioral Science and Psychology</v>
      </c>
      <c r="L65" s="1" t="str">
        <f ca="1">IFERROR(__xludf.DUMMYFUNCTION("""COMPUTED_VALUE"""),"〇")</f>
        <v>〇</v>
      </c>
      <c r="M65" s="1"/>
      <c r="N65" s="1" t="str">
        <f ca="1">IFERROR(__xludf.DUMMYFUNCTION("""COMPUTED_VALUE"""),"SNS17")</f>
        <v>SNS17</v>
      </c>
      <c r="O65" s="1"/>
      <c r="P65" s="1"/>
    </row>
    <row r="66" spans="1:16" ht="14.25" customHeight="1" x14ac:dyDescent="0.25">
      <c r="A66" s="1"/>
      <c r="B66" s="1">
        <f ca="1"/>
        <v>54</v>
      </c>
      <c r="C66" s="1">
        <f ca="1">IFERROR(__xludf.DUMMYFUNCTION("""COMPUTED_VALUE"""),2023)</f>
        <v>2023</v>
      </c>
      <c r="D66" s="1">
        <f ca="1">IFERROR(__xludf.DUMMYFUNCTION("""COMPUTED_VALUE"""),43036)</f>
        <v>43036</v>
      </c>
      <c r="E66" s="1" t="str">
        <f ca="1">IFERROR(__xludf.DUMMYFUNCTION("""COMPUTED_VALUE"""),"Advances in Operator Theory")</f>
        <v>Advances in Operator Theory</v>
      </c>
      <c r="F66" s="1" t="str">
        <f ca="1">IFERROR(__xludf.DUMMYFUNCTION("""COMPUTED_VALUE"""),"2538-225X")</f>
        <v>2538-225X</v>
      </c>
      <c r="G66" s="1" t="str">
        <f ca="1">IFERROR(__xludf.DUMMYFUNCTION("""COMPUTED_VALUE"""),"2662-2009")</f>
        <v>2662-2009</v>
      </c>
      <c r="H66" s="27" t="str">
        <f ca="1">IFERROR(__xludf.DUMMYFUNCTION("""COMPUTED_VALUE"""),"https://link.springer.com/journal/43036")</f>
        <v>https://link.springer.com/journal/43036</v>
      </c>
      <c r="I66" s="1" t="str">
        <f ca="1">IFERROR(__xludf.DUMMYFUNCTION("""COMPUTED_VALUE"""),"Birkhäuser")</f>
        <v>Birkhäuser</v>
      </c>
      <c r="J66" s="1">
        <f ca="1">IFERROR(__xludf.DUMMYFUNCTION("""COMPUTED_VALUE"""),2020)</f>
        <v>2020</v>
      </c>
      <c r="K66" s="1" t="str">
        <f ca="1">IFERROR(__xludf.DUMMYFUNCTION("""COMPUTED_VALUE"""),"Mathematics and Statistics")</f>
        <v>Mathematics and Statistics</v>
      </c>
      <c r="L66" s="1" t="str">
        <f ca="1">IFERROR(__xludf.DUMMYFUNCTION("""COMPUTED_VALUE"""),"〇")</f>
        <v>〇</v>
      </c>
      <c r="M66" s="1"/>
      <c r="N66" s="1" t="str">
        <f ca="1">IFERROR(__xludf.DUMMYFUNCTION("""COMPUTED_VALUE"""),"TO20")</f>
        <v>TO20</v>
      </c>
      <c r="O66" s="1"/>
      <c r="P66" s="1"/>
    </row>
    <row r="67" spans="1:16" ht="14.25" customHeight="1" x14ac:dyDescent="0.25">
      <c r="A67" s="1"/>
      <c r="B67" s="1">
        <f ca="1"/>
        <v>55</v>
      </c>
      <c r="C67" s="1">
        <f ca="1">IFERROR(__xludf.DUMMYFUNCTION("""COMPUTED_VALUE"""),2023)</f>
        <v>2023</v>
      </c>
      <c r="D67" s="1">
        <f ca="1">IFERROR(__xludf.DUMMYFUNCTION("""COMPUTED_VALUE"""),13596)</f>
        <v>13596</v>
      </c>
      <c r="E67" s="1" t="str">
        <f ca="1">IFERROR(__xludf.DUMMYFUNCTION("""COMPUTED_VALUE"""),"Advances in Traditional Medicine")</f>
        <v>Advances in Traditional Medicine</v>
      </c>
      <c r="F67" s="1" t="str">
        <f ca="1">IFERROR(__xludf.DUMMYFUNCTION("""COMPUTED_VALUE"""),"2662-4060")</f>
        <v>2662-4060</v>
      </c>
      <c r="G67" s="1" t="str">
        <f ca="1">IFERROR(__xludf.DUMMYFUNCTION("""COMPUTED_VALUE"""),"2662-4052")</f>
        <v>2662-4052</v>
      </c>
      <c r="H67" s="27" t="str">
        <f ca="1">IFERROR(__xludf.DUMMYFUNCTION("""COMPUTED_VALUE"""),"https://link.springer.com/journal/13596")</f>
        <v>https://link.springer.com/journal/13596</v>
      </c>
      <c r="I67" s="1" t="str">
        <f ca="1">IFERROR(__xludf.DUMMYFUNCTION("""COMPUTED_VALUE"""),"Springer")</f>
        <v>Springer</v>
      </c>
      <c r="J67" s="1">
        <f ca="1">IFERROR(__xludf.DUMMYFUNCTION("""COMPUTED_VALUE"""),2011)</f>
        <v>2011</v>
      </c>
      <c r="K67" s="1" t="str">
        <f ca="1">IFERROR(__xludf.DUMMYFUNCTION("""COMPUTED_VALUE"""),"Biomedical and Life Sciences")</f>
        <v>Biomedical and Life Sciences</v>
      </c>
      <c r="L67" s="1" t="str">
        <f ca="1">IFERROR(__xludf.DUMMYFUNCTION("""COMPUTED_VALUE"""),"〇")</f>
        <v>〇</v>
      </c>
      <c r="M67" s="1"/>
      <c r="N67" s="1" t="str">
        <f ca="1">IFERROR(__xludf.DUMMYFUNCTION("""COMPUTED_VALUE"""),"TO11")</f>
        <v>TO11</v>
      </c>
      <c r="O67" s="1"/>
      <c r="P67" s="1"/>
    </row>
    <row r="68" spans="1:16" ht="14.25" customHeight="1" x14ac:dyDescent="0.25">
      <c r="A68" s="1"/>
      <c r="B68" s="1">
        <f ca="1"/>
        <v>56</v>
      </c>
      <c r="C68" s="1">
        <f ca="1">IFERROR(__xludf.DUMMYFUNCTION("""COMPUTED_VALUE"""),2023)</f>
        <v>2023</v>
      </c>
      <c r="D68" s="1">
        <f ca="1">IFERROR(__xludf.DUMMYFUNCTION("""COMPUTED_VALUE"""),42844)</f>
        <v>42844</v>
      </c>
      <c r="E68" s="1" t="str">
        <f ca="1">IFERROR(__xludf.DUMMYFUNCTION("""COMPUTED_VALUE"""),"Adversity and Resilience Science")</f>
        <v>Adversity and Resilience Science</v>
      </c>
      <c r="F68" s="1" t="str">
        <f ca="1">IFERROR(__xludf.DUMMYFUNCTION("""COMPUTED_VALUE"""),"2662-2416")</f>
        <v>2662-2416</v>
      </c>
      <c r="G68" s="1" t="str">
        <f ca="1">IFERROR(__xludf.DUMMYFUNCTION("""COMPUTED_VALUE"""),"2662-2424")</f>
        <v>2662-2424</v>
      </c>
      <c r="H68" s="27" t="str">
        <f ca="1">IFERROR(__xludf.DUMMYFUNCTION("""COMPUTED_VALUE"""),"https://link.springer.com/journal/42844")</f>
        <v>https://link.springer.com/journal/42844</v>
      </c>
      <c r="I68" s="1" t="str">
        <f ca="1">IFERROR(__xludf.DUMMYFUNCTION("""COMPUTED_VALUE"""),"Springer")</f>
        <v>Springer</v>
      </c>
      <c r="J68" s="1">
        <f ca="1">IFERROR(__xludf.DUMMYFUNCTION("""COMPUTED_VALUE"""),2020)</f>
        <v>2020</v>
      </c>
      <c r="K68" s="1" t="str">
        <f ca="1">IFERROR(__xludf.DUMMYFUNCTION("""COMPUTED_VALUE"""),"Behavioral Science and Psychology")</f>
        <v>Behavioral Science and Psychology</v>
      </c>
      <c r="L68" s="1" t="str">
        <f ca="1">IFERROR(__xludf.DUMMYFUNCTION("""COMPUTED_VALUE"""),"〇")</f>
        <v>〇</v>
      </c>
      <c r="M68" s="1"/>
      <c r="N68" s="1" t="str">
        <f ca="1">IFERROR(__xludf.DUMMYFUNCTION("""COMPUTED_VALUE"""),"SNS20")</f>
        <v>SNS20</v>
      </c>
      <c r="O68" s="1"/>
      <c r="P68" s="1"/>
    </row>
    <row r="69" spans="1:16" ht="14.25" customHeight="1" x14ac:dyDescent="0.25">
      <c r="A69" s="1"/>
      <c r="B69" s="1">
        <f ca="1"/>
        <v>57</v>
      </c>
      <c r="C69" s="1">
        <f ca="1">IFERROR(__xludf.DUMMYFUNCTION("""COMPUTED_VALUE"""),2023)</f>
        <v>2023</v>
      </c>
      <c r="D69" s="1">
        <f ca="1">IFERROR(__xludf.DUMMYFUNCTION("""COMPUTED_VALUE"""),10)</f>
        <v>10</v>
      </c>
      <c r="E69" s="1" t="str">
        <f ca="1">IFERROR(__xludf.DUMMYFUNCTION("""COMPUTED_VALUE"""),"Aequationes mathematicae")</f>
        <v>Aequationes mathematicae</v>
      </c>
      <c r="F69" s="1" t="str">
        <f ca="1">IFERROR(__xludf.DUMMYFUNCTION("""COMPUTED_VALUE"""),"1420-8903")</f>
        <v>1420-8903</v>
      </c>
      <c r="G69" s="1" t="str">
        <f ca="1">IFERROR(__xludf.DUMMYFUNCTION("""COMPUTED_VALUE"""),"0001-9054")</f>
        <v>0001-9054</v>
      </c>
      <c r="H69" s="27" t="str">
        <f ca="1">IFERROR(__xludf.DUMMYFUNCTION("""COMPUTED_VALUE"""),"https://link.springer.com/journal/10")</f>
        <v>https://link.springer.com/journal/10</v>
      </c>
      <c r="I69" s="1" t="str">
        <f ca="1">IFERROR(__xludf.DUMMYFUNCTION("""COMPUTED_VALUE"""),"Birkhäuser")</f>
        <v>Birkhäuser</v>
      </c>
      <c r="J69" s="1">
        <f ca="1">IFERROR(__xludf.DUMMYFUNCTION("""COMPUTED_VALUE"""),2000)</f>
        <v>2000</v>
      </c>
      <c r="K69" s="1" t="str">
        <f ca="1">IFERROR(__xludf.DUMMYFUNCTION("""COMPUTED_VALUE"""),"Mathematics and Statistics")</f>
        <v>Mathematics and Statistics</v>
      </c>
      <c r="L69" s="1" t="str">
        <f ca="1">IFERROR(__xludf.DUMMYFUNCTION("""COMPUTED_VALUE"""),"〇")</f>
        <v>〇</v>
      </c>
      <c r="M69" s="1" t="str">
        <f ca="1">IFERROR(__xludf.DUMMYFUNCTION("""COMPUTED_VALUE"""),"〇")</f>
        <v>〇</v>
      </c>
      <c r="N69" s="1"/>
      <c r="O69" s="1"/>
      <c r="P69" s="1"/>
    </row>
    <row r="70" spans="1:16" ht="14.25" customHeight="1" x14ac:dyDescent="0.25">
      <c r="A70" s="1"/>
      <c r="B70" s="1">
        <f ca="1"/>
        <v>58</v>
      </c>
      <c r="C70" s="1">
        <f ca="1">IFERROR(__xludf.DUMMYFUNCTION("""COMPUTED_VALUE"""),2023)</f>
        <v>2023</v>
      </c>
      <c r="D70" s="1">
        <f ca="1">IFERROR(__xludf.DUMMYFUNCTION("""COMPUTED_VALUE"""),10453)</f>
        <v>10453</v>
      </c>
      <c r="E70" s="1" t="str">
        <f ca="1">IFERROR(__xludf.DUMMYFUNCTION("""COMPUTED_VALUE"""),"Aerobiologia")</f>
        <v>Aerobiologia</v>
      </c>
      <c r="F70" s="1" t="str">
        <f ca="1">IFERROR(__xludf.DUMMYFUNCTION("""COMPUTED_VALUE"""),"1573-3025")</f>
        <v>1573-3025</v>
      </c>
      <c r="G70" s="1" t="str">
        <f ca="1">IFERROR(__xludf.DUMMYFUNCTION("""COMPUTED_VALUE"""),"0393-5965")</f>
        <v>0393-5965</v>
      </c>
      <c r="H70" s="27" t="str">
        <f ca="1">IFERROR(__xludf.DUMMYFUNCTION("""COMPUTED_VALUE"""),"https://link.springer.com/journal/10453")</f>
        <v>https://link.springer.com/journal/10453</v>
      </c>
      <c r="I70" s="1" t="str">
        <f ca="1">IFERROR(__xludf.DUMMYFUNCTION("""COMPUTED_VALUE"""),"Springer")</f>
        <v>Springer</v>
      </c>
      <c r="J70" s="1">
        <f ca="1">IFERROR(__xludf.DUMMYFUNCTION("""COMPUTED_VALUE"""),2000)</f>
        <v>2000</v>
      </c>
      <c r="K70" s="1" t="str">
        <f ca="1">IFERROR(__xludf.DUMMYFUNCTION("""COMPUTED_VALUE"""),"Earth and Environmental Science")</f>
        <v>Earth and Environmental Science</v>
      </c>
      <c r="L70" s="1" t="str">
        <f ca="1">IFERROR(__xludf.DUMMYFUNCTION("""COMPUTED_VALUE"""),"〇")</f>
        <v>〇</v>
      </c>
      <c r="M70" s="1" t="str">
        <f ca="1">IFERROR(__xludf.DUMMYFUNCTION("""COMPUTED_VALUE"""),"〇")</f>
        <v>〇</v>
      </c>
      <c r="N70" s="1"/>
      <c r="O70" s="1"/>
      <c r="P70" s="1"/>
    </row>
    <row r="71" spans="1:16" ht="14.25" customHeight="1" x14ac:dyDescent="0.25">
      <c r="A71" s="1"/>
      <c r="B71" s="1">
        <f ca="1"/>
        <v>59</v>
      </c>
      <c r="C71" s="1">
        <f ca="1">IFERROR(__xludf.DUMMYFUNCTION("""COMPUTED_VALUE"""),2023)</f>
        <v>2023</v>
      </c>
      <c r="D71" s="1">
        <f ca="1">IFERROR(__xludf.DUMMYFUNCTION("""COMPUTED_VALUE"""),41810)</f>
        <v>41810</v>
      </c>
      <c r="E71" s="1" t="str">
        <f ca="1">IFERROR(__xludf.DUMMYFUNCTION("""COMPUTED_VALUE"""),"Aerosol Science and Engineering")</f>
        <v>Aerosol Science and Engineering</v>
      </c>
      <c r="F71" s="1" t="str">
        <f ca="1">IFERROR(__xludf.DUMMYFUNCTION("""COMPUTED_VALUE"""),"2510-3768")</f>
        <v>2510-3768</v>
      </c>
      <c r="G71" s="1" t="str">
        <f ca="1">IFERROR(__xludf.DUMMYFUNCTION("""COMPUTED_VALUE"""),"2510-375X")</f>
        <v>2510-375X</v>
      </c>
      <c r="H71" s="27" t="str">
        <f ca="1">IFERROR(__xludf.DUMMYFUNCTION("""COMPUTED_VALUE"""),"https://link.springer.com/journal/41810")</f>
        <v>https://link.springer.com/journal/41810</v>
      </c>
      <c r="I71" s="1" t="str">
        <f ca="1">IFERROR(__xludf.DUMMYFUNCTION("""COMPUTED_VALUE"""),"Springer")</f>
        <v>Springer</v>
      </c>
      <c r="J71" s="1">
        <f ca="1">IFERROR(__xludf.DUMMYFUNCTION("""COMPUTED_VALUE"""),2017)</f>
        <v>2017</v>
      </c>
      <c r="K71" s="1" t="str">
        <f ca="1">IFERROR(__xludf.DUMMYFUNCTION("""COMPUTED_VALUE"""),"Earth and Environmental Science")</f>
        <v>Earth and Environmental Science</v>
      </c>
      <c r="L71" s="1" t="str">
        <f ca="1">IFERROR(__xludf.DUMMYFUNCTION("""COMPUTED_VALUE"""),"〇")</f>
        <v>〇</v>
      </c>
      <c r="M71" s="1"/>
      <c r="N71" s="1" t="str">
        <f ca="1">IFERROR(__xludf.DUMMYFUNCTION("""COMPUTED_VALUE"""),"SNS17")</f>
        <v>SNS17</v>
      </c>
      <c r="O71" s="1"/>
      <c r="P71" s="1"/>
    </row>
    <row r="72" spans="1:16" ht="14.25" customHeight="1" x14ac:dyDescent="0.25">
      <c r="A72" s="1"/>
      <c r="B72" s="1">
        <f ca="1"/>
        <v>60</v>
      </c>
      <c r="C72" s="1">
        <f ca="1">IFERROR(__xludf.DUMMYFUNCTION("""COMPUTED_VALUE"""),2023)</f>
        <v>2023</v>
      </c>
      <c r="D72" s="1">
        <f ca="1">IFERROR(__xludf.DUMMYFUNCTION("""COMPUTED_VALUE"""),42401)</f>
        <v>42401</v>
      </c>
      <c r="E72" s="1" t="str">
        <f ca="1">IFERROR(__xludf.DUMMYFUNCTION("""COMPUTED_VALUE"""),"Aerospace Systems")</f>
        <v>Aerospace Systems</v>
      </c>
      <c r="F72" s="1" t="str">
        <f ca="1">IFERROR(__xludf.DUMMYFUNCTION("""COMPUTED_VALUE"""),"2523-3955")</f>
        <v>2523-3955</v>
      </c>
      <c r="G72" s="1" t="str">
        <f ca="1">IFERROR(__xludf.DUMMYFUNCTION("""COMPUTED_VALUE"""),"2523-3947")</f>
        <v>2523-3947</v>
      </c>
      <c r="H72" s="27" t="str">
        <f ca="1">IFERROR(__xludf.DUMMYFUNCTION("""COMPUTED_VALUE"""),"https://link.springer.com/journal/42401")</f>
        <v>https://link.springer.com/journal/42401</v>
      </c>
      <c r="I72" s="1" t="str">
        <f ca="1">IFERROR(__xludf.DUMMYFUNCTION("""COMPUTED_VALUE"""),"Springer")</f>
        <v>Springer</v>
      </c>
      <c r="J72" s="1">
        <f ca="1">IFERROR(__xludf.DUMMYFUNCTION("""COMPUTED_VALUE"""),2018)</f>
        <v>2018</v>
      </c>
      <c r="K72" s="1" t="str">
        <f ca="1">IFERROR(__xludf.DUMMYFUNCTION("""COMPUTED_VALUE"""),"Engineering")</f>
        <v>Engineering</v>
      </c>
      <c r="L72" s="1" t="str">
        <f ca="1">IFERROR(__xludf.DUMMYFUNCTION("""COMPUTED_VALUE"""),"〇")</f>
        <v>〇</v>
      </c>
      <c r="M72" s="1"/>
      <c r="N72" s="1" t="str">
        <f ca="1">IFERROR(__xludf.DUMMYFUNCTION("""COMPUTED_VALUE"""),"SNS18")</f>
        <v>SNS18</v>
      </c>
      <c r="O72" s="1"/>
      <c r="P72" s="1"/>
    </row>
    <row r="73" spans="1:16" ht="14.25" customHeight="1" x14ac:dyDescent="0.25">
      <c r="A73" s="1"/>
      <c r="B73" s="1">
        <f ca="1"/>
        <v>61</v>
      </c>
      <c r="C73" s="1">
        <f ca="1">IFERROR(__xludf.DUMMYFUNCTION("""COMPUTED_VALUE"""),2023)</f>
        <v>2023</v>
      </c>
      <c r="D73" s="1">
        <f ca="1">IFERROR(__xludf.DUMMYFUNCTION("""COMPUTED_VALUE"""),42496)</f>
        <v>42496</v>
      </c>
      <c r="E73" s="1" t="str">
        <f ca="1">IFERROR(__xludf.DUMMYFUNCTION("""COMPUTED_VALUE"""),"Aerotecnica Missili &amp; Spazio")</f>
        <v>Aerotecnica Missili &amp; Spazio</v>
      </c>
      <c r="F73" s="1" t="str">
        <f ca="1">IFERROR(__xludf.DUMMYFUNCTION("""COMPUTED_VALUE"""),"2524-6968")</f>
        <v>2524-6968</v>
      </c>
      <c r="G73" s="1" t="str">
        <f ca="1">IFERROR(__xludf.DUMMYFUNCTION("""COMPUTED_VALUE"""),"0365-7442")</f>
        <v>0365-7442</v>
      </c>
      <c r="H73" s="27" t="str">
        <f ca="1">IFERROR(__xludf.DUMMYFUNCTION("""COMPUTED_VALUE"""),"https://link.springer.com/journal/42496")</f>
        <v>https://link.springer.com/journal/42496</v>
      </c>
      <c r="I73" s="1" t="str">
        <f ca="1">IFERROR(__xludf.DUMMYFUNCTION("""COMPUTED_VALUE"""),"Springer")</f>
        <v>Springer</v>
      </c>
      <c r="J73" s="1">
        <f ca="1">IFERROR(__xludf.DUMMYFUNCTION("""COMPUTED_VALUE"""),2013)</f>
        <v>2013</v>
      </c>
      <c r="K73" s="1" t="str">
        <f ca="1">IFERROR(__xludf.DUMMYFUNCTION("""COMPUTED_VALUE"""),"Engineering")</f>
        <v>Engineering</v>
      </c>
      <c r="L73" s="1" t="str">
        <f ca="1">IFERROR(__xludf.DUMMYFUNCTION("""COMPUTED_VALUE"""),"〇")</f>
        <v>〇</v>
      </c>
      <c r="M73" s="1"/>
      <c r="N73" s="1" t="str">
        <f ca="1">IFERROR(__xludf.DUMMYFUNCTION("""COMPUTED_VALUE"""),"TO19")</f>
        <v>TO19</v>
      </c>
      <c r="O73" s="1"/>
      <c r="P73" s="1"/>
    </row>
    <row r="74" spans="1:16" ht="14.25" customHeight="1" x14ac:dyDescent="0.25">
      <c r="A74" s="1"/>
      <c r="B74" s="1">
        <f ca="1"/>
        <v>62</v>
      </c>
      <c r="C74" s="1">
        <f ca="1">IFERROR(__xludf.DUMMYFUNCTION("""COMPUTED_VALUE"""),2023)</f>
        <v>2023</v>
      </c>
      <c r="D74" s="1">
        <f ca="1">IFERROR(__xludf.DUMMYFUNCTION("""COMPUTED_VALUE"""),266)</f>
        <v>266</v>
      </c>
      <c r="E74" s="1" t="str">
        <f ca="1">IFERROR(__xludf.DUMMYFUNCTION("""COMPUTED_VALUE"""),"Aesthetic Plastic Surgery")</f>
        <v>Aesthetic Plastic Surgery</v>
      </c>
      <c r="F74" s="1" t="str">
        <f ca="1">IFERROR(__xludf.DUMMYFUNCTION("""COMPUTED_VALUE"""),"1432-5241")</f>
        <v>1432-5241</v>
      </c>
      <c r="G74" s="1" t="str">
        <f ca="1">IFERROR(__xludf.DUMMYFUNCTION("""COMPUTED_VALUE"""),"0364-216X")</f>
        <v>0364-216X</v>
      </c>
      <c r="H74" s="27" t="str">
        <f ca="1">IFERROR(__xludf.DUMMYFUNCTION("""COMPUTED_VALUE"""),"https://link.springer.com/journal/266")</f>
        <v>https://link.springer.com/journal/266</v>
      </c>
      <c r="I74" s="1" t="str">
        <f ca="1">IFERROR(__xludf.DUMMYFUNCTION("""COMPUTED_VALUE"""),"Springer")</f>
        <v>Springer</v>
      </c>
      <c r="J74" s="1">
        <f ca="1">IFERROR(__xludf.DUMMYFUNCTION("""COMPUTED_VALUE"""),2000)</f>
        <v>2000</v>
      </c>
      <c r="K74" s="1" t="str">
        <f ca="1">IFERROR(__xludf.DUMMYFUNCTION("""COMPUTED_VALUE"""),"Medicine")</f>
        <v>Medicine</v>
      </c>
      <c r="L74" s="1" t="str">
        <f ca="1">IFERROR(__xludf.DUMMYFUNCTION("""COMPUTED_VALUE"""),"〇")</f>
        <v>〇</v>
      </c>
      <c r="M74" s="1" t="str">
        <f ca="1">IFERROR(__xludf.DUMMYFUNCTION("""COMPUTED_VALUE"""),"〇")</f>
        <v>〇</v>
      </c>
      <c r="N74" s="1"/>
      <c r="O74" s="1"/>
      <c r="P74" s="1"/>
    </row>
    <row r="75" spans="1:16" ht="14.25" customHeight="1" x14ac:dyDescent="0.25">
      <c r="A75" s="1"/>
      <c r="B75" s="1">
        <f ca="1"/>
        <v>63</v>
      </c>
      <c r="C75" s="1">
        <f ca="1">IFERROR(__xludf.DUMMYFUNCTION("""COMPUTED_VALUE"""),2023)</f>
        <v>2023</v>
      </c>
      <c r="D75" s="1">
        <f ca="1">IFERROR(__xludf.DUMMYFUNCTION("""COMPUTED_VALUE"""),42761)</f>
        <v>42761</v>
      </c>
      <c r="E75" s="1" t="str">
        <f ca="1">IFERROR(__xludf.DUMMYFUNCTION("""COMPUTED_VALUE"""),"Affective Science")</f>
        <v>Affective Science</v>
      </c>
      <c r="F75" s="1" t="str">
        <f ca="1">IFERROR(__xludf.DUMMYFUNCTION("""COMPUTED_VALUE"""),"2662-205X")</f>
        <v>2662-205X</v>
      </c>
      <c r="G75" s="1" t="str">
        <f ca="1">IFERROR(__xludf.DUMMYFUNCTION("""COMPUTED_VALUE"""),"2662-2041")</f>
        <v>2662-2041</v>
      </c>
      <c r="H75" s="27" t="str">
        <f ca="1">IFERROR(__xludf.DUMMYFUNCTION("""COMPUTED_VALUE"""),"https://link.springer.com/journal/42761")</f>
        <v>https://link.springer.com/journal/42761</v>
      </c>
      <c r="I75" s="1" t="str">
        <f ca="1">IFERROR(__xludf.DUMMYFUNCTION("""COMPUTED_VALUE"""),"Springer")</f>
        <v>Springer</v>
      </c>
      <c r="J75" s="1">
        <f ca="1">IFERROR(__xludf.DUMMYFUNCTION("""COMPUTED_VALUE"""),2020)</f>
        <v>2020</v>
      </c>
      <c r="K75" s="1" t="str">
        <f ca="1">IFERROR(__xludf.DUMMYFUNCTION("""COMPUTED_VALUE"""),"Behavioral Science and Psychology")</f>
        <v>Behavioral Science and Psychology</v>
      </c>
      <c r="L75" s="1" t="str">
        <f ca="1">IFERROR(__xludf.DUMMYFUNCTION("""COMPUTED_VALUE"""),"〇")</f>
        <v>〇</v>
      </c>
      <c r="M75" s="1"/>
      <c r="N75" s="1" t="str">
        <f ca="1">IFERROR(__xludf.DUMMYFUNCTION("""COMPUTED_VALUE"""),"SNS20")</f>
        <v>SNS20</v>
      </c>
      <c r="O75" s="1"/>
      <c r="P75" s="1"/>
    </row>
    <row r="76" spans="1:16" ht="14.25" customHeight="1" x14ac:dyDescent="0.25">
      <c r="A76" s="1"/>
      <c r="B76" s="1">
        <f ca="1"/>
        <v>64</v>
      </c>
      <c r="C76" s="1">
        <f ca="1">IFERROR(__xludf.DUMMYFUNCTION("""COMPUTED_VALUE"""),2023)</f>
        <v>2023</v>
      </c>
      <c r="D76" s="1">
        <f ca="1">IFERROR(__xludf.DUMMYFUNCTION("""COMPUTED_VALUE"""),10437)</f>
        <v>10437</v>
      </c>
      <c r="E76" s="1" t="str">
        <f ca="1">IFERROR(__xludf.DUMMYFUNCTION("""COMPUTED_VALUE"""),"African Archaeological Review")</f>
        <v>African Archaeological Review</v>
      </c>
      <c r="F76" s="1" t="str">
        <f ca="1">IFERROR(__xludf.DUMMYFUNCTION("""COMPUTED_VALUE"""),"1572-9842")</f>
        <v>1572-9842</v>
      </c>
      <c r="G76" s="1" t="str">
        <f ca="1">IFERROR(__xludf.DUMMYFUNCTION("""COMPUTED_VALUE"""),"0263-0338")</f>
        <v>0263-0338</v>
      </c>
      <c r="H76" s="27" t="str">
        <f ca="1">IFERROR(__xludf.DUMMYFUNCTION("""COMPUTED_VALUE"""),"https://link.springer.com/journal/10437")</f>
        <v>https://link.springer.com/journal/10437</v>
      </c>
      <c r="I76" s="1" t="str">
        <f ca="1">IFERROR(__xludf.DUMMYFUNCTION("""COMPUTED_VALUE"""),"Springer")</f>
        <v>Springer</v>
      </c>
      <c r="J76" s="1">
        <f ca="1">IFERROR(__xludf.DUMMYFUNCTION("""COMPUTED_VALUE"""),2000)</f>
        <v>2000</v>
      </c>
      <c r="K76" s="1" t="str">
        <f ca="1">IFERROR(__xludf.DUMMYFUNCTION("""COMPUTED_VALUE"""),"Social Sciences")</f>
        <v>Social Sciences</v>
      </c>
      <c r="L76" s="1" t="str">
        <f ca="1">IFERROR(__xludf.DUMMYFUNCTION("""COMPUTED_VALUE"""),"〇")</f>
        <v>〇</v>
      </c>
      <c r="M76" s="1" t="str">
        <f ca="1">IFERROR(__xludf.DUMMYFUNCTION("""COMPUTED_VALUE"""),"〇")</f>
        <v>〇</v>
      </c>
      <c r="N76" s="1"/>
      <c r="O76" s="1"/>
      <c r="P76" s="1"/>
    </row>
    <row r="77" spans="1:16" ht="14.25" customHeight="1" x14ac:dyDescent="0.25">
      <c r="A77" s="1"/>
      <c r="B77" s="1">
        <f ca="1"/>
        <v>65</v>
      </c>
      <c r="C77" s="1">
        <f ca="1">IFERROR(__xludf.DUMMYFUNCTION("""COMPUTED_VALUE"""),2023)</f>
        <v>2023</v>
      </c>
      <c r="D77" s="1">
        <f ca="1">IFERROR(__xludf.DUMMYFUNCTION("""COMPUTED_VALUE"""),13370)</f>
        <v>13370</v>
      </c>
      <c r="E77" s="1" t="str">
        <f ca="1">IFERROR(__xludf.DUMMYFUNCTION("""COMPUTED_VALUE"""),"Afrika Matematika")</f>
        <v>Afrika Matematika</v>
      </c>
      <c r="F77" s="1" t="str">
        <f ca="1">IFERROR(__xludf.DUMMYFUNCTION("""COMPUTED_VALUE"""),"2190-7668")</f>
        <v>2190-7668</v>
      </c>
      <c r="G77" s="1" t="str">
        <f ca="1">IFERROR(__xludf.DUMMYFUNCTION("""COMPUTED_VALUE"""),"1012-9405")</f>
        <v>1012-9405</v>
      </c>
      <c r="H77" s="27" t="str">
        <f ca="1">IFERROR(__xludf.DUMMYFUNCTION("""COMPUTED_VALUE"""),"https://link.springer.com/journal/13370")</f>
        <v>https://link.springer.com/journal/13370</v>
      </c>
      <c r="I77" s="1" t="str">
        <f ca="1">IFERROR(__xludf.DUMMYFUNCTION("""COMPUTED_VALUE"""),"Springer")</f>
        <v>Springer</v>
      </c>
      <c r="J77" s="1">
        <f ca="1">IFERROR(__xludf.DUMMYFUNCTION("""COMPUTED_VALUE"""),2011)</f>
        <v>2011</v>
      </c>
      <c r="K77" s="1" t="str">
        <f ca="1">IFERROR(__xludf.DUMMYFUNCTION("""COMPUTED_VALUE"""),"Mathematics and Statistics")</f>
        <v>Mathematics and Statistics</v>
      </c>
      <c r="L77" s="1" t="str">
        <f ca="1">IFERROR(__xludf.DUMMYFUNCTION("""COMPUTED_VALUE"""),"〇")</f>
        <v>〇</v>
      </c>
      <c r="M77" s="1"/>
      <c r="N77" s="1" t="str">
        <f ca="1">IFERROR(__xludf.DUMMYFUNCTION("""COMPUTED_VALUE"""),"TO11")</f>
        <v>TO11</v>
      </c>
      <c r="O77" s="1"/>
      <c r="P77" s="1"/>
    </row>
    <row r="78" spans="1:16" ht="14.25" customHeight="1" x14ac:dyDescent="0.25">
      <c r="A78" s="1"/>
      <c r="B78" s="1">
        <f ca="1"/>
        <v>66</v>
      </c>
      <c r="C78" s="1">
        <f ca="1">IFERROR(__xludf.DUMMYFUNCTION("""COMPUTED_VALUE"""),2023)</f>
        <v>2023</v>
      </c>
      <c r="D78" s="1">
        <f ca="1">IFERROR(__xludf.DUMMYFUNCTION("""COMPUTED_VALUE"""),12126)</f>
        <v>12126</v>
      </c>
      <c r="E78" s="1" t="str">
        <f ca="1">IFERROR(__xludf.DUMMYFUNCTION("""COMPUTED_VALUE"""),"Ageing International")</f>
        <v>Ageing International</v>
      </c>
      <c r="F78" s="1" t="str">
        <f ca="1">IFERROR(__xludf.DUMMYFUNCTION("""COMPUTED_VALUE"""),"1936-606X")</f>
        <v>1936-606X</v>
      </c>
      <c r="G78" s="1" t="str">
        <f ca="1">IFERROR(__xludf.DUMMYFUNCTION("""COMPUTED_VALUE"""),"0163-5158")</f>
        <v>0163-5158</v>
      </c>
      <c r="H78" s="27" t="str">
        <f ca="1">IFERROR(__xludf.DUMMYFUNCTION("""COMPUTED_VALUE"""),"https://link.springer.com/journal/12126")</f>
        <v>https://link.springer.com/journal/12126</v>
      </c>
      <c r="I78" s="1" t="str">
        <f ca="1">IFERROR(__xludf.DUMMYFUNCTION("""COMPUTED_VALUE"""),"Springer")</f>
        <v>Springer</v>
      </c>
      <c r="J78" s="1">
        <f ca="1">IFERROR(__xludf.DUMMYFUNCTION("""COMPUTED_VALUE"""),2000)</f>
        <v>2000</v>
      </c>
      <c r="K78" s="1" t="str">
        <f ca="1">IFERROR(__xludf.DUMMYFUNCTION("""COMPUTED_VALUE"""),"Social Sciences")</f>
        <v>Social Sciences</v>
      </c>
      <c r="L78" s="1" t="str">
        <f ca="1">IFERROR(__xludf.DUMMYFUNCTION("""COMPUTED_VALUE"""),"〇")</f>
        <v>〇</v>
      </c>
      <c r="M78" s="1" t="str">
        <f ca="1">IFERROR(__xludf.DUMMYFUNCTION("""COMPUTED_VALUE"""),"〇")</f>
        <v>〇</v>
      </c>
      <c r="N78" s="1" t="str">
        <f ca="1">IFERROR(__xludf.DUMMYFUNCTION("""COMPUTED_VALUE"""),"TO7")</f>
        <v>TO7</v>
      </c>
      <c r="O78" s="1"/>
      <c r="P78" s="1"/>
    </row>
    <row r="79" spans="1:16" ht="14.25" customHeight="1" x14ac:dyDescent="0.25">
      <c r="A79" s="1"/>
      <c r="B79" s="1">
        <f ca="1"/>
        <v>67</v>
      </c>
      <c r="C79" s="1">
        <f ca="1">IFERROR(__xludf.DUMMYFUNCTION("""COMPUTED_VALUE"""),2023)</f>
        <v>2023</v>
      </c>
      <c r="D79" s="1">
        <f ca="1">IFERROR(__xludf.DUMMYFUNCTION("""COMPUTED_VALUE"""),40003)</f>
        <v>40003</v>
      </c>
      <c r="E79" s="1" t="str">
        <f ca="1">IFERROR(__xludf.DUMMYFUNCTION("""COMPUTED_VALUE"""),"Agricultural Research")</f>
        <v>Agricultural Research</v>
      </c>
      <c r="F79" s="1" t="str">
        <f ca="1">IFERROR(__xludf.DUMMYFUNCTION("""COMPUTED_VALUE"""),"2249-7218")</f>
        <v>2249-7218</v>
      </c>
      <c r="G79" s="1" t="str">
        <f ca="1">IFERROR(__xludf.DUMMYFUNCTION("""COMPUTED_VALUE"""),"2249-720X")</f>
        <v>2249-720X</v>
      </c>
      <c r="H79" s="27" t="str">
        <f ca="1">IFERROR(__xludf.DUMMYFUNCTION("""COMPUTED_VALUE"""),"https://link.springer.com/journal/40003")</f>
        <v>https://link.springer.com/journal/40003</v>
      </c>
      <c r="I79" s="1" t="str">
        <f ca="1">IFERROR(__xludf.DUMMYFUNCTION("""COMPUTED_VALUE"""),"Springer")</f>
        <v>Springer</v>
      </c>
      <c r="J79" s="1">
        <f ca="1">IFERROR(__xludf.DUMMYFUNCTION("""COMPUTED_VALUE"""),2012)</f>
        <v>2012</v>
      </c>
      <c r="K79" s="1" t="str">
        <f ca="1">IFERROR(__xludf.DUMMYFUNCTION("""COMPUTED_VALUE"""),"Biomedical and Life Sciences")</f>
        <v>Biomedical and Life Sciences</v>
      </c>
      <c r="L79" s="1" t="str">
        <f ca="1">IFERROR(__xludf.DUMMYFUNCTION("""COMPUTED_VALUE"""),"〇")</f>
        <v>〇</v>
      </c>
      <c r="M79" s="1"/>
      <c r="N79" s="1" t="str">
        <f ca="1">IFERROR(__xludf.DUMMYFUNCTION("""COMPUTED_VALUE"""),"SNS12")</f>
        <v>SNS12</v>
      </c>
      <c r="O79" s="1"/>
      <c r="P79" s="1"/>
    </row>
    <row r="80" spans="1:16" ht="14.25" customHeight="1" x14ac:dyDescent="0.25">
      <c r="A80" s="1"/>
      <c r="B80" s="1">
        <f ca="1"/>
        <v>68</v>
      </c>
      <c r="C80" s="1">
        <f ca="1">IFERROR(__xludf.DUMMYFUNCTION("""COMPUTED_VALUE"""),2023)</f>
        <v>2023</v>
      </c>
      <c r="D80" s="1">
        <f ca="1">IFERROR(__xludf.DUMMYFUNCTION("""COMPUTED_VALUE"""),10460)</f>
        <v>10460</v>
      </c>
      <c r="E80" s="1" t="str">
        <f ca="1">IFERROR(__xludf.DUMMYFUNCTION("""COMPUTED_VALUE"""),"Agriculture and Human Values")</f>
        <v>Agriculture and Human Values</v>
      </c>
      <c r="F80" s="1" t="str">
        <f ca="1">IFERROR(__xludf.DUMMYFUNCTION("""COMPUTED_VALUE"""),"1572-8366")</f>
        <v>1572-8366</v>
      </c>
      <c r="G80" s="1" t="str">
        <f ca="1">IFERROR(__xludf.DUMMYFUNCTION("""COMPUTED_VALUE"""),"0889-048X")</f>
        <v>0889-048X</v>
      </c>
      <c r="H80" s="27" t="str">
        <f ca="1">IFERROR(__xludf.DUMMYFUNCTION("""COMPUTED_VALUE"""),"https://link.springer.com/journal/10460")</f>
        <v>https://link.springer.com/journal/10460</v>
      </c>
      <c r="I80" s="1" t="str">
        <f ca="1">IFERROR(__xludf.DUMMYFUNCTION("""COMPUTED_VALUE"""),"Springer")</f>
        <v>Springer</v>
      </c>
      <c r="J80" s="1">
        <f ca="1">IFERROR(__xludf.DUMMYFUNCTION("""COMPUTED_VALUE"""),2000)</f>
        <v>2000</v>
      </c>
      <c r="K80" s="1" t="str">
        <f ca="1">IFERROR(__xludf.DUMMYFUNCTION("""COMPUTED_VALUE"""),"Education")</f>
        <v>Education</v>
      </c>
      <c r="L80" s="1" t="str">
        <f ca="1">IFERROR(__xludf.DUMMYFUNCTION("""COMPUTED_VALUE"""),"〇")</f>
        <v>〇</v>
      </c>
      <c r="M80" s="1" t="str">
        <f ca="1">IFERROR(__xludf.DUMMYFUNCTION("""COMPUTED_VALUE"""),"〇")</f>
        <v>〇</v>
      </c>
      <c r="N80" s="1"/>
      <c r="O80" s="1"/>
      <c r="P80" s="1"/>
    </row>
    <row r="81" spans="1:16" ht="14.25" customHeight="1" x14ac:dyDescent="0.25">
      <c r="A81" s="1"/>
      <c r="B81" s="1">
        <f ca="1"/>
        <v>69</v>
      </c>
      <c r="C81" s="1">
        <f ca="1">IFERROR(__xludf.DUMMYFUNCTION("""COMPUTED_VALUE"""),2023)</f>
        <v>2023</v>
      </c>
      <c r="D81" s="1">
        <f ca="1">IFERROR(__xludf.DUMMYFUNCTION("""COMPUTED_VALUE"""),10457)</f>
        <v>10457</v>
      </c>
      <c r="E81" s="1" t="str">
        <f ca="1">IFERROR(__xludf.DUMMYFUNCTION("""COMPUTED_VALUE"""),"Agroforestry Systems")</f>
        <v>Agroforestry Systems</v>
      </c>
      <c r="F81" s="1" t="str">
        <f ca="1">IFERROR(__xludf.DUMMYFUNCTION("""COMPUTED_VALUE"""),"1572-9680")</f>
        <v>1572-9680</v>
      </c>
      <c r="G81" s="1" t="str">
        <f ca="1">IFERROR(__xludf.DUMMYFUNCTION("""COMPUTED_VALUE"""),"0167-4366")</f>
        <v>0167-4366</v>
      </c>
      <c r="H81" s="27" t="str">
        <f ca="1">IFERROR(__xludf.DUMMYFUNCTION("""COMPUTED_VALUE"""),"https://link.springer.com/journal/10457")</f>
        <v>https://link.springer.com/journal/10457</v>
      </c>
      <c r="I81" s="1" t="str">
        <f ca="1">IFERROR(__xludf.DUMMYFUNCTION("""COMPUTED_VALUE"""),"Springer")</f>
        <v>Springer</v>
      </c>
      <c r="J81" s="1">
        <f ca="1">IFERROR(__xludf.DUMMYFUNCTION("""COMPUTED_VALUE"""),2000)</f>
        <v>2000</v>
      </c>
      <c r="K81" s="1" t="str">
        <f ca="1">IFERROR(__xludf.DUMMYFUNCTION("""COMPUTED_VALUE"""),"Biomedical and Life Sciences")</f>
        <v>Biomedical and Life Sciences</v>
      </c>
      <c r="L81" s="1" t="str">
        <f ca="1">IFERROR(__xludf.DUMMYFUNCTION("""COMPUTED_VALUE"""),"〇")</f>
        <v>〇</v>
      </c>
      <c r="M81" s="1" t="str">
        <f ca="1">IFERROR(__xludf.DUMMYFUNCTION("""COMPUTED_VALUE"""),"〇")</f>
        <v>〇</v>
      </c>
      <c r="N81" s="1"/>
      <c r="O81" s="1"/>
      <c r="P81" s="1"/>
    </row>
    <row r="82" spans="1:16" ht="14.25" customHeight="1" x14ac:dyDescent="0.25">
      <c r="A82" s="1"/>
      <c r="B82" s="1">
        <f ca="1"/>
        <v>70</v>
      </c>
      <c r="C82" s="1">
        <f ca="1">IFERROR(__xludf.DUMMYFUNCTION("""COMPUTED_VALUE"""),2023)</f>
        <v>2023</v>
      </c>
      <c r="D82" s="1">
        <f ca="1">IFERROR(__xludf.DUMMYFUNCTION("""COMPUTED_VALUE"""),13593)</f>
        <v>13593</v>
      </c>
      <c r="E82" s="1" t="str">
        <f ca="1">IFERROR(__xludf.DUMMYFUNCTION("""COMPUTED_VALUE"""),"Agronomy for Sustainable Development")</f>
        <v>Agronomy for Sustainable Development</v>
      </c>
      <c r="F82" s="1" t="str">
        <f ca="1">IFERROR(__xludf.DUMMYFUNCTION("""COMPUTED_VALUE"""),"1773-0155")</f>
        <v>1773-0155</v>
      </c>
      <c r="G82" s="1" t="str">
        <f ca="1">IFERROR(__xludf.DUMMYFUNCTION("""COMPUTED_VALUE"""),"1774-0746")</f>
        <v>1774-0746</v>
      </c>
      <c r="H82" s="27" t="str">
        <f ca="1">IFERROR(__xludf.DUMMYFUNCTION("""COMPUTED_VALUE"""),"https://link.springer.com/journal/13593")</f>
        <v>https://link.springer.com/journal/13593</v>
      </c>
      <c r="I82" s="1" t="str">
        <f ca="1">IFERROR(__xludf.DUMMYFUNCTION("""COMPUTED_VALUE"""),"Springer")</f>
        <v>Springer</v>
      </c>
      <c r="J82" s="1">
        <f ca="1">IFERROR(__xludf.DUMMYFUNCTION("""COMPUTED_VALUE"""),2007)</f>
        <v>2007</v>
      </c>
      <c r="K82" s="1" t="str">
        <f ca="1">IFERROR(__xludf.DUMMYFUNCTION("""COMPUTED_VALUE"""),"Biomedical and Life Sciences")</f>
        <v>Biomedical and Life Sciences</v>
      </c>
      <c r="L82" s="1" t="str">
        <f ca="1">IFERROR(__xludf.DUMMYFUNCTION("""COMPUTED_VALUE"""),"〇")</f>
        <v>〇</v>
      </c>
      <c r="M82" s="1"/>
      <c r="N82" s="1" t="str">
        <f ca="1">IFERROR(__xludf.DUMMYFUNCTION("""COMPUTED_VALUE"""),"TO11")</f>
        <v>TO11</v>
      </c>
      <c r="O82" s="1"/>
      <c r="P82" s="1"/>
    </row>
    <row r="83" spans="1:16" ht="14.25" customHeight="1" x14ac:dyDescent="0.25">
      <c r="A83" s="1"/>
      <c r="B83" s="1">
        <f ca="1"/>
        <v>71</v>
      </c>
      <c r="C83" s="1">
        <f ca="1">IFERROR(__xludf.DUMMYFUNCTION("""COMPUTED_VALUE"""),2023)</f>
        <v>2023</v>
      </c>
      <c r="D83" s="1">
        <f ca="1">IFERROR(__xludf.DUMMYFUNCTION("""COMPUTED_VALUE"""),146)</f>
        <v>146</v>
      </c>
      <c r="E83" s="1" t="str">
        <f ca="1">IFERROR(__xludf.DUMMYFUNCTION("""COMPUTED_VALUE"""),"AI &amp; SOCIETY")</f>
        <v>AI &amp; SOCIETY</v>
      </c>
      <c r="F83" s="1" t="str">
        <f ca="1">IFERROR(__xludf.DUMMYFUNCTION("""COMPUTED_VALUE"""),"1435-5655")</f>
        <v>1435-5655</v>
      </c>
      <c r="G83" s="1" t="str">
        <f ca="1">IFERROR(__xludf.DUMMYFUNCTION("""COMPUTED_VALUE"""),"0951-5666")</f>
        <v>0951-5666</v>
      </c>
      <c r="H83" s="27" t="str">
        <f ca="1">IFERROR(__xludf.DUMMYFUNCTION("""COMPUTED_VALUE"""),"https://link.springer.com/journal/146")</f>
        <v>https://link.springer.com/journal/146</v>
      </c>
      <c r="I83" s="1" t="str">
        <f ca="1">IFERROR(__xludf.DUMMYFUNCTION("""COMPUTED_VALUE"""),"Springer")</f>
        <v>Springer</v>
      </c>
      <c r="J83" s="1">
        <f ca="1">IFERROR(__xludf.DUMMYFUNCTION("""COMPUTED_VALUE"""),2000)</f>
        <v>2000</v>
      </c>
      <c r="K83" s="1" t="str">
        <f ca="1">IFERROR(__xludf.DUMMYFUNCTION("""COMPUTED_VALUE"""),"Computer Science")</f>
        <v>Computer Science</v>
      </c>
      <c r="L83" s="1" t="str">
        <f ca="1">IFERROR(__xludf.DUMMYFUNCTION("""COMPUTED_VALUE"""),"〇")</f>
        <v>〇</v>
      </c>
      <c r="M83" s="1" t="str">
        <f ca="1">IFERROR(__xludf.DUMMYFUNCTION("""COMPUTED_VALUE"""),"〇")</f>
        <v>〇</v>
      </c>
      <c r="N83" s="1"/>
      <c r="O83" s="1"/>
      <c r="P83" s="1"/>
    </row>
    <row r="84" spans="1:16" ht="14.25" customHeight="1" x14ac:dyDescent="0.25">
      <c r="A84" s="1"/>
      <c r="B84" s="1">
        <f ca="1"/>
        <v>72</v>
      </c>
      <c r="C84" s="1">
        <f ca="1">IFERROR(__xludf.DUMMYFUNCTION("""COMPUTED_VALUE"""),2023)</f>
        <v>2023</v>
      </c>
      <c r="D84" s="1">
        <f ca="1">IFERROR(__xludf.DUMMYFUNCTION("""COMPUTED_VALUE"""),43681)</f>
        <v>43681</v>
      </c>
      <c r="E84" s="1" t="str">
        <f ca="1">IFERROR(__xludf.DUMMYFUNCTION("""COMPUTED_VALUE"""),"AI and Ethics")</f>
        <v>AI and Ethics</v>
      </c>
      <c r="F84" s="1" t="str">
        <f ca="1">IFERROR(__xludf.DUMMYFUNCTION("""COMPUTED_VALUE"""),"2730-5961")</f>
        <v>2730-5961</v>
      </c>
      <c r="G84" s="1" t="str">
        <f ca="1">IFERROR(__xludf.DUMMYFUNCTION("""COMPUTED_VALUE"""),"2730-5953")</f>
        <v>2730-5953</v>
      </c>
      <c r="H84" s="27" t="str">
        <f ca="1">IFERROR(__xludf.DUMMYFUNCTION("""COMPUTED_VALUE"""),"https://link.springer.com/journal/43681")</f>
        <v>https://link.springer.com/journal/43681</v>
      </c>
      <c r="I84" s="1" t="str">
        <f ca="1">IFERROR(__xludf.DUMMYFUNCTION("""COMPUTED_VALUE"""),"Springer")</f>
        <v>Springer</v>
      </c>
      <c r="J84" s="1">
        <f ca="1">IFERROR(__xludf.DUMMYFUNCTION("""COMPUTED_VALUE"""),2021)</f>
        <v>2021</v>
      </c>
      <c r="K84" s="1" t="str">
        <f ca="1">IFERROR(__xludf.DUMMYFUNCTION("""COMPUTED_VALUE"""),"Computer Science")</f>
        <v>Computer Science</v>
      </c>
      <c r="L84" s="1" t="str">
        <f ca="1">IFERROR(__xludf.DUMMYFUNCTION("""COMPUTED_VALUE"""),"〇")</f>
        <v>〇</v>
      </c>
      <c r="M84" s="1"/>
      <c r="N84" s="1" t="str">
        <f ca="1">IFERROR(__xludf.DUMMYFUNCTION("""COMPUTED_VALUE"""),"SNS21")</f>
        <v>SNS21</v>
      </c>
      <c r="O84" s="1"/>
      <c r="P84" s="1"/>
    </row>
    <row r="85" spans="1:16" ht="14.25" customHeight="1" x14ac:dyDescent="0.25">
      <c r="A85" s="1"/>
      <c r="B85" s="1">
        <f ca="1"/>
        <v>73</v>
      </c>
      <c r="C85" s="1">
        <f ca="1">IFERROR(__xludf.DUMMYFUNCTION("""COMPUTED_VALUE"""),2023)</f>
        <v>2023</v>
      </c>
      <c r="D85" s="1">
        <f ca="1">IFERROR(__xludf.DUMMYFUNCTION("""COMPUTED_VALUE"""),10461)</f>
        <v>10461</v>
      </c>
      <c r="E85" s="1" t="str">
        <f ca="1">IFERROR(__xludf.DUMMYFUNCTION("""COMPUTED_VALUE"""),"AIDS and Behavior")</f>
        <v>AIDS and Behavior</v>
      </c>
      <c r="F85" s="1" t="str">
        <f ca="1">IFERROR(__xludf.DUMMYFUNCTION("""COMPUTED_VALUE"""),"1573-3254")</f>
        <v>1573-3254</v>
      </c>
      <c r="G85" s="1" t="str">
        <f ca="1">IFERROR(__xludf.DUMMYFUNCTION("""COMPUTED_VALUE"""),"1090-7165")</f>
        <v>1090-7165</v>
      </c>
      <c r="H85" s="27" t="str">
        <f ca="1">IFERROR(__xludf.DUMMYFUNCTION("""COMPUTED_VALUE"""),"https://link.springer.com/journal/10461")</f>
        <v>https://link.springer.com/journal/10461</v>
      </c>
      <c r="I85" s="1" t="str">
        <f ca="1">IFERROR(__xludf.DUMMYFUNCTION("""COMPUTED_VALUE"""),"Springer")</f>
        <v>Springer</v>
      </c>
      <c r="J85" s="1">
        <f ca="1">IFERROR(__xludf.DUMMYFUNCTION("""COMPUTED_VALUE"""),2000)</f>
        <v>2000</v>
      </c>
      <c r="K85" s="1" t="str">
        <f ca="1">IFERROR(__xludf.DUMMYFUNCTION("""COMPUTED_VALUE"""),"Medicine")</f>
        <v>Medicine</v>
      </c>
      <c r="L85" s="1" t="str">
        <f ca="1">IFERROR(__xludf.DUMMYFUNCTION("""COMPUTED_VALUE"""),"〇")</f>
        <v>〇</v>
      </c>
      <c r="M85" s="1" t="str">
        <f ca="1">IFERROR(__xludf.DUMMYFUNCTION("""COMPUTED_VALUE"""),"〇")</f>
        <v>〇</v>
      </c>
      <c r="N85" s="1"/>
      <c r="O85" s="1"/>
      <c r="P85" s="1"/>
    </row>
    <row r="86" spans="1:16" ht="14.25" customHeight="1" x14ac:dyDescent="0.25">
      <c r="A86" s="1"/>
      <c r="B86" s="1">
        <f ca="1"/>
        <v>74</v>
      </c>
      <c r="C86" s="1">
        <f ca="1">IFERROR(__xludf.DUMMYFUNCTION("""COMPUTED_VALUE"""),2023)</f>
        <v>2023</v>
      </c>
      <c r="D86" s="1">
        <f ca="1">IFERROR(__xludf.DUMMYFUNCTION("""COMPUTED_VALUE"""),11869)</f>
        <v>11869</v>
      </c>
      <c r="E86" s="1" t="str">
        <f ca="1">IFERROR(__xludf.DUMMYFUNCTION("""COMPUTED_VALUE"""),"Air Quality, Atmosphere &amp; Health")</f>
        <v>Air Quality, Atmosphere &amp; Health</v>
      </c>
      <c r="F86" s="1" t="str">
        <f ca="1">IFERROR(__xludf.DUMMYFUNCTION("""COMPUTED_VALUE"""),"1873-9326")</f>
        <v>1873-9326</v>
      </c>
      <c r="G86" s="1"/>
      <c r="H86" s="27" t="str">
        <f ca="1">IFERROR(__xludf.DUMMYFUNCTION("""COMPUTED_VALUE"""),"https://link.springer.com/journal/11869")</f>
        <v>https://link.springer.com/journal/11869</v>
      </c>
      <c r="I86" s="1" t="str">
        <f ca="1">IFERROR(__xludf.DUMMYFUNCTION("""COMPUTED_VALUE"""),"Springer")</f>
        <v>Springer</v>
      </c>
      <c r="J86" s="1">
        <f ca="1">IFERROR(__xludf.DUMMYFUNCTION("""COMPUTED_VALUE"""),2008)</f>
        <v>2008</v>
      </c>
      <c r="K86" s="1" t="str">
        <f ca="1">IFERROR(__xludf.DUMMYFUNCTION("""COMPUTED_VALUE"""),"Earth and Environmental Science")</f>
        <v>Earth and Environmental Science</v>
      </c>
      <c r="L86" s="1"/>
      <c r="M86" s="1" t="str">
        <f ca="1">IFERROR(__xludf.DUMMYFUNCTION("""COMPUTED_VALUE"""),"〇")</f>
        <v>〇</v>
      </c>
      <c r="N86" s="1" t="str">
        <f ca="1">IFERROR(__xludf.DUMMYFUNCTION("""COMPUTED_VALUE"""),"SNS8")</f>
        <v>SNS8</v>
      </c>
      <c r="O86" s="1"/>
      <c r="P86" s="1"/>
    </row>
    <row r="87" spans="1:16" ht="14.25" customHeight="1" x14ac:dyDescent="0.25">
      <c r="A87" s="1"/>
      <c r="B87" s="1">
        <f ca="1"/>
        <v>75</v>
      </c>
      <c r="C87" s="1">
        <f ca="1">IFERROR(__xludf.DUMMYFUNCTION("""COMPUTED_VALUE"""),2023)</f>
        <v>2023</v>
      </c>
      <c r="D87" s="1">
        <f ca="1">IFERROR(__xludf.DUMMYFUNCTION("""COMPUTED_VALUE"""),15009)</f>
        <v>15009</v>
      </c>
      <c r="E87" s="1" t="str">
        <f ca="1">IFERROR(__xludf.DUMMYFUNCTION("""COMPUTED_VALUE"""),"Akupunktur &amp; Aurikulomedizin")</f>
        <v>Akupunktur &amp; Aurikulomedizin</v>
      </c>
      <c r="F87" s="1" t="str">
        <f ca="1">IFERROR(__xludf.DUMMYFUNCTION("""COMPUTED_VALUE"""),"2196-6400")</f>
        <v>2196-6400</v>
      </c>
      <c r="G87" s="1" t="str">
        <f ca="1">IFERROR(__xludf.DUMMYFUNCTION("""COMPUTED_VALUE"""),"2192-9319")</f>
        <v>2192-9319</v>
      </c>
      <c r="H87" s="27" t="str">
        <f ca="1">IFERROR(__xludf.DUMMYFUNCTION("""COMPUTED_VALUE"""),"https://link.springer.com/journal/15009")</f>
        <v>https://link.springer.com/journal/15009</v>
      </c>
      <c r="I87" s="1" t="str">
        <f ca="1">IFERROR(__xludf.DUMMYFUNCTION("""COMPUTED_VALUE"""),"SpringerMedizin")</f>
        <v>SpringerMedizin</v>
      </c>
      <c r="J87" s="1">
        <f ca="1">IFERROR(__xludf.DUMMYFUNCTION("""COMPUTED_VALUE"""),2013)</f>
        <v>2013</v>
      </c>
      <c r="K87" s="1" t="str">
        <f ca="1">IFERROR(__xludf.DUMMYFUNCTION("""COMPUTED_VALUE"""),"Medicine")</f>
        <v>Medicine</v>
      </c>
      <c r="L87" s="1" t="str">
        <f ca="1">IFERROR(__xludf.DUMMYFUNCTION("""COMPUTED_VALUE"""),"〇")</f>
        <v>〇</v>
      </c>
      <c r="M87" s="1"/>
      <c r="N87" s="1"/>
      <c r="O87" s="1"/>
      <c r="P87" s="1"/>
    </row>
    <row r="88" spans="1:16" ht="14.25" customHeight="1" x14ac:dyDescent="0.25">
      <c r="A88" s="1"/>
      <c r="B88" s="1">
        <f ca="1"/>
        <v>76</v>
      </c>
      <c r="C88" s="1">
        <f ca="1">IFERROR(__xludf.DUMMYFUNCTION("""COMPUTED_VALUE"""),2023)</f>
        <v>2023</v>
      </c>
      <c r="D88" s="1">
        <f ca="1">IFERROR(__xludf.DUMMYFUNCTION("""COMPUTED_VALUE"""),10469)</f>
        <v>10469</v>
      </c>
      <c r="E88" s="1" t="str">
        <f ca="1">IFERROR(__xludf.DUMMYFUNCTION("""COMPUTED_VALUE"""),"Algebra and Logic")</f>
        <v>Algebra and Logic</v>
      </c>
      <c r="F88" s="1" t="str">
        <f ca="1">IFERROR(__xludf.DUMMYFUNCTION("""COMPUTED_VALUE"""),"1573-8302")</f>
        <v>1573-8302</v>
      </c>
      <c r="G88" s="1" t="str">
        <f ca="1">IFERROR(__xludf.DUMMYFUNCTION("""COMPUTED_VALUE"""),"0002-5232")</f>
        <v>0002-5232</v>
      </c>
      <c r="H88" s="27" t="str">
        <f ca="1">IFERROR(__xludf.DUMMYFUNCTION("""COMPUTED_VALUE"""),"https://link.springer.com/journal/10469")</f>
        <v>https://link.springer.com/journal/10469</v>
      </c>
      <c r="I88" s="1" t="str">
        <f ca="1">IFERROR(__xludf.DUMMYFUNCTION("""COMPUTED_VALUE"""),"Springer")</f>
        <v>Springer</v>
      </c>
      <c r="J88" s="1">
        <f ca="1">IFERROR(__xludf.DUMMYFUNCTION("""COMPUTED_VALUE"""),2000)</f>
        <v>2000</v>
      </c>
      <c r="K88" s="1" t="str">
        <f ca="1">IFERROR(__xludf.DUMMYFUNCTION("""COMPUTED_VALUE"""),"Mathematics and Statistics")</f>
        <v>Mathematics and Statistics</v>
      </c>
      <c r="L88" s="1" t="str">
        <f ca="1">IFERROR(__xludf.DUMMYFUNCTION("""COMPUTED_VALUE"""),"〇")</f>
        <v>〇</v>
      </c>
      <c r="M88" s="1" t="str">
        <f ca="1">IFERROR(__xludf.DUMMYFUNCTION("""COMPUTED_VALUE"""),"〇")</f>
        <v>〇</v>
      </c>
      <c r="N88" s="1"/>
      <c r="O88" s="1"/>
      <c r="P88" s="1"/>
    </row>
    <row r="89" spans="1:16" ht="14.25" customHeight="1" x14ac:dyDescent="0.25">
      <c r="A89" s="1"/>
      <c r="B89" s="1">
        <f ca="1"/>
        <v>77</v>
      </c>
      <c r="C89" s="1">
        <f ca="1">IFERROR(__xludf.DUMMYFUNCTION("""COMPUTED_VALUE"""),2023)</f>
        <v>2023</v>
      </c>
      <c r="D89" s="1">
        <f ca="1">IFERROR(__xludf.DUMMYFUNCTION("""COMPUTED_VALUE"""),12)</f>
        <v>12</v>
      </c>
      <c r="E89" s="1" t="str">
        <f ca="1">IFERROR(__xludf.DUMMYFUNCTION("""COMPUTED_VALUE"""),"Algebra universalis")</f>
        <v>Algebra universalis</v>
      </c>
      <c r="F89" s="1" t="str">
        <f ca="1">IFERROR(__xludf.DUMMYFUNCTION("""COMPUTED_VALUE"""),"1420-8911")</f>
        <v>1420-8911</v>
      </c>
      <c r="G89" s="1" t="str">
        <f ca="1">IFERROR(__xludf.DUMMYFUNCTION("""COMPUTED_VALUE"""),"0002-5240")</f>
        <v>0002-5240</v>
      </c>
      <c r="H89" s="27" t="str">
        <f ca="1">IFERROR(__xludf.DUMMYFUNCTION("""COMPUTED_VALUE"""),"https://link.springer.com/journal/12")</f>
        <v>https://link.springer.com/journal/12</v>
      </c>
      <c r="I89" s="1" t="str">
        <f ca="1">IFERROR(__xludf.DUMMYFUNCTION("""COMPUTED_VALUE"""),"Birkhäuser")</f>
        <v>Birkhäuser</v>
      </c>
      <c r="J89" s="1">
        <f ca="1">IFERROR(__xludf.DUMMYFUNCTION("""COMPUTED_VALUE"""),2000)</f>
        <v>2000</v>
      </c>
      <c r="K89" s="1" t="str">
        <f ca="1">IFERROR(__xludf.DUMMYFUNCTION("""COMPUTED_VALUE"""),"Mathematics and Statistics")</f>
        <v>Mathematics and Statistics</v>
      </c>
      <c r="L89" s="1" t="str">
        <f ca="1">IFERROR(__xludf.DUMMYFUNCTION("""COMPUTED_VALUE"""),"〇")</f>
        <v>〇</v>
      </c>
      <c r="M89" s="1" t="str">
        <f ca="1">IFERROR(__xludf.DUMMYFUNCTION("""COMPUTED_VALUE"""),"〇")</f>
        <v>〇</v>
      </c>
      <c r="N89" s="1"/>
      <c r="O89" s="1"/>
      <c r="P89" s="1"/>
    </row>
    <row r="90" spans="1:16" ht="14.25" customHeight="1" x14ac:dyDescent="0.25">
      <c r="A90" s="1"/>
      <c r="B90" s="1">
        <f ca="1"/>
        <v>78</v>
      </c>
      <c r="C90" s="1">
        <f ca="1">IFERROR(__xludf.DUMMYFUNCTION("""COMPUTED_VALUE"""),2023)</f>
        <v>2023</v>
      </c>
      <c r="D90" s="1">
        <f ca="1">IFERROR(__xludf.DUMMYFUNCTION("""COMPUTED_VALUE"""),10468)</f>
        <v>10468</v>
      </c>
      <c r="E90" s="1" t="str">
        <f ca="1">IFERROR(__xludf.DUMMYFUNCTION("""COMPUTED_VALUE"""),"Algebras and Representation Theory")</f>
        <v>Algebras and Representation Theory</v>
      </c>
      <c r="F90" s="1" t="str">
        <f ca="1">IFERROR(__xludf.DUMMYFUNCTION("""COMPUTED_VALUE"""),"1572-9079")</f>
        <v>1572-9079</v>
      </c>
      <c r="G90" s="1" t="str">
        <f ca="1">IFERROR(__xludf.DUMMYFUNCTION("""COMPUTED_VALUE"""),"1386-923X")</f>
        <v>1386-923X</v>
      </c>
      <c r="H90" s="27" t="str">
        <f ca="1">IFERROR(__xludf.DUMMYFUNCTION("""COMPUTED_VALUE"""),"https://link.springer.com/journal/10468")</f>
        <v>https://link.springer.com/journal/10468</v>
      </c>
      <c r="I90" s="1" t="str">
        <f ca="1">IFERROR(__xludf.DUMMYFUNCTION("""COMPUTED_VALUE"""),"Springer")</f>
        <v>Springer</v>
      </c>
      <c r="J90" s="1">
        <f ca="1">IFERROR(__xludf.DUMMYFUNCTION("""COMPUTED_VALUE"""),2000)</f>
        <v>2000</v>
      </c>
      <c r="K90" s="1" t="str">
        <f ca="1">IFERROR(__xludf.DUMMYFUNCTION("""COMPUTED_VALUE"""),"Mathematics and Statistics")</f>
        <v>Mathematics and Statistics</v>
      </c>
      <c r="L90" s="1" t="str">
        <f ca="1">IFERROR(__xludf.DUMMYFUNCTION("""COMPUTED_VALUE"""),"〇")</f>
        <v>〇</v>
      </c>
      <c r="M90" s="1" t="str">
        <f ca="1">IFERROR(__xludf.DUMMYFUNCTION("""COMPUTED_VALUE"""),"〇")</f>
        <v>〇</v>
      </c>
      <c r="N90" s="1"/>
      <c r="O90" s="1"/>
      <c r="P90" s="1"/>
    </row>
    <row r="91" spans="1:16" ht="14.25" customHeight="1" x14ac:dyDescent="0.25">
      <c r="A91" s="1"/>
      <c r="B91" s="1">
        <f ca="1"/>
        <v>79</v>
      </c>
      <c r="C91" s="1">
        <f ca="1">IFERROR(__xludf.DUMMYFUNCTION("""COMPUTED_VALUE"""),2023)</f>
        <v>2023</v>
      </c>
      <c r="D91" s="1">
        <f ca="1">IFERROR(__xludf.DUMMYFUNCTION("""COMPUTED_VALUE"""),453)</f>
        <v>453</v>
      </c>
      <c r="E91" s="1" t="str">
        <f ca="1">IFERROR(__xludf.DUMMYFUNCTION("""COMPUTED_VALUE"""),"Algorithmica")</f>
        <v>Algorithmica</v>
      </c>
      <c r="F91" s="1" t="str">
        <f ca="1">IFERROR(__xludf.DUMMYFUNCTION("""COMPUTED_VALUE"""),"1432-0541")</f>
        <v>1432-0541</v>
      </c>
      <c r="G91" s="1" t="str">
        <f ca="1">IFERROR(__xludf.DUMMYFUNCTION("""COMPUTED_VALUE"""),"0178-4617")</f>
        <v>0178-4617</v>
      </c>
      <c r="H91" s="27" t="str">
        <f ca="1">IFERROR(__xludf.DUMMYFUNCTION("""COMPUTED_VALUE"""),"https://link.springer.com/journal/453")</f>
        <v>https://link.springer.com/journal/453</v>
      </c>
      <c r="I91" s="1" t="str">
        <f ca="1">IFERROR(__xludf.DUMMYFUNCTION("""COMPUTED_VALUE"""),"Springer")</f>
        <v>Springer</v>
      </c>
      <c r="J91" s="1">
        <f ca="1">IFERROR(__xludf.DUMMYFUNCTION("""COMPUTED_VALUE"""),2000)</f>
        <v>2000</v>
      </c>
      <c r="K91" s="1" t="str">
        <f ca="1">IFERROR(__xludf.DUMMYFUNCTION("""COMPUTED_VALUE"""),"Computer Science")</f>
        <v>Computer Science</v>
      </c>
      <c r="L91" s="1" t="str">
        <f ca="1">IFERROR(__xludf.DUMMYFUNCTION("""COMPUTED_VALUE"""),"〇")</f>
        <v>〇</v>
      </c>
      <c r="M91" s="1" t="str">
        <f ca="1">IFERROR(__xludf.DUMMYFUNCTION("""COMPUTED_VALUE"""),"〇")</f>
        <v>〇</v>
      </c>
      <c r="N91" s="1"/>
      <c r="O91" s="1"/>
      <c r="P91" s="1"/>
    </row>
    <row r="92" spans="1:16" ht="14.25" customHeight="1" x14ac:dyDescent="0.25">
      <c r="A92" s="1"/>
      <c r="B92" s="1">
        <f ca="1"/>
        <v>80</v>
      </c>
      <c r="C92" s="1">
        <f ca="1">IFERROR(__xludf.DUMMYFUNCTION("""COMPUTED_VALUE"""),2023)</f>
        <v>2023</v>
      </c>
      <c r="D92" s="1">
        <f ca="1">IFERROR(__xludf.DUMMYFUNCTION("""COMPUTED_VALUE"""),15007)</f>
        <v>15007</v>
      </c>
      <c r="E92" s="1" t="str">
        <f ca="1">IFERROR(__xludf.DUMMYFUNCTION("""COMPUTED_VALUE"""),"Allergo Journal")</f>
        <v>Allergo Journal</v>
      </c>
      <c r="F92" s="1" t="str">
        <f ca="1">IFERROR(__xludf.DUMMYFUNCTION("""COMPUTED_VALUE"""),"2195-6405")</f>
        <v>2195-6405</v>
      </c>
      <c r="G92" s="1" t="str">
        <f ca="1">IFERROR(__xludf.DUMMYFUNCTION("""COMPUTED_VALUE"""),"0941-8849")</f>
        <v>0941-8849</v>
      </c>
      <c r="H92" s="27" t="str">
        <f ca="1">IFERROR(__xludf.DUMMYFUNCTION("""COMPUTED_VALUE"""),"https://link.springer.com/journal/15007")</f>
        <v>https://link.springer.com/journal/15007</v>
      </c>
      <c r="I92" s="1" t="str">
        <f ca="1">IFERROR(__xludf.DUMMYFUNCTION("""COMPUTED_VALUE"""),"SpringerMedizin")</f>
        <v>SpringerMedizin</v>
      </c>
      <c r="J92" s="1">
        <f ca="1">IFERROR(__xludf.DUMMYFUNCTION("""COMPUTED_VALUE"""),2000)</f>
        <v>2000</v>
      </c>
      <c r="K92" s="1" t="str">
        <f ca="1">IFERROR(__xludf.DUMMYFUNCTION("""COMPUTED_VALUE"""),"Medicine")</f>
        <v>Medicine</v>
      </c>
      <c r="L92" s="1" t="str">
        <f ca="1">IFERROR(__xludf.DUMMYFUNCTION("""COMPUTED_VALUE"""),"〇")</f>
        <v>〇</v>
      </c>
      <c r="M92" s="1"/>
      <c r="N92" s="1"/>
      <c r="O92" s="1"/>
      <c r="P92" s="1"/>
    </row>
    <row r="93" spans="1:16" ht="14.25" customHeight="1" x14ac:dyDescent="0.25">
      <c r="A93" s="1"/>
      <c r="B93" s="1">
        <f ca="1"/>
        <v>81</v>
      </c>
      <c r="C93" s="1">
        <f ca="1">IFERROR(__xludf.DUMMYFUNCTION("""COMPUTED_VALUE"""),2023)</f>
        <v>2023</v>
      </c>
      <c r="D93" s="1">
        <f ca="1">IFERROR(__xludf.DUMMYFUNCTION("""COMPUTED_VALUE"""),40629)</f>
        <v>40629</v>
      </c>
      <c r="E93" s="1" t="str">
        <f ca="1">IFERROR(__xludf.DUMMYFUNCTION("""COMPUTED_VALUE"""),"Allergo Journal International")</f>
        <v>Allergo Journal International</v>
      </c>
      <c r="F93" s="1" t="str">
        <f ca="1">IFERROR(__xludf.DUMMYFUNCTION("""COMPUTED_VALUE"""),"2197-0378")</f>
        <v>2197-0378</v>
      </c>
      <c r="G93" s="1"/>
      <c r="H93" s="27" t="str">
        <f ca="1">IFERROR(__xludf.DUMMYFUNCTION("""COMPUTED_VALUE"""),"https://link.springer.com/journal/40629")</f>
        <v>https://link.springer.com/journal/40629</v>
      </c>
      <c r="I93" s="1" t="str">
        <f ca="1">IFERROR(__xludf.DUMMYFUNCTION("""COMPUTED_VALUE"""),"SpringerMedizin")</f>
        <v>SpringerMedizin</v>
      </c>
      <c r="J93" s="1">
        <f ca="1">IFERROR(__xludf.DUMMYFUNCTION("""COMPUTED_VALUE"""),2014)</f>
        <v>2014</v>
      </c>
      <c r="K93" s="1" t="str">
        <f ca="1">IFERROR(__xludf.DUMMYFUNCTION("""COMPUTED_VALUE"""),"Medicine")</f>
        <v>Medicine</v>
      </c>
      <c r="L93" s="1"/>
      <c r="M93" s="1"/>
      <c r="N93" s="1" t="str">
        <f ca="1">IFERROR(__xludf.DUMMYFUNCTION("""COMPUTED_VALUE"""),"SNS14")</f>
        <v>SNS14</v>
      </c>
      <c r="O93" s="1"/>
      <c r="P93" s="1"/>
    </row>
    <row r="94" spans="1:16" ht="14.25" customHeight="1" x14ac:dyDescent="0.25">
      <c r="A94" s="1"/>
      <c r="B94" s="1">
        <f ca="1"/>
        <v>82</v>
      </c>
      <c r="C94" s="1">
        <f ca="1">IFERROR(__xludf.DUMMYFUNCTION("""COMPUTED_VALUE"""),2023)</f>
        <v>2023</v>
      </c>
      <c r="D94" s="1">
        <f ca="1">IFERROR(__xludf.DUMMYFUNCTION("""COMPUTED_VALUE"""),35)</f>
        <v>35</v>
      </c>
      <c r="E94" s="1" t="str">
        <f ca="1">IFERROR(__xludf.DUMMYFUNCTION("""COMPUTED_VALUE"""),"Alpine Botany")</f>
        <v>Alpine Botany</v>
      </c>
      <c r="F94" s="1" t="str">
        <f ca="1">IFERROR(__xludf.DUMMYFUNCTION("""COMPUTED_VALUE"""),"1664-221X")</f>
        <v>1664-221X</v>
      </c>
      <c r="G94" s="1" t="str">
        <f ca="1">IFERROR(__xludf.DUMMYFUNCTION("""COMPUTED_VALUE"""),"1664-2201")</f>
        <v>1664-2201</v>
      </c>
      <c r="H94" s="27" t="str">
        <f ca="1">IFERROR(__xludf.DUMMYFUNCTION("""COMPUTED_VALUE"""),"https://link.springer.com/journal/35")</f>
        <v>https://link.springer.com/journal/35</v>
      </c>
      <c r="I94" s="1" t="str">
        <f ca="1">IFERROR(__xludf.DUMMYFUNCTION("""COMPUTED_VALUE"""),"Springer")</f>
        <v>Springer</v>
      </c>
      <c r="J94" s="1">
        <f ca="1">IFERROR(__xludf.DUMMYFUNCTION("""COMPUTED_VALUE"""),2005)</f>
        <v>2005</v>
      </c>
      <c r="K94" s="1" t="str">
        <f ca="1">IFERROR(__xludf.DUMMYFUNCTION("""COMPUTED_VALUE"""),"Biomedical and Life Sciences")</f>
        <v>Biomedical and Life Sciences</v>
      </c>
      <c r="L94" s="1" t="str">
        <f ca="1">IFERROR(__xludf.DUMMYFUNCTION("""COMPUTED_VALUE"""),"〇")</f>
        <v>〇</v>
      </c>
      <c r="M94" s="1" t="str">
        <f ca="1">IFERROR(__xludf.DUMMYFUNCTION("""COMPUTED_VALUE"""),"〇")</f>
        <v>〇</v>
      </c>
      <c r="N94" s="1"/>
      <c r="O94" s="1"/>
      <c r="P94" s="1"/>
    </row>
    <row r="95" spans="1:16" ht="14.25" customHeight="1" x14ac:dyDescent="0.25">
      <c r="A95" s="1"/>
      <c r="B95" s="1">
        <f ca="1"/>
        <v>83</v>
      </c>
      <c r="C95" s="1">
        <f ca="1">IFERROR(__xludf.DUMMYFUNCTION("""COMPUTED_VALUE"""),2023)</f>
        <v>2023</v>
      </c>
      <c r="D95" s="1">
        <f ca="1">IFERROR(__xludf.DUMMYFUNCTION("""COMPUTED_VALUE"""),13280)</f>
        <v>13280</v>
      </c>
      <c r="E95" s="1" t="str">
        <f ca="1">IFERROR(__xludf.DUMMYFUNCTION("""COMPUTED_VALUE"""),"Ambio")</f>
        <v>Ambio</v>
      </c>
      <c r="F95" s="1" t="str">
        <f ca="1">IFERROR(__xludf.DUMMYFUNCTION("""COMPUTED_VALUE"""),"1654-7209")</f>
        <v>1654-7209</v>
      </c>
      <c r="G95" s="1" t="str">
        <f ca="1">IFERROR(__xludf.DUMMYFUNCTION("""COMPUTED_VALUE"""),"0044-7447")</f>
        <v>0044-7447</v>
      </c>
      <c r="H95" s="27" t="str">
        <f ca="1">IFERROR(__xludf.DUMMYFUNCTION("""COMPUTED_VALUE"""),"https://link.springer.com/journal/13280")</f>
        <v>https://link.springer.com/journal/13280</v>
      </c>
      <c r="I95" s="1" t="str">
        <f ca="1">IFERROR(__xludf.DUMMYFUNCTION("""COMPUTED_VALUE"""),"Springer")</f>
        <v>Springer</v>
      </c>
      <c r="J95" s="1">
        <f ca="1">IFERROR(__xludf.DUMMYFUNCTION("""COMPUTED_VALUE"""),2010)</f>
        <v>2010</v>
      </c>
      <c r="K95" s="1" t="str">
        <f ca="1">IFERROR(__xludf.DUMMYFUNCTION("""COMPUTED_VALUE"""),"Earth and Environmental Science")</f>
        <v>Earth and Environmental Science</v>
      </c>
      <c r="L95" s="1" t="str">
        <f ca="1">IFERROR(__xludf.DUMMYFUNCTION("""COMPUTED_VALUE"""),"〇")</f>
        <v>〇</v>
      </c>
      <c r="M95" s="1"/>
      <c r="N95" s="1" t="str">
        <f ca="1">IFERROR(__xludf.DUMMYFUNCTION("""COMPUTED_VALUE"""),"TO10")</f>
        <v>TO10</v>
      </c>
      <c r="O95" s="1"/>
      <c r="P95" s="1"/>
    </row>
    <row r="96" spans="1:16" ht="14.25" customHeight="1" x14ac:dyDescent="0.25">
      <c r="A96" s="1"/>
      <c r="B96" s="1">
        <f ca="1"/>
        <v>84</v>
      </c>
      <c r="C96" s="1">
        <f ca="1">IFERROR(__xludf.DUMMYFUNCTION("""COMPUTED_VALUE"""),2023)</f>
        <v>2023</v>
      </c>
      <c r="D96" s="1">
        <f ca="1">IFERROR(__xludf.DUMMYFUNCTION("""COMPUTED_VALUE"""),12103)</f>
        <v>12103</v>
      </c>
      <c r="E96" s="1" t="str">
        <f ca="1">IFERROR(__xludf.DUMMYFUNCTION("""COMPUTED_VALUE"""),"American Journal of Criminal Justice")</f>
        <v>American Journal of Criminal Justice</v>
      </c>
      <c r="F96" s="1" t="str">
        <f ca="1">IFERROR(__xludf.DUMMYFUNCTION("""COMPUTED_VALUE"""),"1936-1351")</f>
        <v>1936-1351</v>
      </c>
      <c r="G96" s="1" t="str">
        <f ca="1">IFERROR(__xludf.DUMMYFUNCTION("""COMPUTED_VALUE"""),"1066-2316")</f>
        <v>1066-2316</v>
      </c>
      <c r="H96" s="27" t="str">
        <f ca="1">IFERROR(__xludf.DUMMYFUNCTION("""COMPUTED_VALUE"""),"https://link.springer.com/journal/12103")</f>
        <v>https://link.springer.com/journal/12103</v>
      </c>
      <c r="I96" s="1" t="str">
        <f ca="1">IFERROR(__xludf.DUMMYFUNCTION("""COMPUTED_VALUE"""),"Springer")</f>
        <v>Springer</v>
      </c>
      <c r="J96" s="1">
        <f ca="1">IFERROR(__xludf.DUMMYFUNCTION("""COMPUTED_VALUE"""),2000)</f>
        <v>2000</v>
      </c>
      <c r="K96" s="1" t="str">
        <f ca="1">IFERROR(__xludf.DUMMYFUNCTION("""COMPUTED_VALUE"""),"Law and Criminology")</f>
        <v>Law and Criminology</v>
      </c>
      <c r="L96" s="1" t="str">
        <f ca="1">IFERROR(__xludf.DUMMYFUNCTION("""COMPUTED_VALUE"""),"〇")</f>
        <v>〇</v>
      </c>
      <c r="M96" s="1" t="str">
        <f ca="1">IFERROR(__xludf.DUMMYFUNCTION("""COMPUTED_VALUE"""),"〇")</f>
        <v>〇</v>
      </c>
      <c r="N96" s="1" t="str">
        <f ca="1">IFERROR(__xludf.DUMMYFUNCTION("""COMPUTED_VALUE"""),"TO8")</f>
        <v>TO8</v>
      </c>
      <c r="O96" s="1"/>
      <c r="P96" s="1"/>
    </row>
    <row r="97" spans="1:16" ht="14.25" customHeight="1" x14ac:dyDescent="0.25">
      <c r="A97" s="1"/>
      <c r="B97" s="1">
        <f ca="1"/>
        <v>85</v>
      </c>
      <c r="C97" s="1">
        <f ca="1">IFERROR(__xludf.DUMMYFUNCTION("""COMPUTED_VALUE"""),2023)</f>
        <v>2023</v>
      </c>
      <c r="D97" s="1">
        <f ca="1">IFERROR(__xludf.DUMMYFUNCTION("""COMPUTED_VALUE"""),10465)</f>
        <v>10465</v>
      </c>
      <c r="E97" s="1" t="str">
        <f ca="1">IFERROR(__xludf.DUMMYFUNCTION("""COMPUTED_VALUE"""),"American Journal of Dance Therapy")</f>
        <v>American Journal of Dance Therapy</v>
      </c>
      <c r="F97" s="1" t="str">
        <f ca="1">IFERROR(__xludf.DUMMYFUNCTION("""COMPUTED_VALUE"""),"1573-3262")</f>
        <v>1573-3262</v>
      </c>
      <c r="G97" s="1" t="str">
        <f ca="1">IFERROR(__xludf.DUMMYFUNCTION("""COMPUTED_VALUE"""),"0146-3721")</f>
        <v>0146-3721</v>
      </c>
      <c r="H97" s="27" t="str">
        <f ca="1">IFERROR(__xludf.DUMMYFUNCTION("""COMPUTED_VALUE"""),"https://link.springer.com/journal/10465")</f>
        <v>https://link.springer.com/journal/10465</v>
      </c>
      <c r="I97" s="1" t="str">
        <f ca="1">IFERROR(__xludf.DUMMYFUNCTION("""COMPUTED_VALUE"""),"Springer")</f>
        <v>Springer</v>
      </c>
      <c r="J97" s="1">
        <f ca="1">IFERROR(__xludf.DUMMYFUNCTION("""COMPUTED_VALUE"""),2000)</f>
        <v>2000</v>
      </c>
      <c r="K97" s="1" t="str">
        <f ca="1">IFERROR(__xludf.DUMMYFUNCTION("""COMPUTED_VALUE"""),"Behavioral Science and Psychology")</f>
        <v>Behavioral Science and Psychology</v>
      </c>
      <c r="L97" s="1" t="str">
        <f ca="1">IFERROR(__xludf.DUMMYFUNCTION("""COMPUTED_VALUE"""),"〇")</f>
        <v>〇</v>
      </c>
      <c r="M97" s="1" t="str">
        <f ca="1">IFERROR(__xludf.DUMMYFUNCTION("""COMPUTED_VALUE"""),"〇")</f>
        <v>〇</v>
      </c>
      <c r="N97" s="1"/>
      <c r="O97" s="1"/>
      <c r="P97" s="1"/>
    </row>
    <row r="98" spans="1:16" ht="14.25" customHeight="1" x14ac:dyDescent="0.25">
      <c r="A98" s="1"/>
      <c r="B98" s="1">
        <f ca="1"/>
        <v>86</v>
      </c>
      <c r="C98" s="1">
        <f ca="1">IFERROR(__xludf.DUMMYFUNCTION("""COMPUTED_VALUE"""),2023)</f>
        <v>2023</v>
      </c>
      <c r="D98" s="1">
        <f ca="1">IFERROR(__xludf.DUMMYFUNCTION("""COMPUTED_VALUE"""),12230)</f>
        <v>12230</v>
      </c>
      <c r="E98" s="1" t="str">
        <f ca="1">IFERROR(__xludf.DUMMYFUNCTION("""COMPUTED_VALUE"""),"American Journal of Potato Research")</f>
        <v>American Journal of Potato Research</v>
      </c>
      <c r="F98" s="1" t="str">
        <f ca="1">IFERROR(__xludf.DUMMYFUNCTION("""COMPUTED_VALUE"""),"1874-9380")</f>
        <v>1874-9380</v>
      </c>
      <c r="G98" s="1" t="str">
        <f ca="1">IFERROR(__xludf.DUMMYFUNCTION("""COMPUTED_VALUE"""),"1099-209X")</f>
        <v>1099-209X</v>
      </c>
      <c r="H98" s="27" t="str">
        <f ca="1">IFERROR(__xludf.DUMMYFUNCTION("""COMPUTED_VALUE"""),"https://link.springer.com/journal/12230")</f>
        <v>https://link.springer.com/journal/12230</v>
      </c>
      <c r="I98" s="1" t="str">
        <f ca="1">IFERROR(__xludf.DUMMYFUNCTION("""COMPUTED_VALUE"""),"Springer")</f>
        <v>Springer</v>
      </c>
      <c r="J98" s="1">
        <f ca="1">IFERROR(__xludf.DUMMYFUNCTION("""COMPUTED_VALUE"""),2000)</f>
        <v>2000</v>
      </c>
      <c r="K98" s="1" t="str">
        <f ca="1">IFERROR(__xludf.DUMMYFUNCTION("""COMPUTED_VALUE"""),"Biomedical and Life Sciences")</f>
        <v>Biomedical and Life Sciences</v>
      </c>
      <c r="L98" s="1" t="str">
        <f ca="1">IFERROR(__xludf.DUMMYFUNCTION("""COMPUTED_VALUE"""),"〇")</f>
        <v>〇</v>
      </c>
      <c r="M98" s="1" t="str">
        <f ca="1">IFERROR(__xludf.DUMMYFUNCTION("""COMPUTED_VALUE"""),"〇")</f>
        <v>〇</v>
      </c>
      <c r="N98" s="1" t="str">
        <f ca="1">IFERROR(__xludf.DUMMYFUNCTION("""COMPUTED_VALUE"""),"TO8")</f>
        <v>TO8</v>
      </c>
      <c r="O98" s="1"/>
      <c r="P98" s="1"/>
    </row>
    <row r="99" spans="1:16" ht="14.25" customHeight="1" x14ac:dyDescent="0.25">
      <c r="A99" s="1"/>
      <c r="B99" s="1">
        <f ca="1"/>
        <v>87</v>
      </c>
      <c r="C99" s="1">
        <f ca="1">IFERROR(__xludf.DUMMYFUNCTION("""COMPUTED_VALUE"""),2023)</f>
        <v>2023</v>
      </c>
      <c r="D99" s="1">
        <f ca="1">IFERROR(__xludf.DUMMYFUNCTION("""COMPUTED_VALUE"""),726)</f>
        <v>726</v>
      </c>
      <c r="E99" s="1" t="str">
        <f ca="1">IFERROR(__xludf.DUMMYFUNCTION("""COMPUTED_VALUE"""),"Amino Acids")</f>
        <v>Amino Acids</v>
      </c>
      <c r="F99" s="1" t="str">
        <f ca="1">IFERROR(__xludf.DUMMYFUNCTION("""COMPUTED_VALUE"""),"1438-2199")</f>
        <v>1438-2199</v>
      </c>
      <c r="G99" s="1" t="str">
        <f ca="1">IFERROR(__xludf.DUMMYFUNCTION("""COMPUTED_VALUE"""),"0939-4451")</f>
        <v>0939-4451</v>
      </c>
      <c r="H99" s="27" t="str">
        <f ca="1">IFERROR(__xludf.DUMMYFUNCTION("""COMPUTED_VALUE"""),"https://link.springer.com/journal/726")</f>
        <v>https://link.springer.com/journal/726</v>
      </c>
      <c r="I99" s="1" t="str">
        <f ca="1">IFERROR(__xludf.DUMMYFUNCTION("""COMPUTED_VALUE"""),"Springer")</f>
        <v>Springer</v>
      </c>
      <c r="J99" s="1">
        <f ca="1">IFERROR(__xludf.DUMMYFUNCTION("""COMPUTED_VALUE"""),2000)</f>
        <v>2000</v>
      </c>
      <c r="K99" s="1" t="str">
        <f ca="1">IFERROR(__xludf.DUMMYFUNCTION("""COMPUTED_VALUE"""),"Biomedical and Life Sciences")</f>
        <v>Biomedical and Life Sciences</v>
      </c>
      <c r="L99" s="1" t="str">
        <f ca="1">IFERROR(__xludf.DUMMYFUNCTION("""COMPUTED_VALUE"""),"〇")</f>
        <v>〇</v>
      </c>
      <c r="M99" s="1" t="str">
        <f ca="1">IFERROR(__xludf.DUMMYFUNCTION("""COMPUTED_VALUE"""),"〇")</f>
        <v>〇</v>
      </c>
      <c r="N99" s="1"/>
      <c r="O99" s="1"/>
      <c r="P99" s="1"/>
    </row>
    <row r="100" spans="1:16" ht="14.25" customHeight="1" x14ac:dyDescent="0.25">
      <c r="A100" s="1"/>
      <c r="B100" s="1">
        <f ca="1"/>
        <v>88</v>
      </c>
      <c r="C100" s="1">
        <f ca="1">IFERROR(__xludf.DUMMYFUNCTION("""COMPUTED_VALUE"""),2023)</f>
        <v>2023</v>
      </c>
      <c r="D100" s="1">
        <f ca="1">IFERROR(__xludf.DUMMYFUNCTION("""COMPUTED_VALUE"""),13162)</f>
        <v>13162</v>
      </c>
      <c r="E100" s="1" t="str">
        <f ca="1">IFERROR(__xludf.DUMMYFUNCTION("""COMPUTED_VALUE"""),"AMS Review")</f>
        <v>AMS Review</v>
      </c>
      <c r="F100" s="1" t="str">
        <f ca="1">IFERROR(__xludf.DUMMYFUNCTION("""COMPUTED_VALUE"""),"1869-8182")</f>
        <v>1869-8182</v>
      </c>
      <c r="G100" s="1" t="str">
        <f ca="1">IFERROR(__xludf.DUMMYFUNCTION("""COMPUTED_VALUE"""),"1869-814X")</f>
        <v>1869-814X</v>
      </c>
      <c r="H100" s="27" t="str">
        <f ca="1">IFERROR(__xludf.DUMMYFUNCTION("""COMPUTED_VALUE"""),"https://link.springer.com/journal/13162")</f>
        <v>https://link.springer.com/journal/13162</v>
      </c>
      <c r="I100" s="1" t="str">
        <f ca="1">IFERROR(__xludf.DUMMYFUNCTION("""COMPUTED_VALUE"""),"Springer")</f>
        <v>Springer</v>
      </c>
      <c r="J100" s="1">
        <f ca="1">IFERROR(__xludf.DUMMYFUNCTION("""COMPUTED_VALUE"""),2011)</f>
        <v>2011</v>
      </c>
      <c r="K100" s="1" t="str">
        <f ca="1">IFERROR(__xludf.DUMMYFUNCTION("""COMPUTED_VALUE"""),"Business and Management")</f>
        <v>Business and Management</v>
      </c>
      <c r="L100" s="1" t="str">
        <f ca="1">IFERROR(__xludf.DUMMYFUNCTION("""COMPUTED_VALUE"""),"〇")</f>
        <v>〇</v>
      </c>
      <c r="M100" s="1"/>
      <c r="N100" s="1" t="str">
        <f ca="1">IFERROR(__xludf.DUMMYFUNCTION("""COMPUTED_VALUE"""),"SNS11")</f>
        <v>SNS11</v>
      </c>
      <c r="O100" s="1"/>
      <c r="P100" s="1"/>
    </row>
    <row r="101" spans="1:16" ht="14.25" customHeight="1" x14ac:dyDescent="0.25">
      <c r="A101" s="1"/>
      <c r="B101" s="1">
        <f ca="1"/>
        <v>89</v>
      </c>
      <c r="C101" s="1">
        <f ca="1">IFERROR(__xludf.DUMMYFUNCTION("""COMPUTED_VALUE"""),2023)</f>
        <v>2023</v>
      </c>
      <c r="D101" s="1">
        <f ca="1">IFERROR(__xludf.DUMMYFUNCTION("""COMPUTED_VALUE"""),10470)</f>
        <v>10470</v>
      </c>
      <c r="E101" s="1" t="str">
        <f ca="1">IFERROR(__xludf.DUMMYFUNCTION("""COMPUTED_VALUE"""),"Analog Integrated Circuits and Signal Processing")</f>
        <v>Analog Integrated Circuits and Signal Processing</v>
      </c>
      <c r="F101" s="1" t="str">
        <f ca="1">IFERROR(__xludf.DUMMYFUNCTION("""COMPUTED_VALUE"""),"1573-1979")</f>
        <v>1573-1979</v>
      </c>
      <c r="G101" s="1" t="str">
        <f ca="1">IFERROR(__xludf.DUMMYFUNCTION("""COMPUTED_VALUE"""),"0925-1030")</f>
        <v>0925-1030</v>
      </c>
      <c r="H101" s="27" t="str">
        <f ca="1">IFERROR(__xludf.DUMMYFUNCTION("""COMPUTED_VALUE"""),"https://link.springer.com/journal/10470")</f>
        <v>https://link.springer.com/journal/10470</v>
      </c>
      <c r="I101" s="1" t="str">
        <f ca="1">IFERROR(__xludf.DUMMYFUNCTION("""COMPUTED_VALUE"""),"Springer")</f>
        <v>Springer</v>
      </c>
      <c r="J101" s="1">
        <f ca="1">IFERROR(__xludf.DUMMYFUNCTION("""COMPUTED_VALUE"""),2000)</f>
        <v>2000</v>
      </c>
      <c r="K101" s="1" t="str">
        <f ca="1">IFERROR(__xludf.DUMMYFUNCTION("""COMPUTED_VALUE"""),"Engineering")</f>
        <v>Engineering</v>
      </c>
      <c r="L101" s="1" t="str">
        <f ca="1">IFERROR(__xludf.DUMMYFUNCTION("""COMPUTED_VALUE"""),"〇")</f>
        <v>〇</v>
      </c>
      <c r="M101" s="1" t="str">
        <f ca="1">IFERROR(__xludf.DUMMYFUNCTION("""COMPUTED_VALUE"""),"〇")</f>
        <v>〇</v>
      </c>
      <c r="N101" s="1"/>
      <c r="O101" s="1"/>
      <c r="P101" s="1"/>
    </row>
    <row r="102" spans="1:16" ht="14.25" customHeight="1" x14ac:dyDescent="0.25">
      <c r="A102" s="1"/>
      <c r="B102" s="1">
        <f ca="1"/>
        <v>90</v>
      </c>
      <c r="C102" s="1">
        <f ca="1">IFERROR(__xludf.DUMMYFUNCTION("""COMPUTED_VALUE"""),2023)</f>
        <v>2023</v>
      </c>
      <c r="D102" s="1">
        <f ca="1">IFERROR(__xludf.DUMMYFUNCTION("""COMPUTED_VALUE"""),13324)</f>
        <v>13324</v>
      </c>
      <c r="E102" s="1" t="str">
        <f ca="1">IFERROR(__xludf.DUMMYFUNCTION("""COMPUTED_VALUE"""),"Analysis and Mathematical Physics")</f>
        <v>Analysis and Mathematical Physics</v>
      </c>
      <c r="F102" s="1" t="str">
        <f ca="1">IFERROR(__xludf.DUMMYFUNCTION("""COMPUTED_VALUE"""),"1664-235X")</f>
        <v>1664-235X</v>
      </c>
      <c r="G102" s="1" t="str">
        <f ca="1">IFERROR(__xludf.DUMMYFUNCTION("""COMPUTED_VALUE"""),"1664-2368")</f>
        <v>1664-2368</v>
      </c>
      <c r="H102" s="27" t="str">
        <f ca="1">IFERROR(__xludf.DUMMYFUNCTION("""COMPUTED_VALUE"""),"https://link.springer.com/journal/13324")</f>
        <v>https://link.springer.com/journal/13324</v>
      </c>
      <c r="I102" s="1" t="str">
        <f ca="1">IFERROR(__xludf.DUMMYFUNCTION("""COMPUTED_VALUE"""),"Birkhäuser")</f>
        <v>Birkhäuser</v>
      </c>
      <c r="J102" s="1">
        <f ca="1">IFERROR(__xludf.DUMMYFUNCTION("""COMPUTED_VALUE"""),2011)</f>
        <v>2011</v>
      </c>
      <c r="K102" s="1" t="str">
        <f ca="1">IFERROR(__xludf.DUMMYFUNCTION("""COMPUTED_VALUE"""),"Mathematics and Statistics")</f>
        <v>Mathematics and Statistics</v>
      </c>
      <c r="L102" s="1" t="str">
        <f ca="1">IFERROR(__xludf.DUMMYFUNCTION("""COMPUTED_VALUE"""),"〇")</f>
        <v>〇</v>
      </c>
      <c r="M102" s="1"/>
      <c r="N102" s="1" t="str">
        <f ca="1">IFERROR(__xludf.DUMMYFUNCTION("""COMPUTED_VALUE"""),"SNS11")</f>
        <v>SNS11</v>
      </c>
      <c r="O102" s="1"/>
      <c r="P102" s="1"/>
    </row>
    <row r="103" spans="1:16" ht="14.25" customHeight="1" x14ac:dyDescent="0.25">
      <c r="A103" s="1"/>
      <c r="B103" s="1">
        <f ca="1"/>
        <v>91</v>
      </c>
      <c r="C103" s="1">
        <f ca="1">IFERROR(__xludf.DUMMYFUNCTION("""COMPUTED_VALUE"""),2023)</f>
        <v>2023</v>
      </c>
      <c r="D103" s="1">
        <f ca="1">IFERROR(__xludf.DUMMYFUNCTION("""COMPUTED_VALUE"""),10476)</f>
        <v>10476</v>
      </c>
      <c r="E103" s="1" t="str">
        <f ca="1">IFERROR(__xludf.DUMMYFUNCTION("""COMPUTED_VALUE"""),"Analysis Mathematica")</f>
        <v>Analysis Mathematica</v>
      </c>
      <c r="F103" s="1" t="str">
        <f ca="1">IFERROR(__xludf.DUMMYFUNCTION("""COMPUTED_VALUE"""),"1588-273X")</f>
        <v>1588-273X</v>
      </c>
      <c r="G103" s="1" t="str">
        <f ca="1">IFERROR(__xludf.DUMMYFUNCTION("""COMPUTED_VALUE"""),"0133-3852")</f>
        <v>0133-3852</v>
      </c>
      <c r="H103" s="27" t="str">
        <f ca="1">IFERROR(__xludf.DUMMYFUNCTION("""COMPUTED_VALUE"""),"https://link.springer.com/journal/10476")</f>
        <v>https://link.springer.com/journal/10476</v>
      </c>
      <c r="I103" s="1" t="str">
        <f ca="1">IFERROR(__xludf.DUMMYFUNCTION("""COMPUTED_VALUE"""),"Akadémiai Kiadó, co-published with Springer")</f>
        <v>Akadémiai Kiadó, co-published with Springer</v>
      </c>
      <c r="J103" s="1">
        <f ca="1">IFERROR(__xludf.DUMMYFUNCTION("""COMPUTED_VALUE"""),2000)</f>
        <v>2000</v>
      </c>
      <c r="K103" s="1" t="str">
        <f ca="1">IFERROR(__xludf.DUMMYFUNCTION("""COMPUTED_VALUE"""),"Mathematics and Statistics")</f>
        <v>Mathematics and Statistics</v>
      </c>
      <c r="L103" s="1" t="str">
        <f ca="1">IFERROR(__xludf.DUMMYFUNCTION("""COMPUTED_VALUE"""),"〇")</f>
        <v>〇</v>
      </c>
      <c r="M103" s="1" t="str">
        <f ca="1">IFERROR(__xludf.DUMMYFUNCTION("""COMPUTED_VALUE"""),"〇")</f>
        <v>〇</v>
      </c>
      <c r="N103" s="1"/>
      <c r="O103" s="1"/>
      <c r="P103" s="1"/>
    </row>
    <row r="104" spans="1:16" ht="14.25" customHeight="1" x14ac:dyDescent="0.25">
      <c r="A104" s="1"/>
      <c r="B104" s="1">
        <f ca="1"/>
        <v>92</v>
      </c>
      <c r="C104" s="1">
        <f ca="1">IFERROR(__xludf.DUMMYFUNCTION("""COMPUTED_VALUE"""),2023)</f>
        <v>2023</v>
      </c>
      <c r="D104" s="1">
        <f ca="1">IFERROR(__xludf.DUMMYFUNCTION("""COMPUTED_VALUE"""),216)</f>
        <v>216</v>
      </c>
      <c r="E104" s="1" t="str">
        <f ca="1">IFERROR(__xludf.DUMMYFUNCTION("""COMPUTED_VALUE"""),"Analytical and Bioanalytical Chemistry")</f>
        <v>Analytical and Bioanalytical Chemistry</v>
      </c>
      <c r="F104" s="1" t="str">
        <f ca="1">IFERROR(__xludf.DUMMYFUNCTION("""COMPUTED_VALUE"""),"1618-2650")</f>
        <v>1618-2650</v>
      </c>
      <c r="G104" s="1" t="str">
        <f ca="1">IFERROR(__xludf.DUMMYFUNCTION("""COMPUTED_VALUE"""),"1618-2642")</f>
        <v>1618-2642</v>
      </c>
      <c r="H104" s="27" t="str">
        <f ca="1">IFERROR(__xludf.DUMMYFUNCTION("""COMPUTED_VALUE"""),"https://link.springer.com/journal/216")</f>
        <v>https://link.springer.com/journal/216</v>
      </c>
      <c r="I104" s="1" t="str">
        <f ca="1">IFERROR(__xludf.DUMMYFUNCTION("""COMPUTED_VALUE"""),"Springer")</f>
        <v>Springer</v>
      </c>
      <c r="J104" s="1">
        <f ca="1">IFERROR(__xludf.DUMMYFUNCTION("""COMPUTED_VALUE"""),2000)</f>
        <v>2000</v>
      </c>
      <c r="K104" s="1" t="str">
        <f ca="1">IFERROR(__xludf.DUMMYFUNCTION("""COMPUTED_VALUE"""),"Chemistry and Materials Science")</f>
        <v>Chemistry and Materials Science</v>
      </c>
      <c r="L104" s="1" t="str">
        <f ca="1">IFERROR(__xludf.DUMMYFUNCTION("""COMPUTED_VALUE"""),"〇")</f>
        <v>〇</v>
      </c>
      <c r="M104" s="1" t="str">
        <f ca="1">IFERROR(__xludf.DUMMYFUNCTION("""COMPUTED_VALUE"""),"〇")</f>
        <v>〇</v>
      </c>
      <c r="N104" s="1"/>
      <c r="O104" s="1"/>
      <c r="P104" s="1"/>
    </row>
    <row r="105" spans="1:16" ht="14.25" customHeight="1" x14ac:dyDescent="0.25">
      <c r="A105" s="1"/>
      <c r="B105" s="1">
        <f ca="1"/>
        <v>93</v>
      </c>
      <c r="C105" s="1">
        <f ca="1">IFERROR(__xludf.DUMMYFUNCTION("""COMPUTED_VALUE"""),2023)</f>
        <v>2023</v>
      </c>
      <c r="D105" s="1">
        <f ca="1">IFERROR(__xludf.DUMMYFUNCTION("""COMPUTED_VALUE"""),12565)</f>
        <v>12565</v>
      </c>
      <c r="E105" s="1" t="str">
        <f ca="1">IFERROR(__xludf.DUMMYFUNCTION("""COMPUTED_VALUE"""),"Anatomical Science International")</f>
        <v>Anatomical Science International</v>
      </c>
      <c r="F105" s="1" t="str">
        <f ca="1">IFERROR(__xludf.DUMMYFUNCTION("""COMPUTED_VALUE"""),"1447-073X")</f>
        <v>1447-073X</v>
      </c>
      <c r="G105" s="1" t="str">
        <f ca="1">IFERROR(__xludf.DUMMYFUNCTION("""COMPUTED_VALUE"""),"1447-6959")</f>
        <v>1447-6959</v>
      </c>
      <c r="H105" s="27" t="str">
        <f ca="1">IFERROR(__xludf.DUMMYFUNCTION("""COMPUTED_VALUE"""),"https://link.springer.com/journal/12565")</f>
        <v>https://link.springer.com/journal/12565</v>
      </c>
      <c r="I105" s="1" t="str">
        <f ca="1">IFERROR(__xludf.DUMMYFUNCTION("""COMPUTED_VALUE"""),"Springer")</f>
        <v>Springer</v>
      </c>
      <c r="J105" s="1">
        <f ca="1">IFERROR(__xludf.DUMMYFUNCTION("""COMPUTED_VALUE"""),2002)</f>
        <v>2002</v>
      </c>
      <c r="K105" s="1" t="str">
        <f ca="1">IFERROR(__xludf.DUMMYFUNCTION("""COMPUTED_VALUE"""),"Medicine")</f>
        <v>Medicine</v>
      </c>
      <c r="L105" s="1" t="str">
        <f ca="1">IFERROR(__xludf.DUMMYFUNCTION("""COMPUTED_VALUE"""),"〇")</f>
        <v>〇</v>
      </c>
      <c r="M105" s="1" t="str">
        <f ca="1">IFERROR(__xludf.DUMMYFUNCTION("""COMPUTED_VALUE"""),"〇")</f>
        <v>〇</v>
      </c>
      <c r="N105" s="1" t="str">
        <f ca="1">IFERROR(__xludf.DUMMYFUNCTION("""COMPUTED_VALUE"""),"TO9")</f>
        <v>TO9</v>
      </c>
      <c r="O105" s="1"/>
      <c r="P105" s="1"/>
    </row>
    <row r="106" spans="1:16" ht="14.25" customHeight="1" x14ac:dyDescent="0.25">
      <c r="A106" s="1"/>
      <c r="B106" s="1">
        <f ca="1"/>
        <v>94</v>
      </c>
      <c r="C106" s="1">
        <f ca="1">IFERROR(__xludf.DUMMYFUNCTION("""COMPUTED_VALUE"""),2023)</f>
        <v>2023</v>
      </c>
      <c r="D106" s="1">
        <f ca="1">IFERROR(__xludf.DUMMYFUNCTION("""COMPUTED_VALUE"""),10456)</f>
        <v>10456</v>
      </c>
      <c r="E106" s="1" t="str">
        <f ca="1">IFERROR(__xludf.DUMMYFUNCTION("""COMPUTED_VALUE"""),"Angiogenesis")</f>
        <v>Angiogenesis</v>
      </c>
      <c r="F106" s="1" t="str">
        <f ca="1">IFERROR(__xludf.DUMMYFUNCTION("""COMPUTED_VALUE"""),"1573-7209")</f>
        <v>1573-7209</v>
      </c>
      <c r="G106" s="1" t="str">
        <f ca="1">IFERROR(__xludf.DUMMYFUNCTION("""COMPUTED_VALUE"""),"0969-6970")</f>
        <v>0969-6970</v>
      </c>
      <c r="H106" s="27" t="str">
        <f ca="1">IFERROR(__xludf.DUMMYFUNCTION("""COMPUTED_VALUE"""),"https://link.springer.com/journal/10456")</f>
        <v>https://link.springer.com/journal/10456</v>
      </c>
      <c r="I106" s="1" t="str">
        <f ca="1">IFERROR(__xludf.DUMMYFUNCTION("""COMPUTED_VALUE"""),"Springer")</f>
        <v>Springer</v>
      </c>
      <c r="J106" s="1">
        <f ca="1">IFERROR(__xludf.DUMMYFUNCTION("""COMPUTED_VALUE"""),2000)</f>
        <v>2000</v>
      </c>
      <c r="K106" s="1" t="str">
        <f ca="1">IFERROR(__xludf.DUMMYFUNCTION("""COMPUTED_VALUE"""),"Biomedical and Life Sciences")</f>
        <v>Biomedical and Life Sciences</v>
      </c>
      <c r="L106" s="1" t="str">
        <f ca="1">IFERROR(__xludf.DUMMYFUNCTION("""COMPUTED_VALUE"""),"〇")</f>
        <v>〇</v>
      </c>
      <c r="M106" s="1" t="str">
        <f ca="1">IFERROR(__xludf.DUMMYFUNCTION("""COMPUTED_VALUE"""),"〇")</f>
        <v>〇</v>
      </c>
      <c r="N106" s="1"/>
      <c r="O106" s="1"/>
      <c r="P106" s="1"/>
    </row>
    <row r="107" spans="1:16" ht="14.25" customHeight="1" x14ac:dyDescent="0.25">
      <c r="A107" s="1"/>
      <c r="B107" s="1">
        <f ca="1"/>
        <v>95</v>
      </c>
      <c r="C107" s="1">
        <f ca="1">IFERROR(__xludf.DUMMYFUNCTION("""COMPUTED_VALUE"""),2023)</f>
        <v>2023</v>
      </c>
      <c r="D107" s="1">
        <f ca="1">IFERROR(__xludf.DUMMYFUNCTION("""COMPUTED_VALUE"""),10071)</f>
        <v>10071</v>
      </c>
      <c r="E107" s="1" t="str">
        <f ca="1">IFERROR(__xludf.DUMMYFUNCTION("""COMPUTED_VALUE"""),"Animal Cognition")</f>
        <v>Animal Cognition</v>
      </c>
      <c r="F107" s="1" t="str">
        <f ca="1">IFERROR(__xludf.DUMMYFUNCTION("""COMPUTED_VALUE"""),"1435-9456")</f>
        <v>1435-9456</v>
      </c>
      <c r="G107" s="1" t="str">
        <f ca="1">IFERROR(__xludf.DUMMYFUNCTION("""COMPUTED_VALUE"""),"1435-9448")</f>
        <v>1435-9448</v>
      </c>
      <c r="H107" s="27" t="str">
        <f ca="1">IFERROR(__xludf.DUMMYFUNCTION("""COMPUTED_VALUE"""),"https://link.springer.com/journal/10071")</f>
        <v>https://link.springer.com/journal/10071</v>
      </c>
      <c r="I107" s="1" t="str">
        <f ca="1">IFERROR(__xludf.DUMMYFUNCTION("""COMPUTED_VALUE"""),"Springer")</f>
        <v>Springer</v>
      </c>
      <c r="J107" s="1">
        <f ca="1">IFERROR(__xludf.DUMMYFUNCTION("""COMPUTED_VALUE"""),2000)</f>
        <v>2000</v>
      </c>
      <c r="K107" s="1" t="str">
        <f ca="1">IFERROR(__xludf.DUMMYFUNCTION("""COMPUTED_VALUE"""),"Biomedical and Life Sciences")</f>
        <v>Biomedical and Life Sciences</v>
      </c>
      <c r="L107" s="1" t="str">
        <f ca="1">IFERROR(__xludf.DUMMYFUNCTION("""COMPUTED_VALUE"""),"〇")</f>
        <v>〇</v>
      </c>
      <c r="M107" s="1" t="str">
        <f ca="1">IFERROR(__xludf.DUMMYFUNCTION("""COMPUTED_VALUE"""),"〇")</f>
        <v>〇</v>
      </c>
      <c r="N107" s="1"/>
      <c r="O107" s="1"/>
      <c r="P107" s="1"/>
    </row>
    <row r="108" spans="1:16" ht="14.25" customHeight="1" x14ac:dyDescent="0.25">
      <c r="A108" s="1"/>
      <c r="B108" s="1">
        <f ca="1"/>
        <v>96</v>
      </c>
      <c r="C108" s="1">
        <f ca="1">IFERROR(__xludf.DUMMYFUNCTION("""COMPUTED_VALUE"""),2023)</f>
        <v>2023</v>
      </c>
      <c r="D108" s="1">
        <f ca="1">IFERROR(__xludf.DUMMYFUNCTION("""COMPUTED_VALUE"""),23)</f>
        <v>23</v>
      </c>
      <c r="E108" s="1" t="str">
        <f ca="1">IFERROR(__xludf.DUMMYFUNCTION("""COMPUTED_VALUE"""),"Annales Henri Poincaré")</f>
        <v>Annales Henri Poincaré</v>
      </c>
      <c r="F108" s="1" t="str">
        <f ca="1">IFERROR(__xludf.DUMMYFUNCTION("""COMPUTED_VALUE"""),"1424-0661")</f>
        <v>1424-0661</v>
      </c>
      <c r="G108" s="1" t="str">
        <f ca="1">IFERROR(__xludf.DUMMYFUNCTION("""COMPUTED_VALUE"""),"1424-0637")</f>
        <v>1424-0637</v>
      </c>
      <c r="H108" s="27" t="str">
        <f ca="1">IFERROR(__xludf.DUMMYFUNCTION("""COMPUTED_VALUE"""),"https://link.springer.com/journal/23")</f>
        <v>https://link.springer.com/journal/23</v>
      </c>
      <c r="I108" s="1" t="str">
        <f ca="1">IFERROR(__xludf.DUMMYFUNCTION("""COMPUTED_VALUE"""),"Birkhäuser")</f>
        <v>Birkhäuser</v>
      </c>
      <c r="J108" s="1">
        <f ca="1">IFERROR(__xludf.DUMMYFUNCTION("""COMPUTED_VALUE"""),2000)</f>
        <v>2000</v>
      </c>
      <c r="K108" s="1" t="str">
        <f ca="1">IFERROR(__xludf.DUMMYFUNCTION("""COMPUTED_VALUE"""),"Physics and Astronomy")</f>
        <v>Physics and Astronomy</v>
      </c>
      <c r="L108" s="1" t="str">
        <f ca="1">IFERROR(__xludf.DUMMYFUNCTION("""COMPUTED_VALUE"""),"〇")</f>
        <v>〇</v>
      </c>
      <c r="M108" s="1" t="str">
        <f ca="1">IFERROR(__xludf.DUMMYFUNCTION("""COMPUTED_VALUE"""),"〇")</f>
        <v>〇</v>
      </c>
      <c r="N108" s="1"/>
      <c r="O108" s="1"/>
      <c r="P108" s="1"/>
    </row>
    <row r="109" spans="1:16" ht="14.25" customHeight="1" x14ac:dyDescent="0.25">
      <c r="A109" s="1"/>
      <c r="B109" s="1">
        <f ca="1"/>
        <v>97</v>
      </c>
      <c r="C109" s="1">
        <f ca="1">IFERROR(__xludf.DUMMYFUNCTION("""COMPUTED_VALUE"""),2023)</f>
        <v>2023</v>
      </c>
      <c r="D109" s="1">
        <f ca="1">IFERROR(__xludf.DUMMYFUNCTION("""COMPUTED_VALUE"""),40316)</f>
        <v>40316</v>
      </c>
      <c r="E109" s="1" t="str">
        <f ca="1">IFERROR(__xludf.DUMMYFUNCTION("""COMPUTED_VALUE"""),"Annales mathématiques du Québec")</f>
        <v>Annales mathématiques du Québec</v>
      </c>
      <c r="F109" s="1" t="str">
        <f ca="1">IFERROR(__xludf.DUMMYFUNCTION("""COMPUTED_VALUE"""),"2195-4763")</f>
        <v>2195-4763</v>
      </c>
      <c r="G109" s="1" t="str">
        <f ca="1">IFERROR(__xludf.DUMMYFUNCTION("""COMPUTED_VALUE"""),"2195-4755")</f>
        <v>2195-4755</v>
      </c>
      <c r="H109" s="27" t="str">
        <f ca="1">IFERROR(__xludf.DUMMYFUNCTION("""COMPUTED_VALUE"""),"https://link.springer.com/journal/40316")</f>
        <v>https://link.springer.com/journal/40316</v>
      </c>
      <c r="I109" s="1" t="str">
        <f ca="1">IFERROR(__xludf.DUMMYFUNCTION("""COMPUTED_VALUE"""),"Springer")</f>
        <v>Springer</v>
      </c>
      <c r="J109" s="1">
        <f ca="1">IFERROR(__xludf.DUMMYFUNCTION("""COMPUTED_VALUE"""),2013)</f>
        <v>2013</v>
      </c>
      <c r="K109" s="1" t="str">
        <f ca="1">IFERROR(__xludf.DUMMYFUNCTION("""COMPUTED_VALUE"""),"Mathematics and Statistics")</f>
        <v>Mathematics and Statistics</v>
      </c>
      <c r="L109" s="1" t="str">
        <f ca="1">IFERROR(__xludf.DUMMYFUNCTION("""COMPUTED_VALUE"""),"〇")</f>
        <v>〇</v>
      </c>
      <c r="M109" s="1"/>
      <c r="N109" s="1" t="str">
        <f ca="1">IFERROR(__xludf.DUMMYFUNCTION("""COMPUTED_VALUE"""),"TO13")</f>
        <v>TO13</v>
      </c>
      <c r="O109" s="1"/>
      <c r="P109" s="1"/>
    </row>
    <row r="110" spans="1:16" ht="14.25" customHeight="1" x14ac:dyDescent="0.25">
      <c r="A110" s="1"/>
      <c r="B110" s="1">
        <f ca="1"/>
        <v>98</v>
      </c>
      <c r="C110" s="1">
        <f ca="1">IFERROR(__xludf.DUMMYFUNCTION("""COMPUTED_VALUE"""),2023)</f>
        <v>2023</v>
      </c>
      <c r="D110" s="1">
        <f ca="1">IFERROR(__xludf.DUMMYFUNCTION("""COMPUTED_VALUE"""),11565)</f>
        <v>11565</v>
      </c>
      <c r="E110" s="1" t="str">
        <f ca="1">IFERROR(__xludf.DUMMYFUNCTION("""COMPUTED_VALUE"""),"ANNALI DELL'UNIVERSITA' DI FERRARA")</f>
        <v>ANNALI DELL'UNIVERSITA' DI FERRARA</v>
      </c>
      <c r="F110" s="1" t="str">
        <f ca="1">IFERROR(__xludf.DUMMYFUNCTION("""COMPUTED_VALUE"""),"1827-1510")</f>
        <v>1827-1510</v>
      </c>
      <c r="G110" s="1" t="str">
        <f ca="1">IFERROR(__xludf.DUMMYFUNCTION("""COMPUTED_VALUE"""),"0430-3202")</f>
        <v>0430-3202</v>
      </c>
      <c r="H110" s="27" t="str">
        <f ca="1">IFERROR(__xludf.DUMMYFUNCTION("""COMPUTED_VALUE"""),"https://link.springer.com/journal/11565")</f>
        <v>https://link.springer.com/journal/11565</v>
      </c>
      <c r="I110" s="1" t="str">
        <f ca="1">IFERROR(__xludf.DUMMYFUNCTION("""COMPUTED_VALUE"""),"Springer")</f>
        <v>Springer</v>
      </c>
      <c r="J110" s="1">
        <f ca="1">IFERROR(__xludf.DUMMYFUNCTION("""COMPUTED_VALUE"""),2000)</f>
        <v>2000</v>
      </c>
      <c r="K110" s="1" t="str">
        <f ca="1">IFERROR(__xludf.DUMMYFUNCTION("""COMPUTED_VALUE"""),"Mathematics and Statistics")</f>
        <v>Mathematics and Statistics</v>
      </c>
      <c r="L110" s="1" t="str">
        <f ca="1">IFERROR(__xludf.DUMMYFUNCTION("""COMPUTED_VALUE"""),"〇")</f>
        <v>〇</v>
      </c>
      <c r="M110" s="1" t="str">
        <f ca="1">IFERROR(__xludf.DUMMYFUNCTION("""COMPUTED_VALUE"""),"〇")</f>
        <v>〇</v>
      </c>
      <c r="N110" s="1" t="str">
        <f ca="1">IFERROR(__xludf.DUMMYFUNCTION("""COMPUTED_VALUE"""),"TO7")</f>
        <v>TO7</v>
      </c>
      <c r="O110" s="1"/>
      <c r="P110" s="1"/>
    </row>
    <row r="111" spans="1:16" ht="14.25" customHeight="1" x14ac:dyDescent="0.25">
      <c r="A111" s="1"/>
      <c r="B111" s="1">
        <f ca="1"/>
        <v>99</v>
      </c>
      <c r="C111" s="1">
        <f ca="1">IFERROR(__xludf.DUMMYFUNCTION("""COMPUTED_VALUE"""),2023)</f>
        <v>2023</v>
      </c>
      <c r="D111" s="1">
        <f ca="1">IFERROR(__xludf.DUMMYFUNCTION("""COMPUTED_VALUE"""),10231)</f>
        <v>10231</v>
      </c>
      <c r="E111" s="1" t="str">
        <f ca="1">IFERROR(__xludf.DUMMYFUNCTION("""COMPUTED_VALUE"""),"Annali di Matematica Pura ed Applicata (1923 -)")</f>
        <v>Annali di Matematica Pura ed Applicata (1923 -)</v>
      </c>
      <c r="F111" s="1" t="str">
        <f ca="1">IFERROR(__xludf.DUMMYFUNCTION("""COMPUTED_VALUE"""),"1618-1891")</f>
        <v>1618-1891</v>
      </c>
      <c r="G111" s="1" t="str">
        <f ca="1">IFERROR(__xludf.DUMMYFUNCTION("""COMPUTED_VALUE"""),"0373-3114")</f>
        <v>0373-3114</v>
      </c>
      <c r="H111" s="27" t="str">
        <f ca="1">IFERROR(__xludf.DUMMYFUNCTION("""COMPUTED_VALUE"""),"https://link.springer.com/journal/10231")</f>
        <v>https://link.springer.com/journal/10231</v>
      </c>
      <c r="I111" s="1" t="str">
        <f ca="1">IFERROR(__xludf.DUMMYFUNCTION("""COMPUTED_VALUE"""),"Springer")</f>
        <v>Springer</v>
      </c>
      <c r="J111" s="1">
        <f ca="1">IFERROR(__xludf.DUMMYFUNCTION("""COMPUTED_VALUE"""),2000)</f>
        <v>2000</v>
      </c>
      <c r="K111" s="1" t="str">
        <f ca="1">IFERROR(__xludf.DUMMYFUNCTION("""COMPUTED_VALUE"""),"Mathematics and Statistics")</f>
        <v>Mathematics and Statistics</v>
      </c>
      <c r="L111" s="1" t="str">
        <f ca="1">IFERROR(__xludf.DUMMYFUNCTION("""COMPUTED_VALUE"""),"〇")</f>
        <v>〇</v>
      </c>
      <c r="M111" s="1" t="str">
        <f ca="1">IFERROR(__xludf.DUMMYFUNCTION("""COMPUTED_VALUE"""),"〇")</f>
        <v>〇</v>
      </c>
      <c r="N111" s="1"/>
      <c r="O111" s="1"/>
      <c r="P111" s="1"/>
    </row>
    <row r="112" spans="1:16" ht="14.25" customHeight="1" x14ac:dyDescent="0.25">
      <c r="A112" s="1"/>
      <c r="B112" s="1">
        <f ca="1"/>
        <v>100</v>
      </c>
      <c r="C112" s="1">
        <f ca="1">IFERROR(__xludf.DUMMYFUNCTION("""COMPUTED_VALUE"""),2023)</f>
        <v>2023</v>
      </c>
      <c r="D112" s="1">
        <f ca="1">IFERROR(__xludf.DUMMYFUNCTION("""COMPUTED_VALUE"""),10439)</f>
        <v>10439</v>
      </c>
      <c r="E112" s="1" t="str">
        <f ca="1">IFERROR(__xludf.DUMMYFUNCTION("""COMPUTED_VALUE"""),"Annals of Biomedical Engineering")</f>
        <v>Annals of Biomedical Engineering</v>
      </c>
      <c r="F112" s="1" t="str">
        <f ca="1">IFERROR(__xludf.DUMMYFUNCTION("""COMPUTED_VALUE"""),"1573-9686")</f>
        <v>1573-9686</v>
      </c>
      <c r="G112" s="1"/>
      <c r="H112" s="27" t="str">
        <f ca="1">IFERROR(__xludf.DUMMYFUNCTION("""COMPUTED_VALUE"""),"https://link.springer.com/journal/10439")</f>
        <v>https://link.springer.com/journal/10439</v>
      </c>
      <c r="I112" s="1" t="str">
        <f ca="1">IFERROR(__xludf.DUMMYFUNCTION("""COMPUTED_VALUE"""),"Springer")</f>
        <v>Springer</v>
      </c>
      <c r="J112" s="1">
        <f ca="1">IFERROR(__xludf.DUMMYFUNCTION("""COMPUTED_VALUE"""),2000)</f>
        <v>2000</v>
      </c>
      <c r="K112" s="1" t="str">
        <f ca="1">IFERROR(__xludf.DUMMYFUNCTION("""COMPUTED_VALUE"""),"Biomedical and Life Sciences")</f>
        <v>Biomedical and Life Sciences</v>
      </c>
      <c r="L112" s="1"/>
      <c r="M112" s="1" t="str">
        <f ca="1">IFERROR(__xludf.DUMMYFUNCTION("""COMPUTED_VALUE"""),"〇")</f>
        <v>〇</v>
      </c>
      <c r="N112" s="1"/>
      <c r="O112" s="1"/>
      <c r="P112" s="1"/>
    </row>
    <row r="113" spans="1:16" ht="14.25" customHeight="1" x14ac:dyDescent="0.25">
      <c r="A113" s="1"/>
      <c r="B113" s="1">
        <f ca="1"/>
        <v>101</v>
      </c>
      <c r="C113" s="1">
        <f ca="1">IFERROR(__xludf.DUMMYFUNCTION("""COMPUTED_VALUE"""),2023)</f>
        <v>2023</v>
      </c>
      <c r="D113" s="1">
        <f ca="1">IFERROR(__xludf.DUMMYFUNCTION("""COMPUTED_VALUE"""),26)</f>
        <v>26</v>
      </c>
      <c r="E113" s="1" t="str">
        <f ca="1">IFERROR(__xludf.DUMMYFUNCTION("""COMPUTED_VALUE"""),"Annals of Combinatorics")</f>
        <v>Annals of Combinatorics</v>
      </c>
      <c r="F113" s="1" t="str">
        <f ca="1">IFERROR(__xludf.DUMMYFUNCTION("""COMPUTED_VALUE"""),"0219-3094")</f>
        <v>0219-3094</v>
      </c>
      <c r="G113" s="1" t="str">
        <f ca="1">IFERROR(__xludf.DUMMYFUNCTION("""COMPUTED_VALUE"""),"0218-0006")</f>
        <v>0218-0006</v>
      </c>
      <c r="H113" s="27" t="str">
        <f ca="1">IFERROR(__xludf.DUMMYFUNCTION("""COMPUTED_VALUE"""),"https://link.springer.com/journal/26")</f>
        <v>https://link.springer.com/journal/26</v>
      </c>
      <c r="I113" s="1" t="str">
        <f ca="1">IFERROR(__xludf.DUMMYFUNCTION("""COMPUTED_VALUE"""),"Birkhäuser")</f>
        <v>Birkhäuser</v>
      </c>
      <c r="J113" s="1">
        <f ca="1">IFERROR(__xludf.DUMMYFUNCTION("""COMPUTED_VALUE"""),2000)</f>
        <v>2000</v>
      </c>
      <c r="K113" s="1" t="str">
        <f ca="1">IFERROR(__xludf.DUMMYFUNCTION("""COMPUTED_VALUE"""),"Mathematics and Statistics")</f>
        <v>Mathematics and Statistics</v>
      </c>
      <c r="L113" s="1" t="str">
        <f ca="1">IFERROR(__xludf.DUMMYFUNCTION("""COMPUTED_VALUE"""),"〇")</f>
        <v>〇</v>
      </c>
      <c r="M113" s="1" t="str">
        <f ca="1">IFERROR(__xludf.DUMMYFUNCTION("""COMPUTED_VALUE"""),"〇")</f>
        <v>〇</v>
      </c>
      <c r="N113" s="1"/>
      <c r="O113" s="1"/>
      <c r="P113" s="1"/>
    </row>
    <row r="114" spans="1:16" ht="14.25" customHeight="1" x14ac:dyDescent="0.25">
      <c r="A114" s="1"/>
      <c r="B114" s="1">
        <f ca="1"/>
        <v>102</v>
      </c>
      <c r="C114" s="1">
        <f ca="1">IFERROR(__xludf.DUMMYFUNCTION("""COMPUTED_VALUE"""),2023)</f>
        <v>2023</v>
      </c>
      <c r="D114" s="1">
        <f ca="1">IFERROR(__xludf.DUMMYFUNCTION("""COMPUTED_VALUE"""),40745)</f>
        <v>40745</v>
      </c>
      <c r="E114" s="1" t="str">
        <f ca="1">IFERROR(__xludf.DUMMYFUNCTION("""COMPUTED_VALUE"""),"Annals of Data Science")</f>
        <v>Annals of Data Science</v>
      </c>
      <c r="F114" s="1" t="str">
        <f ca="1">IFERROR(__xludf.DUMMYFUNCTION("""COMPUTED_VALUE"""),"2198-5812")</f>
        <v>2198-5812</v>
      </c>
      <c r="G114" s="1" t="str">
        <f ca="1">IFERROR(__xludf.DUMMYFUNCTION("""COMPUTED_VALUE"""),"2198-5804")</f>
        <v>2198-5804</v>
      </c>
      <c r="H114" s="27" t="str">
        <f ca="1">IFERROR(__xludf.DUMMYFUNCTION("""COMPUTED_VALUE"""),"https://link.springer.com/journal/40745")</f>
        <v>https://link.springer.com/journal/40745</v>
      </c>
      <c r="I114" s="1" t="str">
        <f ca="1">IFERROR(__xludf.DUMMYFUNCTION("""COMPUTED_VALUE"""),"Springer")</f>
        <v>Springer</v>
      </c>
      <c r="J114" s="1">
        <f ca="1">IFERROR(__xludf.DUMMYFUNCTION("""COMPUTED_VALUE"""),2014)</f>
        <v>2014</v>
      </c>
      <c r="K114" s="1" t="str">
        <f ca="1">IFERROR(__xludf.DUMMYFUNCTION("""COMPUTED_VALUE"""),"Business and Management")</f>
        <v>Business and Management</v>
      </c>
      <c r="L114" s="1" t="str">
        <f ca="1">IFERROR(__xludf.DUMMYFUNCTION("""COMPUTED_VALUE"""),"〇")</f>
        <v>〇</v>
      </c>
      <c r="M114" s="1"/>
      <c r="N114" s="1" t="str">
        <f ca="1">IFERROR(__xludf.DUMMYFUNCTION("""COMPUTED_VALUE"""),"SNS14")</f>
        <v>SNS14</v>
      </c>
      <c r="O114" s="1"/>
      <c r="P114" s="1"/>
    </row>
    <row r="115" spans="1:16" ht="14.25" customHeight="1" x14ac:dyDescent="0.25">
      <c r="A115" s="1"/>
      <c r="B115" s="1">
        <f ca="1"/>
        <v>103</v>
      </c>
      <c r="C115" s="1">
        <f ca="1">IFERROR(__xludf.DUMMYFUNCTION("""COMPUTED_VALUE"""),2023)</f>
        <v>2023</v>
      </c>
      <c r="D115" s="1">
        <f ca="1">IFERROR(__xludf.DUMMYFUNCTION("""COMPUTED_VALUE"""),11881)</f>
        <v>11881</v>
      </c>
      <c r="E115" s="1" t="str">
        <f ca="1">IFERROR(__xludf.DUMMYFUNCTION("""COMPUTED_VALUE"""),"Annals of Dyslexia")</f>
        <v>Annals of Dyslexia</v>
      </c>
      <c r="F115" s="1" t="str">
        <f ca="1">IFERROR(__xludf.DUMMYFUNCTION("""COMPUTED_VALUE"""),"1934-7243")</f>
        <v>1934-7243</v>
      </c>
      <c r="G115" s="1" t="str">
        <f ca="1">IFERROR(__xludf.DUMMYFUNCTION("""COMPUTED_VALUE"""),"0736-9387")</f>
        <v>0736-9387</v>
      </c>
      <c r="H115" s="27" t="str">
        <f ca="1">IFERROR(__xludf.DUMMYFUNCTION("""COMPUTED_VALUE"""),"https://link.springer.com/journal/11881")</f>
        <v>https://link.springer.com/journal/11881</v>
      </c>
      <c r="I115" s="1" t="str">
        <f ca="1">IFERROR(__xludf.DUMMYFUNCTION("""COMPUTED_VALUE"""),"Springer")</f>
        <v>Springer</v>
      </c>
      <c r="J115" s="1">
        <f ca="1">IFERROR(__xludf.DUMMYFUNCTION("""COMPUTED_VALUE"""),2000)</f>
        <v>2000</v>
      </c>
      <c r="K115" s="1" t="str">
        <f ca="1">IFERROR(__xludf.DUMMYFUNCTION("""COMPUTED_VALUE"""),"Social Sciences")</f>
        <v>Social Sciences</v>
      </c>
      <c r="L115" s="1" t="str">
        <f ca="1">IFERROR(__xludf.DUMMYFUNCTION("""COMPUTED_VALUE"""),"〇")</f>
        <v>〇</v>
      </c>
      <c r="M115" s="1" t="str">
        <f ca="1">IFERROR(__xludf.DUMMYFUNCTION("""COMPUTED_VALUE"""),"〇")</f>
        <v>〇</v>
      </c>
      <c r="N115" s="1" t="str">
        <f ca="1">IFERROR(__xludf.DUMMYFUNCTION("""COMPUTED_VALUE"""),"TO7")</f>
        <v>TO7</v>
      </c>
      <c r="O115" s="1"/>
      <c r="P115" s="1"/>
    </row>
    <row r="116" spans="1:16" ht="14.25" customHeight="1" x14ac:dyDescent="0.25">
      <c r="A116" s="1"/>
      <c r="B116" s="1">
        <f ca="1"/>
        <v>104</v>
      </c>
      <c r="C116" s="1">
        <f ca="1">IFERROR(__xludf.DUMMYFUNCTION("""COMPUTED_VALUE"""),2023)</f>
        <v>2023</v>
      </c>
      <c r="D116" s="1">
        <f ca="1">IFERROR(__xludf.DUMMYFUNCTION("""COMPUTED_VALUE"""),10436)</f>
        <v>10436</v>
      </c>
      <c r="E116" s="1" t="str">
        <f ca="1">IFERROR(__xludf.DUMMYFUNCTION("""COMPUTED_VALUE"""),"Annals of Finance")</f>
        <v>Annals of Finance</v>
      </c>
      <c r="F116" s="1" t="str">
        <f ca="1">IFERROR(__xludf.DUMMYFUNCTION("""COMPUTED_VALUE"""),"1614-2454")</f>
        <v>1614-2454</v>
      </c>
      <c r="G116" s="1" t="str">
        <f ca="1">IFERROR(__xludf.DUMMYFUNCTION("""COMPUTED_VALUE"""),"1614-2446")</f>
        <v>1614-2446</v>
      </c>
      <c r="H116" s="27" t="str">
        <f ca="1">IFERROR(__xludf.DUMMYFUNCTION("""COMPUTED_VALUE"""),"https://link.springer.com/journal/10436")</f>
        <v>https://link.springer.com/journal/10436</v>
      </c>
      <c r="I116" s="1" t="str">
        <f ca="1">IFERROR(__xludf.DUMMYFUNCTION("""COMPUTED_VALUE"""),"Springer")</f>
        <v>Springer</v>
      </c>
      <c r="J116" s="1">
        <f ca="1">IFERROR(__xludf.DUMMYFUNCTION("""COMPUTED_VALUE"""),2005)</f>
        <v>2005</v>
      </c>
      <c r="K116" s="1" t="str">
        <f ca="1">IFERROR(__xludf.DUMMYFUNCTION("""COMPUTED_VALUE"""),"Economics and Finance")</f>
        <v>Economics and Finance</v>
      </c>
      <c r="L116" s="1" t="str">
        <f ca="1">IFERROR(__xludf.DUMMYFUNCTION("""COMPUTED_VALUE"""),"〇")</f>
        <v>〇</v>
      </c>
      <c r="M116" s="1" t="str">
        <f ca="1">IFERROR(__xludf.DUMMYFUNCTION("""COMPUTED_VALUE"""),"〇")</f>
        <v>〇</v>
      </c>
      <c r="N116" s="1"/>
      <c r="O116" s="1"/>
      <c r="P116" s="1"/>
    </row>
    <row r="117" spans="1:16" ht="14.25" customHeight="1" x14ac:dyDescent="0.25">
      <c r="A117" s="1"/>
      <c r="B117" s="1">
        <f ca="1"/>
        <v>105</v>
      </c>
      <c r="C117" s="1">
        <f ca="1">IFERROR(__xludf.DUMMYFUNCTION("""COMPUTED_VALUE"""),2023)</f>
        <v>2023</v>
      </c>
      <c r="D117" s="1">
        <f ca="1">IFERROR(__xludf.DUMMYFUNCTION("""COMPUTED_VALUE"""),43034)</f>
        <v>43034</v>
      </c>
      <c r="E117" s="1" t="str">
        <f ca="1">IFERROR(__xludf.DUMMYFUNCTION("""COMPUTED_VALUE"""),"Annals of Functional Analysis")</f>
        <v>Annals of Functional Analysis</v>
      </c>
      <c r="F117" s="1" t="str">
        <f ca="1">IFERROR(__xludf.DUMMYFUNCTION("""COMPUTED_VALUE"""),"2008-8752")</f>
        <v>2008-8752</v>
      </c>
      <c r="G117" s="1" t="str">
        <f ca="1">IFERROR(__xludf.DUMMYFUNCTION("""COMPUTED_VALUE"""),"2639-7390")</f>
        <v>2639-7390</v>
      </c>
      <c r="H117" s="27" t="str">
        <f ca="1">IFERROR(__xludf.DUMMYFUNCTION("""COMPUTED_VALUE"""),"https://link.springer.com/journal/43034")</f>
        <v>https://link.springer.com/journal/43034</v>
      </c>
      <c r="I117" s="1" t="str">
        <f ca="1">IFERROR(__xludf.DUMMYFUNCTION("""COMPUTED_VALUE"""),"Birkhäuser")</f>
        <v>Birkhäuser</v>
      </c>
      <c r="J117" s="1">
        <f ca="1">IFERROR(__xludf.DUMMYFUNCTION("""COMPUTED_VALUE"""),2020)</f>
        <v>2020</v>
      </c>
      <c r="K117" s="1" t="str">
        <f ca="1">IFERROR(__xludf.DUMMYFUNCTION("""COMPUTED_VALUE"""),"Mathematics and Statistics")</f>
        <v>Mathematics and Statistics</v>
      </c>
      <c r="L117" s="1" t="str">
        <f ca="1">IFERROR(__xludf.DUMMYFUNCTION("""COMPUTED_VALUE"""),"〇")</f>
        <v>〇</v>
      </c>
      <c r="M117" s="1"/>
      <c r="N117" s="1" t="str">
        <f ca="1">IFERROR(__xludf.DUMMYFUNCTION("""COMPUTED_VALUE"""),"TO20")</f>
        <v>TO20</v>
      </c>
      <c r="O117" s="1"/>
      <c r="P117" s="1"/>
    </row>
    <row r="118" spans="1:16" ht="14.25" customHeight="1" x14ac:dyDescent="0.25">
      <c r="A118" s="1"/>
      <c r="B118" s="1">
        <f ca="1"/>
        <v>106</v>
      </c>
      <c r="C118" s="1">
        <f ca="1">IFERROR(__xludf.DUMMYFUNCTION("""COMPUTED_VALUE"""),2023)</f>
        <v>2023</v>
      </c>
      <c r="D118" s="1">
        <f ca="1">IFERROR(__xludf.DUMMYFUNCTION("""COMPUTED_VALUE"""),10455)</f>
        <v>10455</v>
      </c>
      <c r="E118" s="1" t="str">
        <f ca="1">IFERROR(__xludf.DUMMYFUNCTION("""COMPUTED_VALUE"""),"Annals of Global Analysis and Geometry")</f>
        <v>Annals of Global Analysis and Geometry</v>
      </c>
      <c r="F118" s="1" t="str">
        <f ca="1">IFERROR(__xludf.DUMMYFUNCTION("""COMPUTED_VALUE"""),"1572-9060")</f>
        <v>1572-9060</v>
      </c>
      <c r="G118" s="1" t="str">
        <f ca="1">IFERROR(__xludf.DUMMYFUNCTION("""COMPUTED_VALUE"""),"0232-704X")</f>
        <v>0232-704X</v>
      </c>
      <c r="H118" s="27" t="str">
        <f ca="1">IFERROR(__xludf.DUMMYFUNCTION("""COMPUTED_VALUE"""),"https://link.springer.com/journal/10455")</f>
        <v>https://link.springer.com/journal/10455</v>
      </c>
      <c r="I118" s="1" t="str">
        <f ca="1">IFERROR(__xludf.DUMMYFUNCTION("""COMPUTED_VALUE"""),"Springer")</f>
        <v>Springer</v>
      </c>
      <c r="J118" s="1">
        <f ca="1">IFERROR(__xludf.DUMMYFUNCTION("""COMPUTED_VALUE"""),2000)</f>
        <v>2000</v>
      </c>
      <c r="K118" s="1" t="str">
        <f ca="1">IFERROR(__xludf.DUMMYFUNCTION("""COMPUTED_VALUE"""),"Mathematics and Statistics")</f>
        <v>Mathematics and Statistics</v>
      </c>
      <c r="L118" s="1" t="str">
        <f ca="1">IFERROR(__xludf.DUMMYFUNCTION("""COMPUTED_VALUE"""),"〇")</f>
        <v>〇</v>
      </c>
      <c r="M118" s="1" t="str">
        <f ca="1">IFERROR(__xludf.DUMMYFUNCTION("""COMPUTED_VALUE"""),"〇")</f>
        <v>〇</v>
      </c>
      <c r="N118" s="1"/>
      <c r="O118" s="1"/>
      <c r="P118" s="1"/>
    </row>
    <row r="119" spans="1:16" ht="14.25" customHeight="1" x14ac:dyDescent="0.25">
      <c r="A119" s="1"/>
      <c r="B119" s="1">
        <f ca="1"/>
        <v>107</v>
      </c>
      <c r="C119" s="1">
        <f ca="1">IFERROR(__xludf.DUMMYFUNCTION("""COMPUTED_VALUE"""),2023)</f>
        <v>2023</v>
      </c>
      <c r="D119" s="1">
        <f ca="1">IFERROR(__xludf.DUMMYFUNCTION("""COMPUTED_VALUE"""),277)</f>
        <v>277</v>
      </c>
      <c r="E119" s="1" t="str">
        <f ca="1">IFERROR(__xludf.DUMMYFUNCTION("""COMPUTED_VALUE"""),"Annals of Hematology")</f>
        <v>Annals of Hematology</v>
      </c>
      <c r="F119" s="1" t="str">
        <f ca="1">IFERROR(__xludf.DUMMYFUNCTION("""COMPUTED_VALUE"""),"1432-0584")</f>
        <v>1432-0584</v>
      </c>
      <c r="G119" s="1" t="str">
        <f ca="1">IFERROR(__xludf.DUMMYFUNCTION("""COMPUTED_VALUE"""),"0939-5555")</f>
        <v>0939-5555</v>
      </c>
      <c r="H119" s="27" t="str">
        <f ca="1">IFERROR(__xludf.DUMMYFUNCTION("""COMPUTED_VALUE"""),"https://link.springer.com/journal/277")</f>
        <v>https://link.springer.com/journal/277</v>
      </c>
      <c r="I119" s="1" t="str">
        <f ca="1">IFERROR(__xludf.DUMMYFUNCTION("""COMPUTED_VALUE"""),"Springer")</f>
        <v>Springer</v>
      </c>
      <c r="J119" s="1">
        <f ca="1">IFERROR(__xludf.DUMMYFUNCTION("""COMPUTED_VALUE"""),2000)</f>
        <v>2000</v>
      </c>
      <c r="K119" s="1" t="str">
        <f ca="1">IFERROR(__xludf.DUMMYFUNCTION("""COMPUTED_VALUE"""),"Medicine")</f>
        <v>Medicine</v>
      </c>
      <c r="L119" s="1" t="str">
        <f ca="1">IFERROR(__xludf.DUMMYFUNCTION("""COMPUTED_VALUE"""),"〇")</f>
        <v>〇</v>
      </c>
      <c r="M119" s="1" t="str">
        <f ca="1">IFERROR(__xludf.DUMMYFUNCTION("""COMPUTED_VALUE"""),"〇")</f>
        <v>〇</v>
      </c>
      <c r="N119" s="1"/>
      <c r="O119" s="1"/>
      <c r="P119" s="1"/>
    </row>
    <row r="120" spans="1:16" ht="14.25" customHeight="1" x14ac:dyDescent="0.25">
      <c r="A120" s="1"/>
      <c r="B120" s="1">
        <f ca="1"/>
        <v>108</v>
      </c>
      <c r="C120" s="1">
        <f ca="1">IFERROR(__xludf.DUMMYFUNCTION("""COMPUTED_VALUE"""),2023)</f>
        <v>2023</v>
      </c>
      <c r="D120" s="1">
        <f ca="1">IFERROR(__xludf.DUMMYFUNCTION("""COMPUTED_VALUE"""),10472)</f>
        <v>10472</v>
      </c>
      <c r="E120" s="1" t="str">
        <f ca="1">IFERROR(__xludf.DUMMYFUNCTION("""COMPUTED_VALUE"""),"Annals of Mathematics and Artificial Intelligence")</f>
        <v>Annals of Mathematics and Artificial Intelligence</v>
      </c>
      <c r="F120" s="1" t="str">
        <f ca="1">IFERROR(__xludf.DUMMYFUNCTION("""COMPUTED_VALUE"""),"1573-7470")</f>
        <v>1573-7470</v>
      </c>
      <c r="G120" s="1" t="str">
        <f ca="1">IFERROR(__xludf.DUMMYFUNCTION("""COMPUTED_VALUE"""),"1012-2443")</f>
        <v>1012-2443</v>
      </c>
      <c r="H120" s="27" t="str">
        <f ca="1">IFERROR(__xludf.DUMMYFUNCTION("""COMPUTED_VALUE"""),"https://link.springer.com/journal/10472")</f>
        <v>https://link.springer.com/journal/10472</v>
      </c>
      <c r="I120" s="1" t="str">
        <f ca="1">IFERROR(__xludf.DUMMYFUNCTION("""COMPUTED_VALUE"""),"Springer")</f>
        <v>Springer</v>
      </c>
      <c r="J120" s="1">
        <f ca="1">IFERROR(__xludf.DUMMYFUNCTION("""COMPUTED_VALUE"""),2000)</f>
        <v>2000</v>
      </c>
      <c r="K120" s="1" t="str">
        <f ca="1">IFERROR(__xludf.DUMMYFUNCTION("""COMPUTED_VALUE"""),"Computer Science")</f>
        <v>Computer Science</v>
      </c>
      <c r="L120" s="1" t="str">
        <f ca="1">IFERROR(__xludf.DUMMYFUNCTION("""COMPUTED_VALUE"""),"〇")</f>
        <v>〇</v>
      </c>
      <c r="M120" s="1" t="str">
        <f ca="1">IFERROR(__xludf.DUMMYFUNCTION("""COMPUTED_VALUE"""),"〇")</f>
        <v>〇</v>
      </c>
      <c r="N120" s="1"/>
      <c r="O120" s="1"/>
      <c r="P120" s="1"/>
    </row>
    <row r="121" spans="1:16" ht="14.25" customHeight="1" x14ac:dyDescent="0.25">
      <c r="A121" s="1"/>
      <c r="B121" s="1">
        <f ca="1"/>
        <v>109</v>
      </c>
      <c r="C121" s="1">
        <f ca="1">IFERROR(__xludf.DUMMYFUNCTION("""COMPUTED_VALUE"""),2023)</f>
        <v>2023</v>
      </c>
      <c r="D121" s="1">
        <f ca="1">IFERROR(__xludf.DUMMYFUNCTION("""COMPUTED_VALUE"""),12149)</f>
        <v>12149</v>
      </c>
      <c r="E121" s="1" t="str">
        <f ca="1">IFERROR(__xludf.DUMMYFUNCTION("""COMPUTED_VALUE"""),"Annals of Nuclear Medicine")</f>
        <v>Annals of Nuclear Medicine</v>
      </c>
      <c r="F121" s="1" t="str">
        <f ca="1">IFERROR(__xludf.DUMMYFUNCTION("""COMPUTED_VALUE"""),"1864-6433")</f>
        <v>1864-6433</v>
      </c>
      <c r="G121" s="1" t="str">
        <f ca="1">IFERROR(__xludf.DUMMYFUNCTION("""COMPUTED_VALUE"""),"0914-7187")</f>
        <v>0914-7187</v>
      </c>
      <c r="H121" s="27" t="str">
        <f ca="1">IFERROR(__xludf.DUMMYFUNCTION("""COMPUTED_VALUE"""),"https://link.springer.com/journal/12149")</f>
        <v>https://link.springer.com/journal/12149</v>
      </c>
      <c r="I121" s="1" t="str">
        <f ca="1">IFERROR(__xludf.DUMMYFUNCTION("""COMPUTED_VALUE"""),"Springer")</f>
        <v>Springer</v>
      </c>
      <c r="J121" s="1">
        <f ca="1">IFERROR(__xludf.DUMMYFUNCTION("""COMPUTED_VALUE"""),2000)</f>
        <v>2000</v>
      </c>
      <c r="K121" s="1" t="str">
        <f ca="1">IFERROR(__xludf.DUMMYFUNCTION("""COMPUTED_VALUE"""),"Medicine")</f>
        <v>Medicine</v>
      </c>
      <c r="L121" s="1" t="str">
        <f ca="1">IFERROR(__xludf.DUMMYFUNCTION("""COMPUTED_VALUE"""),"〇")</f>
        <v>〇</v>
      </c>
      <c r="M121" s="1" t="str">
        <f ca="1">IFERROR(__xludf.DUMMYFUNCTION("""COMPUTED_VALUE"""),"〇")</f>
        <v>〇</v>
      </c>
      <c r="N121" s="1" t="str">
        <f ca="1">IFERROR(__xludf.DUMMYFUNCTION("""COMPUTED_VALUE"""),"TO7")</f>
        <v>TO7</v>
      </c>
      <c r="O121" s="1"/>
      <c r="P121" s="1"/>
    </row>
    <row r="122" spans="1:16" ht="14.25" customHeight="1" x14ac:dyDescent="0.25">
      <c r="A122" s="1"/>
      <c r="B122" s="1">
        <f ca="1"/>
        <v>110</v>
      </c>
      <c r="C122" s="1">
        <f ca="1">IFERROR(__xludf.DUMMYFUNCTION("""COMPUTED_VALUE"""),2023)</f>
        <v>2023</v>
      </c>
      <c r="D122" s="1">
        <f ca="1">IFERROR(__xludf.DUMMYFUNCTION("""COMPUTED_VALUE"""),10479)</f>
        <v>10479</v>
      </c>
      <c r="E122" s="1" t="str">
        <f ca="1">IFERROR(__xludf.DUMMYFUNCTION("""COMPUTED_VALUE"""),"Annals of Operations Research")</f>
        <v>Annals of Operations Research</v>
      </c>
      <c r="F122" s="1" t="str">
        <f ca="1">IFERROR(__xludf.DUMMYFUNCTION("""COMPUTED_VALUE"""),"1572-9338")</f>
        <v>1572-9338</v>
      </c>
      <c r="G122" s="1" t="str">
        <f ca="1">IFERROR(__xludf.DUMMYFUNCTION("""COMPUTED_VALUE"""),"0254-5330")</f>
        <v>0254-5330</v>
      </c>
      <c r="H122" s="27" t="str">
        <f ca="1">IFERROR(__xludf.DUMMYFUNCTION("""COMPUTED_VALUE"""),"https://link.springer.com/journal/10479")</f>
        <v>https://link.springer.com/journal/10479</v>
      </c>
      <c r="I122" s="1" t="str">
        <f ca="1">IFERROR(__xludf.DUMMYFUNCTION("""COMPUTED_VALUE"""),"Springer")</f>
        <v>Springer</v>
      </c>
      <c r="J122" s="1">
        <f ca="1">IFERROR(__xludf.DUMMYFUNCTION("""COMPUTED_VALUE"""),2000)</f>
        <v>2000</v>
      </c>
      <c r="K122" s="1" t="str">
        <f ca="1">IFERROR(__xludf.DUMMYFUNCTION("""COMPUTED_VALUE"""),"Business and Management")</f>
        <v>Business and Management</v>
      </c>
      <c r="L122" s="1" t="str">
        <f ca="1">IFERROR(__xludf.DUMMYFUNCTION("""COMPUTED_VALUE"""),"〇")</f>
        <v>〇</v>
      </c>
      <c r="M122" s="1" t="str">
        <f ca="1">IFERROR(__xludf.DUMMYFUNCTION("""COMPUTED_VALUE"""),"〇")</f>
        <v>〇</v>
      </c>
      <c r="N122" s="1"/>
      <c r="O122" s="1"/>
      <c r="P122" s="1"/>
    </row>
    <row r="123" spans="1:16" ht="14.25" customHeight="1" x14ac:dyDescent="0.25">
      <c r="A123" s="1"/>
      <c r="B123" s="1">
        <f ca="1"/>
        <v>111</v>
      </c>
      <c r="C123" s="1">
        <f ca="1">IFERROR(__xludf.DUMMYFUNCTION("""COMPUTED_VALUE"""),2023)</f>
        <v>2023</v>
      </c>
      <c r="D123" s="1">
        <f ca="1">IFERROR(__xludf.DUMMYFUNCTION("""COMPUTED_VALUE"""),40818)</f>
        <v>40818</v>
      </c>
      <c r="E123" s="1" t="str">
        <f ca="1">IFERROR(__xludf.DUMMYFUNCTION("""COMPUTED_VALUE"""),"Annals of PDE")</f>
        <v>Annals of PDE</v>
      </c>
      <c r="F123" s="1" t="str">
        <f ca="1">IFERROR(__xludf.DUMMYFUNCTION("""COMPUTED_VALUE"""),"2199-2576")</f>
        <v>2199-2576</v>
      </c>
      <c r="G123" s="1"/>
      <c r="H123" s="27" t="str">
        <f ca="1">IFERROR(__xludf.DUMMYFUNCTION("""COMPUTED_VALUE"""),"https://link.springer.com/journal/40818")</f>
        <v>https://link.springer.com/journal/40818</v>
      </c>
      <c r="I123" s="1" t="str">
        <f ca="1">IFERROR(__xludf.DUMMYFUNCTION("""COMPUTED_VALUE"""),"Springer")</f>
        <v>Springer</v>
      </c>
      <c r="J123" s="1">
        <f ca="1">IFERROR(__xludf.DUMMYFUNCTION("""COMPUTED_VALUE"""),2015)</f>
        <v>2015</v>
      </c>
      <c r="K123" s="1" t="str">
        <f ca="1">IFERROR(__xludf.DUMMYFUNCTION("""COMPUTED_VALUE"""),"Physics and Astronomy")</f>
        <v>Physics and Astronomy</v>
      </c>
      <c r="L123" s="1"/>
      <c r="M123" s="1"/>
      <c r="N123" s="1" t="str">
        <f ca="1">IFERROR(__xludf.DUMMYFUNCTION("""COMPUTED_VALUE"""),"SNS15")</f>
        <v>SNS15</v>
      </c>
      <c r="O123" s="1"/>
      <c r="P123" s="1"/>
    </row>
    <row r="124" spans="1:16" ht="14.25" customHeight="1" x14ac:dyDescent="0.25">
      <c r="A124" s="1"/>
      <c r="B124" s="1">
        <f ca="1"/>
        <v>112</v>
      </c>
      <c r="C124" s="1">
        <f ca="1">IFERROR(__xludf.DUMMYFUNCTION("""COMPUTED_VALUE"""),2023)</f>
        <v>2023</v>
      </c>
      <c r="D124" s="1">
        <f ca="1">IFERROR(__xludf.DUMMYFUNCTION("""COMPUTED_VALUE"""),10434)</f>
        <v>10434</v>
      </c>
      <c r="E124" s="1" t="str">
        <f ca="1">IFERROR(__xludf.DUMMYFUNCTION("""COMPUTED_VALUE"""),"Annals of Surgical Oncology")</f>
        <v>Annals of Surgical Oncology</v>
      </c>
      <c r="F124" s="1" t="str">
        <f ca="1">IFERROR(__xludf.DUMMYFUNCTION("""COMPUTED_VALUE"""),"1534-4681")</f>
        <v>1534-4681</v>
      </c>
      <c r="G124" s="1" t="str">
        <f ca="1">IFERROR(__xludf.DUMMYFUNCTION("""COMPUTED_VALUE"""),"1068-9265")</f>
        <v>1068-9265</v>
      </c>
      <c r="H124" s="27" t="str">
        <f ca="1">IFERROR(__xludf.DUMMYFUNCTION("""COMPUTED_VALUE"""),"https://link.springer.com/journal/10434")</f>
        <v>https://link.springer.com/journal/10434</v>
      </c>
      <c r="I124" s="1" t="str">
        <f ca="1">IFERROR(__xludf.DUMMYFUNCTION("""COMPUTED_VALUE"""),"Springer")</f>
        <v>Springer</v>
      </c>
      <c r="J124" s="1">
        <f ca="1">IFERROR(__xludf.DUMMYFUNCTION("""COMPUTED_VALUE"""),2000)</f>
        <v>2000</v>
      </c>
      <c r="K124" s="1" t="str">
        <f ca="1">IFERROR(__xludf.DUMMYFUNCTION("""COMPUTED_VALUE"""),"Medicine")</f>
        <v>Medicine</v>
      </c>
      <c r="L124" s="1" t="str">
        <f ca="1">IFERROR(__xludf.DUMMYFUNCTION("""COMPUTED_VALUE"""),"〇")</f>
        <v>〇</v>
      </c>
      <c r="M124" s="1" t="str">
        <f ca="1">IFERROR(__xludf.DUMMYFUNCTION("""COMPUTED_VALUE"""),"〇")</f>
        <v>〇</v>
      </c>
      <c r="N124" s="1"/>
      <c r="O124" s="1"/>
      <c r="P124" s="1"/>
    </row>
    <row r="125" spans="1:16" ht="14.25" customHeight="1" x14ac:dyDescent="0.25">
      <c r="A125" s="1"/>
      <c r="B125" s="1">
        <f ca="1"/>
        <v>113</v>
      </c>
      <c r="C125" s="1">
        <f ca="1">IFERROR(__xludf.DUMMYFUNCTION("""COMPUTED_VALUE"""),2023)</f>
        <v>2023</v>
      </c>
      <c r="D125" s="1">
        <f ca="1">IFERROR(__xludf.DUMMYFUNCTION("""COMPUTED_VALUE"""),12243)</f>
        <v>12243</v>
      </c>
      <c r="E125" s="1" t="str">
        <f ca="1">IFERROR(__xludf.DUMMYFUNCTION("""COMPUTED_VALUE"""),"Annals of Telecommunications")</f>
        <v>Annals of Telecommunications</v>
      </c>
      <c r="F125" s="1" t="str">
        <f ca="1">IFERROR(__xludf.DUMMYFUNCTION("""COMPUTED_VALUE"""),"1958-9395")</f>
        <v>1958-9395</v>
      </c>
      <c r="G125" s="1" t="str">
        <f ca="1">IFERROR(__xludf.DUMMYFUNCTION("""COMPUTED_VALUE"""),"0003-4347")</f>
        <v>0003-4347</v>
      </c>
      <c r="H125" s="27" t="str">
        <f ca="1">IFERROR(__xludf.DUMMYFUNCTION("""COMPUTED_VALUE"""),"https://link.springer.com/journal/12243")</f>
        <v>https://link.springer.com/journal/12243</v>
      </c>
      <c r="I125" s="1" t="str">
        <f ca="1">IFERROR(__xludf.DUMMYFUNCTION("""COMPUTED_VALUE"""),"Springer")</f>
        <v>Springer</v>
      </c>
      <c r="J125" s="1">
        <f ca="1">IFERROR(__xludf.DUMMYFUNCTION("""COMPUTED_VALUE"""),2000)</f>
        <v>2000</v>
      </c>
      <c r="K125" s="1" t="str">
        <f ca="1">IFERROR(__xludf.DUMMYFUNCTION("""COMPUTED_VALUE"""),"Engineering")</f>
        <v>Engineering</v>
      </c>
      <c r="L125" s="1" t="str">
        <f ca="1">IFERROR(__xludf.DUMMYFUNCTION("""COMPUTED_VALUE"""),"〇")</f>
        <v>〇</v>
      </c>
      <c r="M125" s="1" t="str">
        <f ca="1">IFERROR(__xludf.DUMMYFUNCTION("""COMPUTED_VALUE"""),"〇")</f>
        <v>〇</v>
      </c>
      <c r="N125" s="1" t="str">
        <f ca="1">IFERROR(__xludf.DUMMYFUNCTION("""COMPUTED_VALUE"""),"TO8")</f>
        <v>TO8</v>
      </c>
      <c r="O125" s="1"/>
      <c r="P125" s="1"/>
    </row>
    <row r="126" spans="1:16" ht="14.25" customHeight="1" x14ac:dyDescent="0.25">
      <c r="A126" s="1"/>
      <c r="B126" s="1">
        <f ca="1"/>
        <v>114</v>
      </c>
      <c r="C126" s="1">
        <f ca="1">IFERROR(__xludf.DUMMYFUNCTION("""COMPUTED_VALUE"""),2023)</f>
        <v>2023</v>
      </c>
      <c r="D126" s="1">
        <f ca="1">IFERROR(__xludf.DUMMYFUNCTION("""COMPUTED_VALUE"""),10463)</f>
        <v>10463</v>
      </c>
      <c r="E126" s="1" t="str">
        <f ca="1">IFERROR(__xludf.DUMMYFUNCTION("""COMPUTED_VALUE"""),"Annals of the Institute of Statistical Mathematics")</f>
        <v>Annals of the Institute of Statistical Mathematics</v>
      </c>
      <c r="F126" s="1" t="str">
        <f ca="1">IFERROR(__xludf.DUMMYFUNCTION("""COMPUTED_VALUE"""),"1572-9052")</f>
        <v>1572-9052</v>
      </c>
      <c r="G126" s="1" t="str">
        <f ca="1">IFERROR(__xludf.DUMMYFUNCTION("""COMPUTED_VALUE"""),"0020-3157")</f>
        <v>0020-3157</v>
      </c>
      <c r="H126" s="27" t="str">
        <f ca="1">IFERROR(__xludf.DUMMYFUNCTION("""COMPUTED_VALUE"""),"https://link.springer.com/journal/10463")</f>
        <v>https://link.springer.com/journal/10463</v>
      </c>
      <c r="I126" s="1" t="str">
        <f ca="1">IFERROR(__xludf.DUMMYFUNCTION("""COMPUTED_VALUE"""),"Springer")</f>
        <v>Springer</v>
      </c>
      <c r="J126" s="1">
        <f ca="1">IFERROR(__xludf.DUMMYFUNCTION("""COMPUTED_VALUE"""),2000)</f>
        <v>2000</v>
      </c>
      <c r="K126" s="1" t="str">
        <f ca="1">IFERROR(__xludf.DUMMYFUNCTION("""COMPUTED_VALUE"""),"Mathematics and Statistics")</f>
        <v>Mathematics and Statistics</v>
      </c>
      <c r="L126" s="1" t="str">
        <f ca="1">IFERROR(__xludf.DUMMYFUNCTION("""COMPUTED_VALUE"""),"〇")</f>
        <v>〇</v>
      </c>
      <c r="M126" s="1" t="str">
        <f ca="1">IFERROR(__xludf.DUMMYFUNCTION("""COMPUTED_VALUE"""),"〇")</f>
        <v>〇</v>
      </c>
      <c r="N126" s="1"/>
      <c r="O126" s="1"/>
      <c r="P126" s="1"/>
    </row>
    <row r="127" spans="1:16" ht="14.25" customHeight="1" x14ac:dyDescent="0.25">
      <c r="A127" s="1"/>
      <c r="B127" s="1">
        <f ca="1"/>
        <v>115</v>
      </c>
      <c r="C127" s="1">
        <f ca="1">IFERROR(__xludf.DUMMYFUNCTION("""COMPUTED_VALUE"""),2023)</f>
        <v>2023</v>
      </c>
      <c r="D127" s="1">
        <f ca="1">IFERROR(__xludf.DUMMYFUNCTION("""COMPUTED_VALUE"""),44177)</f>
        <v>44177</v>
      </c>
      <c r="E127" s="1" t="str">
        <f ca="1">IFERROR(__xludf.DUMMYFUNCTION("""COMPUTED_VALUE"""),"Anthropocene Science")</f>
        <v>Anthropocene Science</v>
      </c>
      <c r="F127" s="1" t="str">
        <f ca="1">IFERROR(__xludf.DUMMYFUNCTION("""COMPUTED_VALUE"""),"2731-3980")</f>
        <v>2731-3980</v>
      </c>
      <c r="G127" s="1"/>
      <c r="H127" s="27" t="str">
        <f ca="1">IFERROR(__xludf.DUMMYFUNCTION("""COMPUTED_VALUE"""),"https://link.springer.com/journal/44177")</f>
        <v>https://link.springer.com/journal/44177</v>
      </c>
      <c r="I127" s="1" t="str">
        <f ca="1">IFERROR(__xludf.DUMMYFUNCTION("""COMPUTED_VALUE"""),"Springer")</f>
        <v>Springer</v>
      </c>
      <c r="J127" s="1">
        <f ca="1">IFERROR(__xludf.DUMMYFUNCTION("""COMPUTED_VALUE"""),2022)</f>
        <v>2022</v>
      </c>
      <c r="K127" s="1" t="str">
        <f ca="1">IFERROR(__xludf.DUMMYFUNCTION("""COMPUTED_VALUE"""),"Earth and Environmental Science")</f>
        <v>Earth and Environmental Science</v>
      </c>
      <c r="L127" s="1"/>
      <c r="M127" s="1"/>
      <c r="N127" s="1" t="str">
        <f ca="1">IFERROR(__xludf.DUMMYFUNCTION("""COMPUTED_VALUE"""),"SNS22")</f>
        <v>SNS22</v>
      </c>
      <c r="O127" s="1"/>
      <c r="P127" s="1"/>
    </row>
    <row r="128" spans="1:16" ht="14.25" customHeight="1" x14ac:dyDescent="0.25">
      <c r="A128" s="1"/>
      <c r="B128" s="1">
        <f ca="1"/>
        <v>116</v>
      </c>
      <c r="C128" s="1">
        <f ca="1">IFERROR(__xludf.DUMMYFUNCTION("""COMPUTED_VALUE"""),2023)</f>
        <v>2023</v>
      </c>
      <c r="D128" s="1">
        <f ca="1">IFERROR(__xludf.DUMMYFUNCTION("""COMPUTED_VALUE"""),10482)</f>
        <v>10482</v>
      </c>
      <c r="E128" s="1" t="str">
        <f ca="1">IFERROR(__xludf.DUMMYFUNCTION("""COMPUTED_VALUE"""),"Antonie van Leeuwenhoek")</f>
        <v>Antonie van Leeuwenhoek</v>
      </c>
      <c r="F128" s="1" t="str">
        <f ca="1">IFERROR(__xludf.DUMMYFUNCTION("""COMPUTED_VALUE"""),"1572-9699")</f>
        <v>1572-9699</v>
      </c>
      <c r="G128" s="1" t="str">
        <f ca="1">IFERROR(__xludf.DUMMYFUNCTION("""COMPUTED_VALUE"""),"0003-6072")</f>
        <v>0003-6072</v>
      </c>
      <c r="H128" s="27" t="str">
        <f ca="1">IFERROR(__xludf.DUMMYFUNCTION("""COMPUTED_VALUE"""),"https://link.springer.com/journal/10482")</f>
        <v>https://link.springer.com/journal/10482</v>
      </c>
      <c r="I128" s="1" t="str">
        <f ca="1">IFERROR(__xludf.DUMMYFUNCTION("""COMPUTED_VALUE"""),"Springer")</f>
        <v>Springer</v>
      </c>
      <c r="J128" s="1">
        <f ca="1">IFERROR(__xludf.DUMMYFUNCTION("""COMPUTED_VALUE"""),2000)</f>
        <v>2000</v>
      </c>
      <c r="K128" s="1" t="str">
        <f ca="1">IFERROR(__xludf.DUMMYFUNCTION("""COMPUTED_VALUE"""),"Biomedical and Life Sciences")</f>
        <v>Biomedical and Life Sciences</v>
      </c>
      <c r="L128" s="1" t="str">
        <f ca="1">IFERROR(__xludf.DUMMYFUNCTION("""COMPUTED_VALUE"""),"〇")</f>
        <v>〇</v>
      </c>
      <c r="M128" s="1" t="str">
        <f ca="1">IFERROR(__xludf.DUMMYFUNCTION("""COMPUTED_VALUE"""),"〇")</f>
        <v>〇</v>
      </c>
      <c r="N128" s="1"/>
      <c r="O128" s="1"/>
      <c r="P128" s="1"/>
    </row>
    <row r="129" spans="1:16" ht="14.25" customHeight="1" x14ac:dyDescent="0.25">
      <c r="A129" s="1"/>
      <c r="B129" s="1">
        <f ca="1"/>
        <v>117</v>
      </c>
      <c r="C129" s="1">
        <f ca="1">IFERROR(__xludf.DUMMYFUNCTION("""COMPUTED_VALUE"""),2023)</f>
        <v>2023</v>
      </c>
      <c r="D129" s="1">
        <f ca="1">IFERROR(__xludf.DUMMYFUNCTION("""COMPUTED_VALUE"""),13592)</f>
        <v>13592</v>
      </c>
      <c r="E129" s="1" t="str">
        <f ca="1">IFERROR(__xludf.DUMMYFUNCTION("""COMPUTED_VALUE"""),"Apidologie")</f>
        <v>Apidologie</v>
      </c>
      <c r="F129" s="1" t="str">
        <f ca="1">IFERROR(__xludf.DUMMYFUNCTION("""COMPUTED_VALUE"""),"1297-9678")</f>
        <v>1297-9678</v>
      </c>
      <c r="G129" s="1" t="str">
        <f ca="1">IFERROR(__xludf.DUMMYFUNCTION("""COMPUTED_VALUE"""),"0044-8435")</f>
        <v>0044-8435</v>
      </c>
      <c r="H129" s="27" t="str">
        <f ca="1">IFERROR(__xludf.DUMMYFUNCTION("""COMPUTED_VALUE"""),"https://link.springer.com/journal/13592")</f>
        <v>https://link.springer.com/journal/13592</v>
      </c>
      <c r="I129" s="1" t="str">
        <f ca="1">IFERROR(__xludf.DUMMYFUNCTION("""COMPUTED_VALUE"""),"Springer")</f>
        <v>Springer</v>
      </c>
      <c r="J129" s="1">
        <f ca="1">IFERROR(__xludf.DUMMYFUNCTION("""COMPUTED_VALUE"""),2007)</f>
        <v>2007</v>
      </c>
      <c r="K129" s="1" t="str">
        <f ca="1">IFERROR(__xludf.DUMMYFUNCTION("""COMPUTED_VALUE"""),"Biomedical and Life Sciences")</f>
        <v>Biomedical and Life Sciences</v>
      </c>
      <c r="L129" s="1" t="str">
        <f ca="1">IFERROR(__xludf.DUMMYFUNCTION("""COMPUTED_VALUE"""),"〇")</f>
        <v>〇</v>
      </c>
      <c r="M129" s="1"/>
      <c r="N129" s="1" t="str">
        <f ca="1">IFERROR(__xludf.DUMMYFUNCTION("""COMPUTED_VALUE"""),"TO11")</f>
        <v>TO11</v>
      </c>
      <c r="O129" s="1"/>
      <c r="P129" s="1"/>
    </row>
    <row r="130" spans="1:16" ht="14.25" customHeight="1" x14ac:dyDescent="0.25">
      <c r="A130" s="1"/>
      <c r="B130" s="1">
        <f ca="1"/>
        <v>118</v>
      </c>
      <c r="C130" s="1">
        <f ca="1">IFERROR(__xludf.DUMMYFUNCTION("""COMPUTED_VALUE"""),2023)</f>
        <v>2023</v>
      </c>
      <c r="D130" s="1">
        <f ca="1">IFERROR(__xludf.DUMMYFUNCTION("""COMPUTED_VALUE"""),10495)</f>
        <v>10495</v>
      </c>
      <c r="E130" s="1" t="str">
        <f ca="1">IFERROR(__xludf.DUMMYFUNCTION("""COMPUTED_VALUE"""),"Apoptosis")</f>
        <v>Apoptosis</v>
      </c>
      <c r="F130" s="1" t="str">
        <f ca="1">IFERROR(__xludf.DUMMYFUNCTION("""COMPUTED_VALUE"""),"1573-675X")</f>
        <v>1573-675X</v>
      </c>
      <c r="G130" s="1" t="str">
        <f ca="1">IFERROR(__xludf.DUMMYFUNCTION("""COMPUTED_VALUE"""),"1360-8185")</f>
        <v>1360-8185</v>
      </c>
      <c r="H130" s="27" t="str">
        <f ca="1">IFERROR(__xludf.DUMMYFUNCTION("""COMPUTED_VALUE"""),"https://link.springer.com/journal/10495")</f>
        <v>https://link.springer.com/journal/10495</v>
      </c>
      <c r="I130" s="1" t="str">
        <f ca="1">IFERROR(__xludf.DUMMYFUNCTION("""COMPUTED_VALUE"""),"Springer")</f>
        <v>Springer</v>
      </c>
      <c r="J130" s="1">
        <f ca="1">IFERROR(__xludf.DUMMYFUNCTION("""COMPUTED_VALUE"""),2000)</f>
        <v>2000</v>
      </c>
      <c r="K130" s="1" t="str">
        <f ca="1">IFERROR(__xludf.DUMMYFUNCTION("""COMPUTED_VALUE"""),"Biomedical and Life Sciences")</f>
        <v>Biomedical and Life Sciences</v>
      </c>
      <c r="L130" s="1" t="str">
        <f ca="1">IFERROR(__xludf.DUMMYFUNCTION("""COMPUTED_VALUE"""),"〇")</f>
        <v>〇</v>
      </c>
      <c r="M130" s="1" t="str">
        <f ca="1">IFERROR(__xludf.DUMMYFUNCTION("""COMPUTED_VALUE"""),"〇")</f>
        <v>〇</v>
      </c>
      <c r="N130" s="1"/>
      <c r="O130" s="1"/>
      <c r="P130" s="1"/>
    </row>
    <row r="131" spans="1:16" ht="14.25" customHeight="1" x14ac:dyDescent="0.25">
      <c r="A131" s="1"/>
      <c r="B131" s="1">
        <f ca="1"/>
        <v>119</v>
      </c>
      <c r="C131" s="1">
        <f ca="1">IFERROR(__xludf.DUMMYFUNCTION("""COMPUTED_VALUE"""),2023)</f>
        <v>2023</v>
      </c>
      <c r="D131" s="1">
        <f ca="1">IFERROR(__xludf.DUMMYFUNCTION("""COMPUTED_VALUE"""),200)</f>
        <v>200</v>
      </c>
      <c r="E131" s="1" t="str">
        <f ca="1">IFERROR(__xludf.DUMMYFUNCTION("""COMPUTED_VALUE"""),"Applicable Algebra in Engineering, Communication and Computing")</f>
        <v>Applicable Algebra in Engineering, Communication and Computing</v>
      </c>
      <c r="F131" s="1" t="str">
        <f ca="1">IFERROR(__xludf.DUMMYFUNCTION("""COMPUTED_VALUE"""),"1432-0622")</f>
        <v>1432-0622</v>
      </c>
      <c r="G131" s="1" t="str">
        <f ca="1">IFERROR(__xludf.DUMMYFUNCTION("""COMPUTED_VALUE"""),"0938-1279")</f>
        <v>0938-1279</v>
      </c>
      <c r="H131" s="27" t="str">
        <f ca="1">IFERROR(__xludf.DUMMYFUNCTION("""COMPUTED_VALUE"""),"https://link.springer.com/journal/200")</f>
        <v>https://link.springer.com/journal/200</v>
      </c>
      <c r="I131" s="1" t="str">
        <f ca="1">IFERROR(__xludf.DUMMYFUNCTION("""COMPUTED_VALUE"""),"Springer")</f>
        <v>Springer</v>
      </c>
      <c r="J131" s="1">
        <f ca="1">IFERROR(__xludf.DUMMYFUNCTION("""COMPUTED_VALUE"""),2000)</f>
        <v>2000</v>
      </c>
      <c r="K131" s="1" t="str">
        <f ca="1">IFERROR(__xludf.DUMMYFUNCTION("""COMPUTED_VALUE"""),"Computer Science")</f>
        <v>Computer Science</v>
      </c>
      <c r="L131" s="1" t="str">
        <f ca="1">IFERROR(__xludf.DUMMYFUNCTION("""COMPUTED_VALUE"""),"〇")</f>
        <v>〇</v>
      </c>
      <c r="M131" s="1" t="str">
        <f ca="1">IFERROR(__xludf.DUMMYFUNCTION("""COMPUTED_VALUE"""),"〇")</f>
        <v>〇</v>
      </c>
      <c r="N131" s="1"/>
      <c r="O131" s="1"/>
      <c r="P131" s="1"/>
    </row>
    <row r="132" spans="1:16" ht="14.25" customHeight="1" x14ac:dyDescent="0.25">
      <c r="A132" s="1"/>
      <c r="B132" s="1">
        <f ca="1"/>
        <v>120</v>
      </c>
      <c r="C132" s="1">
        <f ca="1">IFERROR(__xludf.DUMMYFUNCTION("""COMPUTED_VALUE"""),2023)</f>
        <v>2023</v>
      </c>
      <c r="D132" s="1">
        <f ca="1">IFERROR(__xludf.DUMMYFUNCTION("""COMPUTED_VALUE"""),10492)</f>
        <v>10492</v>
      </c>
      <c r="E132" s="1" t="str">
        <f ca="1">IFERROR(__xludf.DUMMYFUNCTION("""COMPUTED_VALUE"""),"Applications of Mathematics")</f>
        <v>Applications of Mathematics</v>
      </c>
      <c r="F132" s="1" t="str">
        <f ca="1">IFERROR(__xludf.DUMMYFUNCTION("""COMPUTED_VALUE"""),"1572-9109")</f>
        <v>1572-9109</v>
      </c>
      <c r="G132" s="1" t="str">
        <f ca="1">IFERROR(__xludf.DUMMYFUNCTION("""COMPUTED_VALUE"""),"0862-7940")</f>
        <v>0862-7940</v>
      </c>
      <c r="H132" s="27" t="str">
        <f ca="1">IFERROR(__xludf.DUMMYFUNCTION("""COMPUTED_VALUE"""),"https://link.springer.com/journal/10492")</f>
        <v>https://link.springer.com/journal/10492</v>
      </c>
      <c r="I132" s="1" t="str">
        <f ca="1">IFERROR(__xludf.DUMMYFUNCTION("""COMPUTED_VALUE"""),"Springer")</f>
        <v>Springer</v>
      </c>
      <c r="J132" s="1">
        <f ca="1">IFERROR(__xludf.DUMMYFUNCTION("""COMPUTED_VALUE"""),2000)</f>
        <v>2000</v>
      </c>
      <c r="K132" s="1" t="str">
        <f ca="1">IFERROR(__xludf.DUMMYFUNCTION("""COMPUTED_VALUE"""),"Mathematics and Statistics")</f>
        <v>Mathematics and Statistics</v>
      </c>
      <c r="L132" s="1" t="str">
        <f ca="1">IFERROR(__xludf.DUMMYFUNCTION("""COMPUTED_VALUE"""),"〇")</f>
        <v>〇</v>
      </c>
      <c r="M132" s="1" t="str">
        <f ca="1">IFERROR(__xludf.DUMMYFUNCTION("""COMPUTED_VALUE"""),"〇")</f>
        <v>〇</v>
      </c>
      <c r="N132" s="1"/>
      <c r="O132" s="1"/>
      <c r="P132" s="1"/>
    </row>
    <row r="133" spans="1:16" ht="14.25" customHeight="1" x14ac:dyDescent="0.25">
      <c r="A133" s="1"/>
      <c r="B133" s="1">
        <f ca="1"/>
        <v>121</v>
      </c>
      <c r="C133" s="1">
        <f ca="1">IFERROR(__xludf.DUMMYFUNCTION("""COMPUTED_VALUE"""),2023)</f>
        <v>2023</v>
      </c>
      <c r="D133" s="1">
        <f ca="1">IFERROR(__xludf.DUMMYFUNCTION("""COMPUTED_VALUE"""),12010)</f>
        <v>12010</v>
      </c>
      <c r="E133" s="1" t="str">
        <f ca="1">IFERROR(__xludf.DUMMYFUNCTION("""COMPUTED_VALUE"""),"Applied Biochemistry and Biotechnology")</f>
        <v>Applied Biochemistry and Biotechnology</v>
      </c>
      <c r="F133" s="1" t="str">
        <f ca="1">IFERROR(__xludf.DUMMYFUNCTION("""COMPUTED_VALUE"""),"1559-0291")</f>
        <v>1559-0291</v>
      </c>
      <c r="G133" s="1" t="str">
        <f ca="1">IFERROR(__xludf.DUMMYFUNCTION("""COMPUTED_VALUE"""),"0273-2289")</f>
        <v>0273-2289</v>
      </c>
      <c r="H133" s="27" t="str">
        <f ca="1">IFERROR(__xludf.DUMMYFUNCTION("""COMPUTED_VALUE"""),"https://link.springer.com/journal/12010")</f>
        <v>https://link.springer.com/journal/12010</v>
      </c>
      <c r="I133" s="1" t="str">
        <f ca="1">IFERROR(__xludf.DUMMYFUNCTION("""COMPUTED_VALUE"""),"Springer")</f>
        <v>Springer</v>
      </c>
      <c r="J133" s="1">
        <f ca="1">IFERROR(__xludf.DUMMYFUNCTION("""COMPUTED_VALUE"""),2000)</f>
        <v>2000</v>
      </c>
      <c r="K133" s="1" t="str">
        <f ca="1">IFERROR(__xludf.DUMMYFUNCTION("""COMPUTED_VALUE"""),"Chemistry and Materials Science")</f>
        <v>Chemistry and Materials Science</v>
      </c>
      <c r="L133" s="1" t="str">
        <f ca="1">IFERROR(__xludf.DUMMYFUNCTION("""COMPUTED_VALUE"""),"〇")</f>
        <v>〇</v>
      </c>
      <c r="M133" s="1" t="str">
        <f ca="1">IFERROR(__xludf.DUMMYFUNCTION("""COMPUTED_VALUE"""),"〇")</f>
        <v>〇</v>
      </c>
      <c r="N133" s="1" t="str">
        <f ca="1">IFERROR(__xludf.DUMMYFUNCTION("""COMPUTED_VALUE"""),"TO7")</f>
        <v>TO7</v>
      </c>
      <c r="O133" s="1"/>
      <c r="P133" s="1"/>
    </row>
    <row r="134" spans="1:16" ht="14.25" customHeight="1" x14ac:dyDescent="0.25">
      <c r="A134" s="1"/>
      <c r="B134" s="1">
        <f ca="1"/>
        <v>122</v>
      </c>
      <c r="C134" s="1">
        <f ca="1">IFERROR(__xludf.DUMMYFUNCTION("""COMPUTED_VALUE"""),2023)</f>
        <v>2023</v>
      </c>
      <c r="D134" s="1">
        <f ca="1">IFERROR(__xludf.DUMMYFUNCTION("""COMPUTED_VALUE"""),10438)</f>
        <v>10438</v>
      </c>
      <c r="E134" s="1" t="str">
        <f ca="1">IFERROR(__xludf.DUMMYFUNCTION("""COMPUTED_VALUE"""),"Applied Biochemistry and Microbiology")</f>
        <v>Applied Biochemistry and Microbiology</v>
      </c>
      <c r="F134" s="1" t="str">
        <f ca="1">IFERROR(__xludf.DUMMYFUNCTION("""COMPUTED_VALUE"""),"1608-3024")</f>
        <v>1608-3024</v>
      </c>
      <c r="G134" s="1" t="str">
        <f ca="1">IFERROR(__xludf.DUMMYFUNCTION("""COMPUTED_VALUE"""),"0003-6838")</f>
        <v>0003-6838</v>
      </c>
      <c r="H134" s="27" t="str">
        <f ca="1">IFERROR(__xludf.DUMMYFUNCTION("""COMPUTED_VALUE"""),"https://link.springer.com/journal/10438")</f>
        <v>https://link.springer.com/journal/10438</v>
      </c>
      <c r="I134" s="1" t="str">
        <f ca="1">IFERROR(__xludf.DUMMYFUNCTION("""COMPUTED_VALUE"""),"Pleiades Publishing")</f>
        <v>Pleiades Publishing</v>
      </c>
      <c r="J134" s="1">
        <f ca="1">IFERROR(__xludf.DUMMYFUNCTION("""COMPUTED_VALUE"""),2000)</f>
        <v>2000</v>
      </c>
      <c r="K134" s="1" t="str">
        <f ca="1">IFERROR(__xludf.DUMMYFUNCTION("""COMPUTED_VALUE"""),"Biomedical and Life Sciences")</f>
        <v>Biomedical and Life Sciences</v>
      </c>
      <c r="L134" s="1" t="str">
        <f ca="1">IFERROR(__xludf.DUMMYFUNCTION("""COMPUTED_VALUE"""),"〇")</f>
        <v>〇</v>
      </c>
      <c r="M134" s="1" t="str">
        <f ca="1">IFERROR(__xludf.DUMMYFUNCTION("""COMPUTED_VALUE"""),"〇")</f>
        <v>〇</v>
      </c>
      <c r="N134" s="1"/>
      <c r="O134" s="1"/>
      <c r="P134" s="1"/>
    </row>
    <row r="135" spans="1:16" ht="14.25" customHeight="1" x14ac:dyDescent="0.25">
      <c r="A135" s="1"/>
      <c r="B135" s="1">
        <f ca="1"/>
        <v>123</v>
      </c>
      <c r="C135" s="1">
        <f ca="1">IFERROR(__xludf.DUMMYFUNCTION("""COMPUTED_VALUE"""),2023)</f>
        <v>2023</v>
      </c>
      <c r="D135" s="1">
        <f ca="1">IFERROR(__xludf.DUMMYFUNCTION("""COMPUTED_VALUE"""),10485)</f>
        <v>10485</v>
      </c>
      <c r="E135" s="1" t="str">
        <f ca="1">IFERROR(__xludf.DUMMYFUNCTION("""COMPUTED_VALUE"""),"Applied Categorical Structures")</f>
        <v>Applied Categorical Structures</v>
      </c>
      <c r="F135" s="1" t="str">
        <f ca="1">IFERROR(__xludf.DUMMYFUNCTION("""COMPUTED_VALUE"""),"1572-9095")</f>
        <v>1572-9095</v>
      </c>
      <c r="G135" s="1" t="str">
        <f ca="1">IFERROR(__xludf.DUMMYFUNCTION("""COMPUTED_VALUE"""),"0927-2852")</f>
        <v>0927-2852</v>
      </c>
      <c r="H135" s="27" t="str">
        <f ca="1">IFERROR(__xludf.DUMMYFUNCTION("""COMPUTED_VALUE"""),"https://link.springer.com/journal/10485")</f>
        <v>https://link.springer.com/journal/10485</v>
      </c>
      <c r="I135" s="1" t="str">
        <f ca="1">IFERROR(__xludf.DUMMYFUNCTION("""COMPUTED_VALUE"""),"Springer")</f>
        <v>Springer</v>
      </c>
      <c r="J135" s="1">
        <f ca="1">IFERROR(__xludf.DUMMYFUNCTION("""COMPUTED_VALUE"""),2000)</f>
        <v>2000</v>
      </c>
      <c r="K135" s="1" t="str">
        <f ca="1">IFERROR(__xludf.DUMMYFUNCTION("""COMPUTED_VALUE"""),"Mathematics and Statistics")</f>
        <v>Mathematics and Statistics</v>
      </c>
      <c r="L135" s="1" t="str">
        <f ca="1">IFERROR(__xludf.DUMMYFUNCTION("""COMPUTED_VALUE"""),"〇")</f>
        <v>〇</v>
      </c>
      <c r="M135" s="1" t="str">
        <f ca="1">IFERROR(__xludf.DUMMYFUNCTION("""COMPUTED_VALUE"""),"〇")</f>
        <v>〇</v>
      </c>
      <c r="N135" s="1"/>
      <c r="O135" s="1"/>
      <c r="P135" s="1"/>
    </row>
    <row r="136" spans="1:16" ht="14.25" customHeight="1" x14ac:dyDescent="0.25">
      <c r="A136" s="1"/>
      <c r="B136" s="1">
        <f ca="1"/>
        <v>124</v>
      </c>
      <c r="C136" s="1">
        <f ca="1">IFERROR(__xludf.DUMMYFUNCTION("""COMPUTED_VALUE"""),2023)</f>
        <v>2023</v>
      </c>
      <c r="D136" s="1">
        <f ca="1">IFERROR(__xludf.DUMMYFUNCTION("""COMPUTED_VALUE"""),10443)</f>
        <v>10443</v>
      </c>
      <c r="E136" s="1" t="str">
        <f ca="1">IFERROR(__xludf.DUMMYFUNCTION("""COMPUTED_VALUE"""),"Applied Composite Materials")</f>
        <v>Applied Composite Materials</v>
      </c>
      <c r="F136" s="1" t="str">
        <f ca="1">IFERROR(__xludf.DUMMYFUNCTION("""COMPUTED_VALUE"""),"1573-4897")</f>
        <v>1573-4897</v>
      </c>
      <c r="G136" s="1" t="str">
        <f ca="1">IFERROR(__xludf.DUMMYFUNCTION("""COMPUTED_VALUE"""),"0929-189X")</f>
        <v>0929-189X</v>
      </c>
      <c r="H136" s="27" t="str">
        <f ca="1">IFERROR(__xludf.DUMMYFUNCTION("""COMPUTED_VALUE"""),"https://link.springer.com/journal/10443")</f>
        <v>https://link.springer.com/journal/10443</v>
      </c>
      <c r="I136" s="1" t="str">
        <f ca="1">IFERROR(__xludf.DUMMYFUNCTION("""COMPUTED_VALUE"""),"Springer")</f>
        <v>Springer</v>
      </c>
      <c r="J136" s="1">
        <f ca="1">IFERROR(__xludf.DUMMYFUNCTION("""COMPUTED_VALUE"""),2000)</f>
        <v>2000</v>
      </c>
      <c r="K136" s="1" t="str">
        <f ca="1">IFERROR(__xludf.DUMMYFUNCTION("""COMPUTED_VALUE"""),"Chemistry and Materials Science")</f>
        <v>Chemistry and Materials Science</v>
      </c>
      <c r="L136" s="1" t="str">
        <f ca="1">IFERROR(__xludf.DUMMYFUNCTION("""COMPUTED_VALUE"""),"〇")</f>
        <v>〇</v>
      </c>
      <c r="M136" s="1" t="str">
        <f ca="1">IFERROR(__xludf.DUMMYFUNCTION("""COMPUTED_VALUE"""),"〇")</f>
        <v>〇</v>
      </c>
      <c r="N136" s="1"/>
      <c r="O136" s="1"/>
      <c r="P136" s="1"/>
    </row>
    <row r="137" spans="1:16" ht="14.25" customHeight="1" x14ac:dyDescent="0.25">
      <c r="A137" s="1"/>
      <c r="B137" s="1">
        <f ca="1"/>
        <v>125</v>
      </c>
      <c r="C137" s="1">
        <f ca="1">IFERROR(__xludf.DUMMYFUNCTION("""COMPUTED_VALUE"""),2023)</f>
        <v>2023</v>
      </c>
      <c r="D137" s="1">
        <f ca="1">IFERROR(__xludf.DUMMYFUNCTION("""COMPUTED_VALUE"""),13355)</f>
        <v>13355</v>
      </c>
      <c r="E137" s="1" t="str">
        <f ca="1">IFERROR(__xludf.DUMMYFUNCTION("""COMPUTED_VALUE"""),"Applied Entomology and Zoology")</f>
        <v>Applied Entomology and Zoology</v>
      </c>
      <c r="F137" s="1" t="str">
        <f ca="1">IFERROR(__xludf.DUMMYFUNCTION("""COMPUTED_VALUE"""),"1347-605X")</f>
        <v>1347-605X</v>
      </c>
      <c r="G137" s="1" t="str">
        <f ca="1">IFERROR(__xludf.DUMMYFUNCTION("""COMPUTED_VALUE"""),"0003-6862")</f>
        <v>0003-6862</v>
      </c>
      <c r="H137" s="27" t="str">
        <f ca="1">IFERROR(__xludf.DUMMYFUNCTION("""COMPUTED_VALUE"""),"https://link.springer.com/journal/13355")</f>
        <v>https://link.springer.com/journal/13355</v>
      </c>
      <c r="I137" s="1" t="str">
        <f ca="1">IFERROR(__xludf.DUMMYFUNCTION("""COMPUTED_VALUE"""),"Springer")</f>
        <v>Springer</v>
      </c>
      <c r="J137" s="1">
        <f ca="1">IFERROR(__xludf.DUMMYFUNCTION("""COMPUTED_VALUE"""),2011)</f>
        <v>2011</v>
      </c>
      <c r="K137" s="1" t="str">
        <f ca="1">IFERROR(__xludf.DUMMYFUNCTION("""COMPUTED_VALUE"""),"Biomedical and Life Sciences")</f>
        <v>Biomedical and Life Sciences</v>
      </c>
      <c r="L137" s="1" t="str">
        <f ca="1">IFERROR(__xludf.DUMMYFUNCTION("""COMPUTED_VALUE"""),"〇")</f>
        <v>〇</v>
      </c>
      <c r="M137" s="1"/>
      <c r="N137" s="1" t="str">
        <f ca="1">IFERROR(__xludf.DUMMYFUNCTION("""COMPUTED_VALUE"""),"TO11")</f>
        <v>TO11</v>
      </c>
      <c r="O137" s="1"/>
      <c r="P137" s="1"/>
    </row>
    <row r="138" spans="1:16" ht="14.25" customHeight="1" x14ac:dyDescent="0.25">
      <c r="A138" s="1"/>
      <c r="B138" s="1">
        <f ca="1"/>
        <v>126</v>
      </c>
      <c r="C138" s="1">
        <f ca="1">IFERROR(__xludf.DUMMYFUNCTION("""COMPUTED_VALUE"""),2023)</f>
        <v>2023</v>
      </c>
      <c r="D138" s="1">
        <f ca="1">IFERROR(__xludf.DUMMYFUNCTION("""COMPUTED_VALUE"""),12518)</f>
        <v>12518</v>
      </c>
      <c r="E138" s="1" t="str">
        <f ca="1">IFERROR(__xludf.DUMMYFUNCTION("""COMPUTED_VALUE"""),"Applied Geomatics")</f>
        <v>Applied Geomatics</v>
      </c>
      <c r="F138" s="1" t="str">
        <f ca="1">IFERROR(__xludf.DUMMYFUNCTION("""COMPUTED_VALUE"""),"1866-928X")</f>
        <v>1866-928X</v>
      </c>
      <c r="G138" s="1" t="str">
        <f ca="1">IFERROR(__xludf.DUMMYFUNCTION("""COMPUTED_VALUE"""),"1866-9298")</f>
        <v>1866-9298</v>
      </c>
      <c r="H138" s="27" t="str">
        <f ca="1">IFERROR(__xludf.DUMMYFUNCTION("""COMPUTED_VALUE"""),"https://link.springer.com/journal/12518")</f>
        <v>https://link.springer.com/journal/12518</v>
      </c>
      <c r="I138" s="1" t="str">
        <f ca="1">IFERROR(__xludf.DUMMYFUNCTION("""COMPUTED_VALUE"""),"Springer")</f>
        <v>Springer</v>
      </c>
      <c r="J138" s="1">
        <f ca="1">IFERROR(__xludf.DUMMYFUNCTION("""COMPUTED_VALUE"""),2009)</f>
        <v>2009</v>
      </c>
      <c r="K138" s="1" t="str">
        <f ca="1">IFERROR(__xludf.DUMMYFUNCTION("""COMPUTED_VALUE"""),"Earth and Environmental Science")</f>
        <v>Earth and Environmental Science</v>
      </c>
      <c r="L138" s="1" t="str">
        <f ca="1">IFERROR(__xludf.DUMMYFUNCTION("""COMPUTED_VALUE"""),"〇")</f>
        <v>〇</v>
      </c>
      <c r="M138" s="1" t="str">
        <f ca="1">IFERROR(__xludf.DUMMYFUNCTION("""COMPUTED_VALUE"""),"〇")</f>
        <v>〇</v>
      </c>
      <c r="N138" s="1"/>
      <c r="O138" s="1"/>
      <c r="P138" s="1"/>
    </row>
    <row r="139" spans="1:16" ht="14.25" customHeight="1" x14ac:dyDescent="0.25">
      <c r="A139" s="1"/>
      <c r="B139" s="1">
        <f ca="1"/>
        <v>127</v>
      </c>
      <c r="C139" s="1">
        <f ca="1">IFERROR(__xludf.DUMMYFUNCTION("""COMPUTED_VALUE"""),2023)</f>
        <v>2023</v>
      </c>
      <c r="D139" s="1">
        <f ca="1">IFERROR(__xludf.DUMMYFUNCTION("""COMPUTED_VALUE"""),11770)</f>
        <v>11770</v>
      </c>
      <c r="E139" s="1" t="str">
        <f ca="1">IFERROR(__xludf.DUMMYFUNCTION("""COMPUTED_VALUE"""),"Applied Geophysics")</f>
        <v>Applied Geophysics</v>
      </c>
      <c r="F139" s="1" t="str">
        <f ca="1">IFERROR(__xludf.DUMMYFUNCTION("""COMPUTED_VALUE"""),"1993-0658")</f>
        <v>1993-0658</v>
      </c>
      <c r="G139" s="1" t="str">
        <f ca="1">IFERROR(__xludf.DUMMYFUNCTION("""COMPUTED_VALUE"""),"1672-7975")</f>
        <v>1672-7975</v>
      </c>
      <c r="H139" s="27" t="str">
        <f ca="1">IFERROR(__xludf.DUMMYFUNCTION("""COMPUTED_VALUE"""),"https://link.springer.com/journal/11770")</f>
        <v>https://link.springer.com/journal/11770</v>
      </c>
      <c r="I139" s="1" t="str">
        <f ca="1">IFERROR(__xludf.DUMMYFUNCTION("""COMPUTED_VALUE"""),"Chinese Geophysical Society, co-published with Springer")</f>
        <v>Chinese Geophysical Society, co-published with Springer</v>
      </c>
      <c r="J139" s="1">
        <f ca="1">IFERROR(__xludf.DUMMYFUNCTION("""COMPUTED_VALUE"""),2004)</f>
        <v>2004</v>
      </c>
      <c r="K139" s="1" t="str">
        <f ca="1">IFERROR(__xludf.DUMMYFUNCTION("""COMPUTED_VALUE"""),"Earth and Environmental Science")</f>
        <v>Earth and Environmental Science</v>
      </c>
      <c r="L139" s="1" t="str">
        <f ca="1">IFERROR(__xludf.DUMMYFUNCTION("""COMPUTED_VALUE"""),"〇")</f>
        <v>〇</v>
      </c>
      <c r="M139" s="1" t="str">
        <f ca="1">IFERROR(__xludf.DUMMYFUNCTION("""COMPUTED_VALUE"""),"〇")</f>
        <v>〇</v>
      </c>
      <c r="N139" s="1" t="str">
        <f ca="1">IFERROR(__xludf.DUMMYFUNCTION("""COMPUTED_VALUE"""),"TO7")</f>
        <v>TO7</v>
      </c>
      <c r="O139" s="1"/>
      <c r="P139" s="1"/>
    </row>
    <row r="140" spans="1:16" ht="14.25" customHeight="1" x14ac:dyDescent="0.25">
      <c r="A140" s="1"/>
      <c r="B140" s="1">
        <f ca="1"/>
        <v>128</v>
      </c>
      <c r="C140" s="1">
        <f ca="1">IFERROR(__xludf.DUMMYFUNCTION("""COMPUTED_VALUE"""),2023)</f>
        <v>2023</v>
      </c>
      <c r="D140" s="1">
        <f ca="1">IFERROR(__xludf.DUMMYFUNCTION("""COMPUTED_VALUE"""),10489)</f>
        <v>10489</v>
      </c>
      <c r="E140" s="1" t="str">
        <f ca="1">IFERROR(__xludf.DUMMYFUNCTION("""COMPUTED_VALUE"""),"Applied Intelligence")</f>
        <v>Applied Intelligence</v>
      </c>
      <c r="F140" s="1" t="str">
        <f ca="1">IFERROR(__xludf.DUMMYFUNCTION("""COMPUTED_VALUE"""),"1573-7497")</f>
        <v>1573-7497</v>
      </c>
      <c r="G140" s="1" t="str">
        <f ca="1">IFERROR(__xludf.DUMMYFUNCTION("""COMPUTED_VALUE"""),"0924-669X")</f>
        <v>0924-669X</v>
      </c>
      <c r="H140" s="27" t="str">
        <f ca="1">IFERROR(__xludf.DUMMYFUNCTION("""COMPUTED_VALUE"""),"https://link.springer.com/journal/10489")</f>
        <v>https://link.springer.com/journal/10489</v>
      </c>
      <c r="I140" s="1" t="str">
        <f ca="1">IFERROR(__xludf.DUMMYFUNCTION("""COMPUTED_VALUE"""),"Springer")</f>
        <v>Springer</v>
      </c>
      <c r="J140" s="1">
        <f ca="1">IFERROR(__xludf.DUMMYFUNCTION("""COMPUTED_VALUE"""),2000)</f>
        <v>2000</v>
      </c>
      <c r="K140" s="1" t="str">
        <f ca="1">IFERROR(__xludf.DUMMYFUNCTION("""COMPUTED_VALUE"""),"Computer Science")</f>
        <v>Computer Science</v>
      </c>
      <c r="L140" s="1" t="str">
        <f ca="1">IFERROR(__xludf.DUMMYFUNCTION("""COMPUTED_VALUE"""),"〇")</f>
        <v>〇</v>
      </c>
      <c r="M140" s="1" t="str">
        <f ca="1">IFERROR(__xludf.DUMMYFUNCTION("""COMPUTED_VALUE"""),"〇")</f>
        <v>〇</v>
      </c>
      <c r="N140" s="1"/>
      <c r="O140" s="1"/>
      <c r="P140" s="1"/>
    </row>
    <row r="141" spans="1:16" ht="14.25" customHeight="1" x14ac:dyDescent="0.25">
      <c r="A141" s="1"/>
      <c r="B141" s="1">
        <f ca="1"/>
        <v>129</v>
      </c>
      <c r="C141" s="1">
        <f ca="1">IFERROR(__xludf.DUMMYFUNCTION("""COMPUTED_VALUE"""),2023)</f>
        <v>2023</v>
      </c>
      <c r="D141" s="1">
        <f ca="1">IFERROR(__xludf.DUMMYFUNCTION("""COMPUTED_VALUE"""),723)</f>
        <v>723</v>
      </c>
      <c r="E141" s="1" t="str">
        <f ca="1">IFERROR(__xludf.DUMMYFUNCTION("""COMPUTED_VALUE"""),"Applied Magnetic Resonance")</f>
        <v>Applied Magnetic Resonance</v>
      </c>
      <c r="F141" s="1" t="str">
        <f ca="1">IFERROR(__xludf.DUMMYFUNCTION("""COMPUTED_VALUE"""),"1613-7507")</f>
        <v>1613-7507</v>
      </c>
      <c r="G141" s="1" t="str">
        <f ca="1">IFERROR(__xludf.DUMMYFUNCTION("""COMPUTED_VALUE"""),"0937-9347")</f>
        <v>0937-9347</v>
      </c>
      <c r="H141" s="27" t="str">
        <f ca="1">IFERROR(__xludf.DUMMYFUNCTION("""COMPUTED_VALUE"""),"https://link.springer.com/journal/723")</f>
        <v>https://link.springer.com/journal/723</v>
      </c>
      <c r="I141" s="1" t="str">
        <f ca="1">IFERROR(__xludf.DUMMYFUNCTION("""COMPUTED_VALUE"""),"Springer")</f>
        <v>Springer</v>
      </c>
      <c r="J141" s="1">
        <f ca="1">IFERROR(__xludf.DUMMYFUNCTION("""COMPUTED_VALUE"""),2000)</f>
        <v>2000</v>
      </c>
      <c r="K141" s="1" t="str">
        <f ca="1">IFERROR(__xludf.DUMMYFUNCTION("""COMPUTED_VALUE"""),"Physics and Astronomy")</f>
        <v>Physics and Astronomy</v>
      </c>
      <c r="L141" s="1" t="str">
        <f ca="1">IFERROR(__xludf.DUMMYFUNCTION("""COMPUTED_VALUE"""),"〇")</f>
        <v>〇</v>
      </c>
      <c r="M141" s="1" t="str">
        <f ca="1">IFERROR(__xludf.DUMMYFUNCTION("""COMPUTED_VALUE"""),"〇")</f>
        <v>〇</v>
      </c>
      <c r="N141" s="1"/>
      <c r="O141" s="1"/>
      <c r="P141" s="1"/>
    </row>
    <row r="142" spans="1:16" ht="14.25" customHeight="1" x14ac:dyDescent="0.25">
      <c r="A142" s="1"/>
      <c r="B142" s="1">
        <f ca="1"/>
        <v>130</v>
      </c>
      <c r="C142" s="1">
        <f ca="1">IFERROR(__xludf.DUMMYFUNCTION("""COMPUTED_VALUE"""),2023)</f>
        <v>2023</v>
      </c>
      <c r="D142" s="1">
        <f ca="1">IFERROR(__xludf.DUMMYFUNCTION("""COMPUTED_VALUE"""),245)</f>
        <v>245</v>
      </c>
      <c r="E142" s="1" t="str">
        <f ca="1">IFERROR(__xludf.DUMMYFUNCTION("""COMPUTED_VALUE"""),"Applied Mathematics &amp; Optimization")</f>
        <v>Applied Mathematics &amp; Optimization</v>
      </c>
      <c r="F142" s="1" t="str">
        <f ca="1">IFERROR(__xludf.DUMMYFUNCTION("""COMPUTED_VALUE"""),"1432-0606")</f>
        <v>1432-0606</v>
      </c>
      <c r="G142" s="1" t="str">
        <f ca="1">IFERROR(__xludf.DUMMYFUNCTION("""COMPUTED_VALUE"""),"0095-4616")</f>
        <v>0095-4616</v>
      </c>
      <c r="H142" s="27" t="str">
        <f ca="1">IFERROR(__xludf.DUMMYFUNCTION("""COMPUTED_VALUE"""),"https://link.springer.com/journal/245")</f>
        <v>https://link.springer.com/journal/245</v>
      </c>
      <c r="I142" s="1" t="str">
        <f ca="1">IFERROR(__xludf.DUMMYFUNCTION("""COMPUTED_VALUE"""),"Springer")</f>
        <v>Springer</v>
      </c>
      <c r="J142" s="1">
        <f ca="1">IFERROR(__xludf.DUMMYFUNCTION("""COMPUTED_VALUE"""),2000)</f>
        <v>2000</v>
      </c>
      <c r="K142" s="1" t="str">
        <f ca="1">IFERROR(__xludf.DUMMYFUNCTION("""COMPUTED_VALUE"""),"Mathematics and Statistics")</f>
        <v>Mathematics and Statistics</v>
      </c>
      <c r="L142" s="1" t="str">
        <f ca="1">IFERROR(__xludf.DUMMYFUNCTION("""COMPUTED_VALUE"""),"〇")</f>
        <v>〇</v>
      </c>
      <c r="M142" s="1" t="str">
        <f ca="1">IFERROR(__xludf.DUMMYFUNCTION("""COMPUTED_VALUE"""),"〇")</f>
        <v>〇</v>
      </c>
      <c r="N142" s="1"/>
      <c r="O142" s="1"/>
      <c r="P142" s="1"/>
    </row>
    <row r="143" spans="1:16" ht="14.25" customHeight="1" x14ac:dyDescent="0.25">
      <c r="A143" s="1"/>
      <c r="B143" s="1">
        <f ca="1"/>
        <v>131</v>
      </c>
      <c r="C143" s="1">
        <f ca="1">IFERROR(__xludf.DUMMYFUNCTION("""COMPUTED_VALUE"""),2023)</f>
        <v>2023</v>
      </c>
      <c r="D143" s="1">
        <f ca="1">IFERROR(__xludf.DUMMYFUNCTION("""COMPUTED_VALUE"""),10483)</f>
        <v>10483</v>
      </c>
      <c r="E143" s="1" t="str">
        <f ca="1">IFERROR(__xludf.DUMMYFUNCTION("""COMPUTED_VALUE"""),"Applied Mathematics and Mechanics")</f>
        <v>Applied Mathematics and Mechanics</v>
      </c>
      <c r="F143" s="1" t="str">
        <f ca="1">IFERROR(__xludf.DUMMYFUNCTION("""COMPUTED_VALUE"""),"1573-2754")</f>
        <v>1573-2754</v>
      </c>
      <c r="G143" s="1" t="str">
        <f ca="1">IFERROR(__xludf.DUMMYFUNCTION("""COMPUTED_VALUE"""),"0253-4827")</f>
        <v>0253-4827</v>
      </c>
      <c r="H143" s="27" t="str">
        <f ca="1">IFERROR(__xludf.DUMMYFUNCTION("""COMPUTED_VALUE"""),"https://link.springer.com/journal/10483")</f>
        <v>https://link.springer.com/journal/10483</v>
      </c>
      <c r="I143" s="1" t="str">
        <f ca="1">IFERROR(__xludf.DUMMYFUNCTION("""COMPUTED_VALUE"""),"Shanghai University, co-published with Springer")</f>
        <v>Shanghai University, co-published with Springer</v>
      </c>
      <c r="J143" s="1">
        <f ca="1">IFERROR(__xludf.DUMMYFUNCTION("""COMPUTED_VALUE"""),2000)</f>
        <v>2000</v>
      </c>
      <c r="K143" s="1" t="str">
        <f ca="1">IFERROR(__xludf.DUMMYFUNCTION("""COMPUTED_VALUE"""),"Mathematics and Statistics")</f>
        <v>Mathematics and Statistics</v>
      </c>
      <c r="L143" s="1" t="str">
        <f ca="1">IFERROR(__xludf.DUMMYFUNCTION("""COMPUTED_VALUE"""),"〇")</f>
        <v>〇</v>
      </c>
      <c r="M143" s="1" t="str">
        <f ca="1">IFERROR(__xludf.DUMMYFUNCTION("""COMPUTED_VALUE"""),"〇")</f>
        <v>〇</v>
      </c>
      <c r="N143" s="1"/>
      <c r="O143" s="1"/>
      <c r="P143" s="1"/>
    </row>
    <row r="144" spans="1:16" ht="14.25" customHeight="1" x14ac:dyDescent="0.25">
      <c r="A144" s="1"/>
      <c r="B144" s="1">
        <f ca="1"/>
        <v>132</v>
      </c>
      <c r="C144" s="1">
        <f ca="1">IFERROR(__xludf.DUMMYFUNCTION("""COMPUTED_VALUE"""),2023)</f>
        <v>2023</v>
      </c>
      <c r="D144" s="1">
        <f ca="1">IFERROR(__xludf.DUMMYFUNCTION("""COMPUTED_VALUE"""),11766)</f>
        <v>11766</v>
      </c>
      <c r="E144" s="1" t="str">
        <f ca="1">IFERROR(__xludf.DUMMYFUNCTION("""COMPUTED_VALUE"""),"Applied Mathematics-A Journal of Chinese Universities")</f>
        <v>Applied Mathematics-A Journal of Chinese Universities</v>
      </c>
      <c r="F144" s="1" t="str">
        <f ca="1">IFERROR(__xludf.DUMMYFUNCTION("""COMPUTED_VALUE"""),"1993-0445")</f>
        <v>1993-0445</v>
      </c>
      <c r="G144" s="1" t="str">
        <f ca="1">IFERROR(__xludf.DUMMYFUNCTION("""COMPUTED_VALUE"""),"1005-1031")</f>
        <v>1005-1031</v>
      </c>
      <c r="H144" s="27" t="str">
        <f ca="1">IFERROR(__xludf.DUMMYFUNCTION("""COMPUTED_VALUE"""),"https://link.springer.com/journal/11766")</f>
        <v>https://link.springer.com/journal/11766</v>
      </c>
      <c r="I144" s="1" t="str">
        <f ca="1">IFERROR(__xludf.DUMMYFUNCTION("""COMPUTED_VALUE"""),"Editorial Committee of Applied Mathematics - A Journal of Chinese Universities, co-published with Springer")</f>
        <v>Editorial Committee of Applied Mathematics - A Journal of Chinese Universities, co-published with Springer</v>
      </c>
      <c r="J144" s="1">
        <f ca="1">IFERROR(__xludf.DUMMYFUNCTION("""COMPUTED_VALUE"""),2000)</f>
        <v>2000</v>
      </c>
      <c r="K144" s="1" t="str">
        <f ca="1">IFERROR(__xludf.DUMMYFUNCTION("""COMPUTED_VALUE"""),"Mathematics and Statistics")</f>
        <v>Mathematics and Statistics</v>
      </c>
      <c r="L144" s="1" t="str">
        <f ca="1">IFERROR(__xludf.DUMMYFUNCTION("""COMPUTED_VALUE"""),"〇")</f>
        <v>〇</v>
      </c>
      <c r="M144" s="1" t="str">
        <f ca="1">IFERROR(__xludf.DUMMYFUNCTION("""COMPUTED_VALUE"""),"〇")</f>
        <v>〇</v>
      </c>
      <c r="N144" s="1" t="str">
        <f ca="1">IFERROR(__xludf.DUMMYFUNCTION("""COMPUTED_VALUE"""),"TO7")</f>
        <v>TO7</v>
      </c>
      <c r="O144" s="1"/>
      <c r="P144" s="1"/>
    </row>
    <row r="145" spans="1:16" ht="14.25" customHeight="1" x14ac:dyDescent="0.25">
      <c r="A145" s="1"/>
      <c r="B145" s="1">
        <f ca="1"/>
        <v>133</v>
      </c>
      <c r="C145" s="1">
        <f ca="1">IFERROR(__xludf.DUMMYFUNCTION("""COMPUTED_VALUE"""),2023)</f>
        <v>2023</v>
      </c>
      <c r="D145" s="1">
        <f ca="1">IFERROR(__xludf.DUMMYFUNCTION("""COMPUTED_VALUE"""),253)</f>
        <v>253</v>
      </c>
      <c r="E145" s="1" t="str">
        <f ca="1">IFERROR(__xludf.DUMMYFUNCTION("""COMPUTED_VALUE"""),"Applied Microbiology and Biotechnology")</f>
        <v>Applied Microbiology and Biotechnology</v>
      </c>
      <c r="F145" s="1" t="str">
        <f ca="1">IFERROR(__xludf.DUMMYFUNCTION("""COMPUTED_VALUE"""),"1432-0614")</f>
        <v>1432-0614</v>
      </c>
      <c r="G145" s="1" t="str">
        <f ca="1">IFERROR(__xludf.DUMMYFUNCTION("""COMPUTED_VALUE"""),"0175-7598")</f>
        <v>0175-7598</v>
      </c>
      <c r="H145" s="27" t="str">
        <f ca="1">IFERROR(__xludf.DUMMYFUNCTION("""COMPUTED_VALUE"""),"https://link.springer.com/journal/253")</f>
        <v>https://link.springer.com/journal/253</v>
      </c>
      <c r="I145" s="1" t="str">
        <f ca="1">IFERROR(__xludf.DUMMYFUNCTION("""COMPUTED_VALUE"""),"Springer")</f>
        <v>Springer</v>
      </c>
      <c r="J145" s="1">
        <f ca="1">IFERROR(__xludf.DUMMYFUNCTION("""COMPUTED_VALUE"""),2000)</f>
        <v>2000</v>
      </c>
      <c r="K145" s="1" t="str">
        <f ca="1">IFERROR(__xludf.DUMMYFUNCTION("""COMPUTED_VALUE"""),"Biomedical and Life Sciences")</f>
        <v>Biomedical and Life Sciences</v>
      </c>
      <c r="L145" s="1" t="str">
        <f ca="1">IFERROR(__xludf.DUMMYFUNCTION("""COMPUTED_VALUE"""),"〇")</f>
        <v>〇</v>
      </c>
      <c r="M145" s="1" t="str">
        <f ca="1">IFERROR(__xludf.DUMMYFUNCTION("""COMPUTED_VALUE"""),"〇")</f>
        <v>〇</v>
      </c>
      <c r="N145" s="1"/>
      <c r="O145" s="1"/>
      <c r="P145" s="1"/>
    </row>
    <row r="146" spans="1:16" ht="14.25" customHeight="1" x14ac:dyDescent="0.25">
      <c r="A146" s="1"/>
      <c r="B146" s="1">
        <f ca="1"/>
        <v>134</v>
      </c>
      <c r="C146" s="1">
        <f ca="1">IFERROR(__xludf.DUMMYFUNCTION("""COMPUTED_VALUE"""),2023)</f>
        <v>2023</v>
      </c>
      <c r="D146" s="1">
        <f ca="1">IFERROR(__xludf.DUMMYFUNCTION("""COMPUTED_VALUE"""),13204)</f>
        <v>13204</v>
      </c>
      <c r="E146" s="1" t="str">
        <f ca="1">IFERROR(__xludf.DUMMYFUNCTION("""COMPUTED_VALUE"""),"Applied Nanoscience")</f>
        <v>Applied Nanoscience</v>
      </c>
      <c r="F146" s="1" t="str">
        <f ca="1">IFERROR(__xludf.DUMMYFUNCTION("""COMPUTED_VALUE"""),"2190-5517")</f>
        <v>2190-5517</v>
      </c>
      <c r="G146" s="1" t="str">
        <f ca="1">IFERROR(__xludf.DUMMYFUNCTION("""COMPUTED_VALUE"""),"2190-5509")</f>
        <v>2190-5509</v>
      </c>
      <c r="H146" s="27" t="str">
        <f ca="1">IFERROR(__xludf.DUMMYFUNCTION("""COMPUTED_VALUE"""),"https://link.springer.com/journal/13204")</f>
        <v>https://link.springer.com/journal/13204</v>
      </c>
      <c r="I146" s="1" t="str">
        <f ca="1">IFERROR(__xludf.DUMMYFUNCTION("""COMPUTED_VALUE"""),"Springer")</f>
        <v>Springer</v>
      </c>
      <c r="J146" s="1">
        <f ca="1">IFERROR(__xludf.DUMMYFUNCTION("""COMPUTED_VALUE"""),2011)</f>
        <v>2011</v>
      </c>
      <c r="K146" s="1" t="str">
        <f ca="1">IFERROR(__xludf.DUMMYFUNCTION("""COMPUTED_VALUE"""),"Chemistry and Materials Science")</f>
        <v>Chemistry and Materials Science</v>
      </c>
      <c r="L146" s="1" t="str">
        <f ca="1">IFERROR(__xludf.DUMMYFUNCTION("""COMPUTED_VALUE"""),"〇")</f>
        <v>〇</v>
      </c>
      <c r="M146" s="1"/>
      <c r="N146" s="1"/>
      <c r="O146" s="1"/>
      <c r="P146" s="1"/>
    </row>
    <row r="147" spans="1:16" ht="14.25" customHeight="1" x14ac:dyDescent="0.25">
      <c r="A147" s="1"/>
      <c r="B147" s="1">
        <f ca="1"/>
        <v>135</v>
      </c>
      <c r="C147" s="1">
        <f ca="1">IFERROR(__xludf.DUMMYFUNCTION("""COMPUTED_VALUE"""),2023)</f>
        <v>2023</v>
      </c>
      <c r="D147" s="1">
        <f ca="1">IFERROR(__xludf.DUMMYFUNCTION("""COMPUTED_VALUE"""),339)</f>
        <v>339</v>
      </c>
      <c r="E147" s="1" t="str">
        <f ca="1">IFERROR(__xludf.DUMMYFUNCTION("""COMPUTED_VALUE"""),"Applied Physics A")</f>
        <v>Applied Physics A</v>
      </c>
      <c r="F147" s="1" t="str">
        <f ca="1">IFERROR(__xludf.DUMMYFUNCTION("""COMPUTED_VALUE"""),"1432-0630")</f>
        <v>1432-0630</v>
      </c>
      <c r="G147" s="1" t="str">
        <f ca="1">IFERROR(__xludf.DUMMYFUNCTION("""COMPUTED_VALUE"""),"0947-8396")</f>
        <v>0947-8396</v>
      </c>
      <c r="H147" s="27" t="str">
        <f ca="1">IFERROR(__xludf.DUMMYFUNCTION("""COMPUTED_VALUE"""),"https://link.springer.com/journal/339")</f>
        <v>https://link.springer.com/journal/339</v>
      </c>
      <c r="I147" s="1" t="str">
        <f ca="1">IFERROR(__xludf.DUMMYFUNCTION("""COMPUTED_VALUE"""),"Springer")</f>
        <v>Springer</v>
      </c>
      <c r="J147" s="1">
        <f ca="1">IFERROR(__xludf.DUMMYFUNCTION("""COMPUTED_VALUE"""),2000)</f>
        <v>2000</v>
      </c>
      <c r="K147" s="1" t="str">
        <f ca="1">IFERROR(__xludf.DUMMYFUNCTION("""COMPUTED_VALUE"""),"Physics and Astronomy")</f>
        <v>Physics and Astronomy</v>
      </c>
      <c r="L147" s="1" t="str">
        <f ca="1">IFERROR(__xludf.DUMMYFUNCTION("""COMPUTED_VALUE"""),"〇")</f>
        <v>〇</v>
      </c>
      <c r="M147" s="1" t="str">
        <f ca="1">IFERROR(__xludf.DUMMYFUNCTION("""COMPUTED_VALUE"""),"〇")</f>
        <v>〇</v>
      </c>
      <c r="N147" s="1"/>
      <c r="O147" s="1"/>
      <c r="P147" s="1"/>
    </row>
    <row r="148" spans="1:16" ht="14.25" customHeight="1" x14ac:dyDescent="0.25">
      <c r="A148" s="1"/>
      <c r="B148" s="1">
        <f ca="1"/>
        <v>136</v>
      </c>
      <c r="C148" s="1">
        <f ca="1">IFERROR(__xludf.DUMMYFUNCTION("""COMPUTED_VALUE"""),2023)</f>
        <v>2023</v>
      </c>
      <c r="D148" s="1">
        <f ca="1">IFERROR(__xludf.DUMMYFUNCTION("""COMPUTED_VALUE"""),340)</f>
        <v>340</v>
      </c>
      <c r="E148" s="1" t="str">
        <f ca="1">IFERROR(__xludf.DUMMYFUNCTION("""COMPUTED_VALUE"""),"Applied Physics B")</f>
        <v>Applied Physics B</v>
      </c>
      <c r="F148" s="1" t="str">
        <f ca="1">IFERROR(__xludf.DUMMYFUNCTION("""COMPUTED_VALUE"""),"1432-0649")</f>
        <v>1432-0649</v>
      </c>
      <c r="G148" s="1" t="str">
        <f ca="1">IFERROR(__xludf.DUMMYFUNCTION("""COMPUTED_VALUE"""),"0946-2171")</f>
        <v>0946-2171</v>
      </c>
      <c r="H148" s="27" t="str">
        <f ca="1">IFERROR(__xludf.DUMMYFUNCTION("""COMPUTED_VALUE"""),"https://link.springer.com/journal/340")</f>
        <v>https://link.springer.com/journal/340</v>
      </c>
      <c r="I148" s="1" t="str">
        <f ca="1">IFERROR(__xludf.DUMMYFUNCTION("""COMPUTED_VALUE"""),"Springer")</f>
        <v>Springer</v>
      </c>
      <c r="J148" s="1">
        <f ca="1">IFERROR(__xludf.DUMMYFUNCTION("""COMPUTED_VALUE"""),2000)</f>
        <v>2000</v>
      </c>
      <c r="K148" s="1" t="str">
        <f ca="1">IFERROR(__xludf.DUMMYFUNCTION("""COMPUTED_VALUE"""),"Physics and Astronomy")</f>
        <v>Physics and Astronomy</v>
      </c>
      <c r="L148" s="1" t="str">
        <f ca="1">IFERROR(__xludf.DUMMYFUNCTION("""COMPUTED_VALUE"""),"〇")</f>
        <v>〇</v>
      </c>
      <c r="M148" s="1" t="str">
        <f ca="1">IFERROR(__xludf.DUMMYFUNCTION("""COMPUTED_VALUE"""),"〇")</f>
        <v>〇</v>
      </c>
      <c r="N148" s="1"/>
      <c r="O148" s="1"/>
      <c r="P148" s="1"/>
    </row>
    <row r="149" spans="1:16" ht="14.25" customHeight="1" x14ac:dyDescent="0.25">
      <c r="A149" s="1"/>
      <c r="B149" s="1">
        <f ca="1"/>
        <v>137</v>
      </c>
      <c r="C149" s="1">
        <f ca="1">IFERROR(__xludf.DUMMYFUNCTION("""COMPUTED_VALUE"""),2023)</f>
        <v>2023</v>
      </c>
      <c r="D149" s="1">
        <f ca="1">IFERROR(__xludf.DUMMYFUNCTION("""COMPUTED_VALUE"""),10484)</f>
        <v>10484</v>
      </c>
      <c r="E149" s="1" t="str">
        <f ca="1">IFERROR(__xludf.DUMMYFUNCTION("""COMPUTED_VALUE"""),"Applied Psychophysiology and Biofeedback")</f>
        <v>Applied Psychophysiology and Biofeedback</v>
      </c>
      <c r="F149" s="1" t="str">
        <f ca="1">IFERROR(__xludf.DUMMYFUNCTION("""COMPUTED_VALUE"""),"1573-3270")</f>
        <v>1573-3270</v>
      </c>
      <c r="G149" s="1" t="str">
        <f ca="1">IFERROR(__xludf.DUMMYFUNCTION("""COMPUTED_VALUE"""),"1090-0586")</f>
        <v>1090-0586</v>
      </c>
      <c r="H149" s="27" t="str">
        <f ca="1">IFERROR(__xludf.DUMMYFUNCTION("""COMPUTED_VALUE"""),"https://link.springer.com/journal/10484")</f>
        <v>https://link.springer.com/journal/10484</v>
      </c>
      <c r="I149" s="1" t="str">
        <f ca="1">IFERROR(__xludf.DUMMYFUNCTION("""COMPUTED_VALUE"""),"Springer")</f>
        <v>Springer</v>
      </c>
      <c r="J149" s="1">
        <f ca="1">IFERROR(__xludf.DUMMYFUNCTION("""COMPUTED_VALUE"""),2000)</f>
        <v>2000</v>
      </c>
      <c r="K149" s="1" t="str">
        <f ca="1">IFERROR(__xludf.DUMMYFUNCTION("""COMPUTED_VALUE"""),"Behavioral Science and Psychology")</f>
        <v>Behavioral Science and Psychology</v>
      </c>
      <c r="L149" s="1" t="str">
        <f ca="1">IFERROR(__xludf.DUMMYFUNCTION("""COMPUTED_VALUE"""),"〇")</f>
        <v>〇</v>
      </c>
      <c r="M149" s="1" t="str">
        <f ca="1">IFERROR(__xludf.DUMMYFUNCTION("""COMPUTED_VALUE"""),"〇")</f>
        <v>〇</v>
      </c>
      <c r="N149" s="1"/>
      <c r="O149" s="1"/>
      <c r="P149" s="1"/>
    </row>
    <row r="150" spans="1:16" ht="14.25" customHeight="1" x14ac:dyDescent="0.25">
      <c r="A150" s="1"/>
      <c r="B150" s="1">
        <f ca="1"/>
        <v>138</v>
      </c>
      <c r="C150" s="1">
        <f ca="1">IFERROR(__xludf.DUMMYFUNCTION("""COMPUTED_VALUE"""),2023)</f>
        <v>2023</v>
      </c>
      <c r="D150" s="1">
        <f ca="1">IFERROR(__xludf.DUMMYFUNCTION("""COMPUTED_VALUE"""),11482)</f>
        <v>11482</v>
      </c>
      <c r="E150" s="1" t="str">
        <f ca="1">IFERROR(__xludf.DUMMYFUNCTION("""COMPUTED_VALUE"""),"Applied Research in Quality of Life")</f>
        <v>Applied Research in Quality of Life</v>
      </c>
      <c r="F150" s="1" t="str">
        <f ca="1">IFERROR(__xludf.DUMMYFUNCTION("""COMPUTED_VALUE"""),"1871-2576")</f>
        <v>1871-2576</v>
      </c>
      <c r="G150" s="1" t="str">
        <f ca="1">IFERROR(__xludf.DUMMYFUNCTION("""COMPUTED_VALUE"""),"1871-2584")</f>
        <v>1871-2584</v>
      </c>
      <c r="H150" s="27" t="str">
        <f ca="1">IFERROR(__xludf.DUMMYFUNCTION("""COMPUTED_VALUE"""),"https://link.springer.com/journal/11482")</f>
        <v>https://link.springer.com/journal/11482</v>
      </c>
      <c r="I150" s="1" t="str">
        <f ca="1">IFERROR(__xludf.DUMMYFUNCTION("""COMPUTED_VALUE"""),"Springer")</f>
        <v>Springer</v>
      </c>
      <c r="J150" s="1">
        <f ca="1">IFERROR(__xludf.DUMMYFUNCTION("""COMPUTED_VALUE"""),2006)</f>
        <v>2006</v>
      </c>
      <c r="K150" s="1" t="str">
        <f ca="1">IFERROR(__xludf.DUMMYFUNCTION("""COMPUTED_VALUE"""),"Social Sciences")</f>
        <v>Social Sciences</v>
      </c>
      <c r="L150" s="1" t="str">
        <f ca="1">IFERROR(__xludf.DUMMYFUNCTION("""COMPUTED_VALUE"""),"〇")</f>
        <v>〇</v>
      </c>
      <c r="M150" s="1" t="str">
        <f ca="1">IFERROR(__xludf.DUMMYFUNCTION("""COMPUTED_VALUE"""),"〇")</f>
        <v>〇</v>
      </c>
      <c r="N150" s="1"/>
      <c r="O150" s="1"/>
      <c r="P150" s="1"/>
    </row>
    <row r="151" spans="1:16" ht="14.25" customHeight="1" x14ac:dyDescent="0.25">
      <c r="A151" s="1"/>
      <c r="B151" s="1">
        <f ca="1"/>
        <v>139</v>
      </c>
      <c r="C151" s="1">
        <f ca="1">IFERROR(__xludf.DUMMYFUNCTION("""COMPUTED_VALUE"""),2023)</f>
        <v>2023</v>
      </c>
      <c r="D151" s="1">
        <f ca="1">IFERROR(__xludf.DUMMYFUNCTION("""COMPUTED_VALUE"""),11949)</f>
        <v>11949</v>
      </c>
      <c r="E151" s="1" t="str">
        <f ca="1">IFERROR(__xludf.DUMMYFUNCTION("""COMPUTED_VALUE"""),"Applied Solar Energy")</f>
        <v>Applied Solar Energy</v>
      </c>
      <c r="F151" s="1" t="str">
        <f ca="1">IFERROR(__xludf.DUMMYFUNCTION("""COMPUTED_VALUE"""),"1934-9424")</f>
        <v>1934-9424</v>
      </c>
      <c r="G151" s="1" t="str">
        <f ca="1">IFERROR(__xludf.DUMMYFUNCTION("""COMPUTED_VALUE"""),"0003-701X")</f>
        <v>0003-701X</v>
      </c>
      <c r="H151" s="27" t="str">
        <f ca="1">IFERROR(__xludf.DUMMYFUNCTION("""COMPUTED_VALUE"""),"https://link.springer.com/journal/11949")</f>
        <v>https://link.springer.com/journal/11949</v>
      </c>
      <c r="I151" s="1" t="str">
        <f ca="1">IFERROR(__xludf.DUMMYFUNCTION("""COMPUTED_VALUE"""),"Pleiades Publishing")</f>
        <v>Pleiades Publishing</v>
      </c>
      <c r="J151" s="1">
        <f ca="1">IFERROR(__xludf.DUMMYFUNCTION("""COMPUTED_VALUE"""),2007)</f>
        <v>2007</v>
      </c>
      <c r="K151" s="1" t="str">
        <f ca="1">IFERROR(__xludf.DUMMYFUNCTION("""COMPUTED_VALUE"""),"Engineering")</f>
        <v>Engineering</v>
      </c>
      <c r="L151" s="1" t="str">
        <f ca="1">IFERROR(__xludf.DUMMYFUNCTION("""COMPUTED_VALUE"""),"〇")</f>
        <v>〇</v>
      </c>
      <c r="M151" s="1" t="str">
        <f ca="1">IFERROR(__xludf.DUMMYFUNCTION("""COMPUTED_VALUE"""),"〇")</f>
        <v>〇</v>
      </c>
      <c r="N151" s="1" t="str">
        <f ca="1">IFERROR(__xludf.DUMMYFUNCTION("""COMPUTED_VALUE"""),"TO7")</f>
        <v>TO7</v>
      </c>
      <c r="O151" s="1"/>
      <c r="P151" s="1"/>
    </row>
    <row r="152" spans="1:16" ht="14.25" customHeight="1" x14ac:dyDescent="0.25">
      <c r="A152" s="1"/>
      <c r="B152" s="1">
        <f ca="1"/>
        <v>140</v>
      </c>
      <c r="C152" s="1">
        <f ca="1">IFERROR(__xludf.DUMMYFUNCTION("""COMPUTED_VALUE"""),2023)</f>
        <v>2023</v>
      </c>
      <c r="D152" s="1">
        <f ca="1">IFERROR(__xludf.DUMMYFUNCTION("""COMPUTED_VALUE"""),12061)</f>
        <v>12061</v>
      </c>
      <c r="E152" s="1" t="str">
        <f ca="1">IFERROR(__xludf.DUMMYFUNCTION("""COMPUTED_VALUE"""),"Applied Spatial Analysis and Policy")</f>
        <v>Applied Spatial Analysis and Policy</v>
      </c>
      <c r="F152" s="1" t="str">
        <f ca="1">IFERROR(__xludf.DUMMYFUNCTION("""COMPUTED_VALUE"""),"1874-4621")</f>
        <v>1874-4621</v>
      </c>
      <c r="G152" s="1"/>
      <c r="H152" s="27" t="str">
        <f ca="1">IFERROR(__xludf.DUMMYFUNCTION("""COMPUTED_VALUE"""),"https://link.springer.com/journal/12061")</f>
        <v>https://link.springer.com/journal/12061</v>
      </c>
      <c r="I152" s="1" t="str">
        <f ca="1">IFERROR(__xludf.DUMMYFUNCTION("""COMPUTED_VALUE"""),"Springer")</f>
        <v>Springer</v>
      </c>
      <c r="J152" s="1">
        <f ca="1">IFERROR(__xludf.DUMMYFUNCTION("""COMPUTED_VALUE"""),2008)</f>
        <v>2008</v>
      </c>
      <c r="K152" s="1" t="str">
        <f ca="1">IFERROR(__xludf.DUMMYFUNCTION("""COMPUTED_VALUE"""),"Social Sciences")</f>
        <v>Social Sciences</v>
      </c>
      <c r="L152" s="1"/>
      <c r="M152" s="1" t="str">
        <f ca="1">IFERROR(__xludf.DUMMYFUNCTION("""COMPUTED_VALUE"""),"〇")</f>
        <v>〇</v>
      </c>
      <c r="N152" s="1" t="str">
        <f ca="1">IFERROR(__xludf.DUMMYFUNCTION("""COMPUTED_VALUE"""),"SNS8")</f>
        <v>SNS8</v>
      </c>
      <c r="O152" s="1"/>
      <c r="P152" s="1"/>
    </row>
    <row r="153" spans="1:16" ht="14.25" customHeight="1" x14ac:dyDescent="0.25">
      <c r="A153" s="1"/>
      <c r="B153" s="1">
        <f ca="1"/>
        <v>141</v>
      </c>
      <c r="C153" s="1">
        <f ca="1">IFERROR(__xludf.DUMMYFUNCTION("""COMPUTED_VALUE"""),2023)</f>
        <v>2023</v>
      </c>
      <c r="D153" s="1">
        <f ca="1">IFERROR(__xludf.DUMMYFUNCTION("""COMPUTED_VALUE"""),10499)</f>
        <v>10499</v>
      </c>
      <c r="E153" s="1" t="str">
        <f ca="1">IFERROR(__xludf.DUMMYFUNCTION("""COMPUTED_VALUE"""),"Aquaculture International")</f>
        <v>Aquaculture International</v>
      </c>
      <c r="F153" s="1" t="str">
        <f ca="1">IFERROR(__xludf.DUMMYFUNCTION("""COMPUTED_VALUE"""),"1573-143X")</f>
        <v>1573-143X</v>
      </c>
      <c r="G153" s="1" t="str">
        <f ca="1">IFERROR(__xludf.DUMMYFUNCTION("""COMPUTED_VALUE"""),"0967-6120")</f>
        <v>0967-6120</v>
      </c>
      <c r="H153" s="27" t="str">
        <f ca="1">IFERROR(__xludf.DUMMYFUNCTION("""COMPUTED_VALUE"""),"https://link.springer.com/journal/10499")</f>
        <v>https://link.springer.com/journal/10499</v>
      </c>
      <c r="I153" s="1" t="str">
        <f ca="1">IFERROR(__xludf.DUMMYFUNCTION("""COMPUTED_VALUE"""),"Springer")</f>
        <v>Springer</v>
      </c>
      <c r="J153" s="1">
        <f ca="1">IFERROR(__xludf.DUMMYFUNCTION("""COMPUTED_VALUE"""),2000)</f>
        <v>2000</v>
      </c>
      <c r="K153" s="1" t="str">
        <f ca="1">IFERROR(__xludf.DUMMYFUNCTION("""COMPUTED_VALUE"""),"Biomedical and Life Sciences")</f>
        <v>Biomedical and Life Sciences</v>
      </c>
      <c r="L153" s="1" t="str">
        <f ca="1">IFERROR(__xludf.DUMMYFUNCTION("""COMPUTED_VALUE"""),"〇")</f>
        <v>〇</v>
      </c>
      <c r="M153" s="1" t="str">
        <f ca="1">IFERROR(__xludf.DUMMYFUNCTION("""COMPUTED_VALUE"""),"〇")</f>
        <v>〇</v>
      </c>
      <c r="N153" s="1"/>
      <c r="O153" s="1"/>
      <c r="P153" s="1"/>
    </row>
    <row r="154" spans="1:16" ht="14.25" customHeight="1" x14ac:dyDescent="0.25">
      <c r="A154" s="1"/>
      <c r="B154" s="1">
        <f ca="1"/>
        <v>142</v>
      </c>
      <c r="C154" s="1">
        <f ca="1">IFERROR(__xludf.DUMMYFUNCTION("""COMPUTED_VALUE"""),2023)</f>
        <v>2023</v>
      </c>
      <c r="D154" s="1">
        <f ca="1">IFERROR(__xludf.DUMMYFUNCTION("""COMPUTED_VALUE"""),10452)</f>
        <v>10452</v>
      </c>
      <c r="E154" s="1" t="str">
        <f ca="1">IFERROR(__xludf.DUMMYFUNCTION("""COMPUTED_VALUE"""),"Aquatic Ecology")</f>
        <v>Aquatic Ecology</v>
      </c>
      <c r="F154" s="1" t="str">
        <f ca="1">IFERROR(__xludf.DUMMYFUNCTION("""COMPUTED_VALUE"""),"1573-5125")</f>
        <v>1573-5125</v>
      </c>
      <c r="G154" s="1" t="str">
        <f ca="1">IFERROR(__xludf.DUMMYFUNCTION("""COMPUTED_VALUE"""),"1386-2588")</f>
        <v>1386-2588</v>
      </c>
      <c r="H154" s="27" t="str">
        <f ca="1">IFERROR(__xludf.DUMMYFUNCTION("""COMPUTED_VALUE"""),"https://link.springer.com/journal/10452")</f>
        <v>https://link.springer.com/journal/10452</v>
      </c>
      <c r="I154" s="1" t="str">
        <f ca="1">IFERROR(__xludf.DUMMYFUNCTION("""COMPUTED_VALUE"""),"Springer")</f>
        <v>Springer</v>
      </c>
      <c r="J154" s="1">
        <f ca="1">IFERROR(__xludf.DUMMYFUNCTION("""COMPUTED_VALUE"""),2000)</f>
        <v>2000</v>
      </c>
      <c r="K154" s="1" t="str">
        <f ca="1">IFERROR(__xludf.DUMMYFUNCTION("""COMPUTED_VALUE"""),"Biomedical and Life Sciences")</f>
        <v>Biomedical and Life Sciences</v>
      </c>
      <c r="L154" s="1" t="str">
        <f ca="1">IFERROR(__xludf.DUMMYFUNCTION("""COMPUTED_VALUE"""),"〇")</f>
        <v>〇</v>
      </c>
      <c r="M154" s="1" t="str">
        <f ca="1">IFERROR(__xludf.DUMMYFUNCTION("""COMPUTED_VALUE"""),"〇")</f>
        <v>〇</v>
      </c>
      <c r="N154" s="1"/>
      <c r="O154" s="1"/>
      <c r="P154" s="1"/>
    </row>
    <row r="155" spans="1:16" ht="14.25" customHeight="1" x14ac:dyDescent="0.25">
      <c r="A155" s="1"/>
      <c r="B155" s="1">
        <f ca="1"/>
        <v>143</v>
      </c>
      <c r="C155" s="1">
        <f ca="1">IFERROR(__xludf.DUMMYFUNCTION("""COMPUTED_VALUE"""),2023)</f>
        <v>2023</v>
      </c>
      <c r="D155" s="1">
        <f ca="1">IFERROR(__xludf.DUMMYFUNCTION("""COMPUTED_VALUE"""),10498)</f>
        <v>10498</v>
      </c>
      <c r="E155" s="1" t="str">
        <f ca="1">IFERROR(__xludf.DUMMYFUNCTION("""COMPUTED_VALUE"""),"Aquatic Geochemistry")</f>
        <v>Aquatic Geochemistry</v>
      </c>
      <c r="F155" s="1" t="str">
        <f ca="1">IFERROR(__xludf.DUMMYFUNCTION("""COMPUTED_VALUE"""),"1573-1421")</f>
        <v>1573-1421</v>
      </c>
      <c r="G155" s="1" t="str">
        <f ca="1">IFERROR(__xludf.DUMMYFUNCTION("""COMPUTED_VALUE"""),"1380-6165")</f>
        <v>1380-6165</v>
      </c>
      <c r="H155" s="27" t="str">
        <f ca="1">IFERROR(__xludf.DUMMYFUNCTION("""COMPUTED_VALUE"""),"https://link.springer.com/journal/10498")</f>
        <v>https://link.springer.com/journal/10498</v>
      </c>
      <c r="I155" s="1" t="str">
        <f ca="1">IFERROR(__xludf.DUMMYFUNCTION("""COMPUTED_VALUE"""),"Springer")</f>
        <v>Springer</v>
      </c>
      <c r="J155" s="1">
        <f ca="1">IFERROR(__xludf.DUMMYFUNCTION("""COMPUTED_VALUE"""),2000)</f>
        <v>2000</v>
      </c>
      <c r="K155" s="1" t="str">
        <f ca="1">IFERROR(__xludf.DUMMYFUNCTION("""COMPUTED_VALUE"""),"Earth and Environmental Science")</f>
        <v>Earth and Environmental Science</v>
      </c>
      <c r="L155" s="1" t="str">
        <f ca="1">IFERROR(__xludf.DUMMYFUNCTION("""COMPUTED_VALUE"""),"〇")</f>
        <v>〇</v>
      </c>
      <c r="M155" s="1" t="str">
        <f ca="1">IFERROR(__xludf.DUMMYFUNCTION("""COMPUTED_VALUE"""),"〇")</f>
        <v>〇</v>
      </c>
      <c r="N155" s="1"/>
      <c r="O155" s="1"/>
      <c r="P155" s="1"/>
    </row>
    <row r="156" spans="1:16" ht="14.25" customHeight="1" x14ac:dyDescent="0.25">
      <c r="A156" s="1"/>
      <c r="B156" s="1">
        <f ca="1"/>
        <v>144</v>
      </c>
      <c r="C156" s="1">
        <f ca="1">IFERROR(__xludf.DUMMYFUNCTION("""COMPUTED_VALUE"""),2023)</f>
        <v>2023</v>
      </c>
      <c r="D156" s="1">
        <f ca="1">IFERROR(__xludf.DUMMYFUNCTION("""COMPUTED_VALUE"""),27)</f>
        <v>27</v>
      </c>
      <c r="E156" s="1" t="str">
        <f ca="1">IFERROR(__xludf.DUMMYFUNCTION("""COMPUTED_VALUE"""),"Aquatic Sciences")</f>
        <v>Aquatic Sciences</v>
      </c>
      <c r="F156" s="1" t="str">
        <f ca="1">IFERROR(__xludf.DUMMYFUNCTION("""COMPUTED_VALUE"""),"1420-9055")</f>
        <v>1420-9055</v>
      </c>
      <c r="G156" s="1" t="str">
        <f ca="1">IFERROR(__xludf.DUMMYFUNCTION("""COMPUTED_VALUE"""),"1015-1621")</f>
        <v>1015-1621</v>
      </c>
      <c r="H156" s="27" t="str">
        <f ca="1">IFERROR(__xludf.DUMMYFUNCTION("""COMPUTED_VALUE"""),"https://link.springer.com/journal/27")</f>
        <v>https://link.springer.com/journal/27</v>
      </c>
      <c r="I156" s="1" t="str">
        <f ca="1">IFERROR(__xludf.DUMMYFUNCTION("""COMPUTED_VALUE"""),"Springer")</f>
        <v>Springer</v>
      </c>
      <c r="J156" s="1">
        <f ca="1">IFERROR(__xludf.DUMMYFUNCTION("""COMPUTED_VALUE"""),2000)</f>
        <v>2000</v>
      </c>
      <c r="K156" s="1" t="str">
        <f ca="1">IFERROR(__xludf.DUMMYFUNCTION("""COMPUTED_VALUE"""),"Biomedical and Life Sciences")</f>
        <v>Biomedical and Life Sciences</v>
      </c>
      <c r="L156" s="1" t="str">
        <f ca="1">IFERROR(__xludf.DUMMYFUNCTION("""COMPUTED_VALUE"""),"〇")</f>
        <v>〇</v>
      </c>
      <c r="M156" s="1" t="str">
        <f ca="1">IFERROR(__xludf.DUMMYFUNCTION("""COMPUTED_VALUE"""),"〇")</f>
        <v>〇</v>
      </c>
      <c r="N156" s="1"/>
      <c r="O156" s="1"/>
      <c r="P156" s="1"/>
    </row>
    <row r="157" spans="1:16" ht="14.25" customHeight="1" x14ac:dyDescent="0.25">
      <c r="A157" s="1"/>
      <c r="B157" s="1">
        <f ca="1"/>
        <v>145</v>
      </c>
      <c r="C157" s="1">
        <f ca="1">IFERROR(__xludf.DUMMYFUNCTION("""COMPUTED_VALUE"""),2023)</f>
        <v>2023</v>
      </c>
      <c r="D157" s="1">
        <f ca="1">IFERROR(__xludf.DUMMYFUNCTION("""COMPUTED_VALUE"""),13369)</f>
        <v>13369</v>
      </c>
      <c r="E157" s="1" t="str">
        <f ca="1">IFERROR(__xludf.DUMMYFUNCTION("""COMPUTED_VALUE"""),"Arabian Journal for Science and Engineering")</f>
        <v>Arabian Journal for Science and Engineering</v>
      </c>
      <c r="F157" s="1" t="str">
        <f ca="1">IFERROR(__xludf.DUMMYFUNCTION("""COMPUTED_VALUE"""),"2191-4281")</f>
        <v>2191-4281</v>
      </c>
      <c r="G157" s="1" t="str">
        <f ca="1">IFERROR(__xludf.DUMMYFUNCTION("""COMPUTED_VALUE"""),"2193-567X")</f>
        <v>2193-567X</v>
      </c>
      <c r="H157" s="27" t="str">
        <f ca="1">IFERROR(__xludf.DUMMYFUNCTION("""COMPUTED_VALUE"""),"https://link.springer.com/journal/13369")</f>
        <v>https://link.springer.com/journal/13369</v>
      </c>
      <c r="I157" s="1" t="str">
        <f ca="1">IFERROR(__xludf.DUMMYFUNCTION("""COMPUTED_VALUE"""),"Springer")</f>
        <v>Springer</v>
      </c>
      <c r="J157" s="1">
        <f ca="1">IFERROR(__xludf.DUMMYFUNCTION("""COMPUTED_VALUE"""),2011)</f>
        <v>2011</v>
      </c>
      <c r="K157" s="1" t="str">
        <f ca="1">IFERROR(__xludf.DUMMYFUNCTION("""COMPUTED_VALUE"""),"Engineering")</f>
        <v>Engineering</v>
      </c>
      <c r="L157" s="1" t="str">
        <f ca="1">IFERROR(__xludf.DUMMYFUNCTION("""COMPUTED_VALUE"""),"〇")</f>
        <v>〇</v>
      </c>
      <c r="M157" s="1"/>
      <c r="N157" s="1" t="str">
        <f ca="1">IFERROR(__xludf.DUMMYFUNCTION("""COMPUTED_VALUE"""),"TO11")</f>
        <v>TO11</v>
      </c>
      <c r="O157" s="1"/>
      <c r="P157" s="1"/>
    </row>
    <row r="158" spans="1:16" ht="14.25" customHeight="1" x14ac:dyDescent="0.25">
      <c r="A158" s="1"/>
      <c r="B158" s="1">
        <f ca="1"/>
        <v>146</v>
      </c>
      <c r="C158" s="1">
        <f ca="1">IFERROR(__xludf.DUMMYFUNCTION("""COMPUTED_VALUE"""),2023)</f>
        <v>2023</v>
      </c>
      <c r="D158" s="1">
        <f ca="1">IFERROR(__xludf.DUMMYFUNCTION("""COMPUTED_VALUE"""),12517)</f>
        <v>12517</v>
      </c>
      <c r="E158" s="1" t="str">
        <f ca="1">IFERROR(__xludf.DUMMYFUNCTION("""COMPUTED_VALUE"""),"Arabian Journal of Geosciences")</f>
        <v>Arabian Journal of Geosciences</v>
      </c>
      <c r="F158" s="1" t="str">
        <f ca="1">IFERROR(__xludf.DUMMYFUNCTION("""COMPUTED_VALUE"""),"1866-7538")</f>
        <v>1866-7538</v>
      </c>
      <c r="G158" s="1" t="str">
        <f ca="1">IFERROR(__xludf.DUMMYFUNCTION("""COMPUTED_VALUE"""),"1866-7511")</f>
        <v>1866-7511</v>
      </c>
      <c r="H158" s="27" t="str">
        <f ca="1">IFERROR(__xludf.DUMMYFUNCTION("""COMPUTED_VALUE"""),"https://link.springer.com/journal/12517")</f>
        <v>https://link.springer.com/journal/12517</v>
      </c>
      <c r="I158" s="1" t="str">
        <f ca="1">IFERROR(__xludf.DUMMYFUNCTION("""COMPUTED_VALUE"""),"Springer")</f>
        <v>Springer</v>
      </c>
      <c r="J158" s="1">
        <f ca="1">IFERROR(__xludf.DUMMYFUNCTION("""COMPUTED_VALUE"""),2008)</f>
        <v>2008</v>
      </c>
      <c r="K158" s="1" t="str">
        <f ca="1">IFERROR(__xludf.DUMMYFUNCTION("""COMPUTED_VALUE"""),"Earth and Environmental Science")</f>
        <v>Earth and Environmental Science</v>
      </c>
      <c r="L158" s="1" t="str">
        <f ca="1">IFERROR(__xludf.DUMMYFUNCTION("""COMPUTED_VALUE"""),"〇")</f>
        <v>〇</v>
      </c>
      <c r="M158" s="1" t="str">
        <f ca="1">IFERROR(__xludf.DUMMYFUNCTION("""COMPUTED_VALUE"""),"〇")</f>
        <v>〇</v>
      </c>
      <c r="N158" s="1" t="str">
        <f ca="1">IFERROR(__xludf.DUMMYFUNCTION("""COMPUTED_VALUE"""),"SNS8")</f>
        <v>SNS8</v>
      </c>
      <c r="O158" s="1"/>
      <c r="P158" s="1"/>
    </row>
    <row r="159" spans="1:16" ht="14.25" customHeight="1" x14ac:dyDescent="0.25">
      <c r="A159" s="1"/>
      <c r="B159" s="1">
        <f ca="1"/>
        <v>147</v>
      </c>
      <c r="C159" s="1">
        <f ca="1">IFERROR(__xludf.DUMMYFUNCTION("""COMPUTED_VALUE"""),2023)</f>
        <v>2023</v>
      </c>
      <c r="D159" s="1">
        <f ca="1">IFERROR(__xludf.DUMMYFUNCTION("""COMPUTED_VALUE"""),12520)</f>
        <v>12520</v>
      </c>
      <c r="E159" s="1" t="str">
        <f ca="1">IFERROR(__xludf.DUMMYFUNCTION("""COMPUTED_VALUE"""),"Archaeological and Anthropological Sciences")</f>
        <v>Archaeological and Anthropological Sciences</v>
      </c>
      <c r="F159" s="1" t="str">
        <f ca="1">IFERROR(__xludf.DUMMYFUNCTION("""COMPUTED_VALUE"""),"1866-9565")</f>
        <v>1866-9565</v>
      </c>
      <c r="G159" s="1" t="str">
        <f ca="1">IFERROR(__xludf.DUMMYFUNCTION("""COMPUTED_VALUE"""),"1866-9557")</f>
        <v>1866-9557</v>
      </c>
      <c r="H159" s="27" t="str">
        <f ca="1">IFERROR(__xludf.DUMMYFUNCTION("""COMPUTED_VALUE"""),"https://link.springer.com/journal/12520")</f>
        <v>https://link.springer.com/journal/12520</v>
      </c>
      <c r="I159" s="1" t="str">
        <f ca="1">IFERROR(__xludf.DUMMYFUNCTION("""COMPUTED_VALUE"""),"Springer")</f>
        <v>Springer</v>
      </c>
      <c r="J159" s="1">
        <f ca="1">IFERROR(__xludf.DUMMYFUNCTION("""COMPUTED_VALUE"""),2009)</f>
        <v>2009</v>
      </c>
      <c r="K159" s="1" t="str">
        <f ca="1">IFERROR(__xludf.DUMMYFUNCTION("""COMPUTED_VALUE"""),"Earth and Environmental Science")</f>
        <v>Earth and Environmental Science</v>
      </c>
      <c r="L159" s="1" t="str">
        <f ca="1">IFERROR(__xludf.DUMMYFUNCTION("""COMPUTED_VALUE"""),"〇")</f>
        <v>〇</v>
      </c>
      <c r="M159" s="1" t="str">
        <f ca="1">IFERROR(__xludf.DUMMYFUNCTION("""COMPUTED_VALUE"""),"〇")</f>
        <v>〇</v>
      </c>
      <c r="N159" s="1"/>
      <c r="O159" s="1"/>
      <c r="P159" s="1"/>
    </row>
    <row r="160" spans="1:16" ht="14.25" customHeight="1" x14ac:dyDescent="0.25">
      <c r="A160" s="1"/>
      <c r="B160" s="1">
        <f ca="1"/>
        <v>148</v>
      </c>
      <c r="C160" s="1">
        <f ca="1">IFERROR(__xludf.DUMMYFUNCTION("""COMPUTED_VALUE"""),2023)</f>
        <v>2023</v>
      </c>
      <c r="D160" s="1">
        <f ca="1">IFERROR(__xludf.DUMMYFUNCTION("""COMPUTED_VALUE"""),11759)</f>
        <v>11759</v>
      </c>
      <c r="E160" s="1" t="str">
        <f ca="1">IFERROR(__xludf.DUMMYFUNCTION("""COMPUTED_VALUE"""),"Archaeologies")</f>
        <v>Archaeologies</v>
      </c>
      <c r="F160" s="1" t="str">
        <f ca="1">IFERROR(__xludf.DUMMYFUNCTION("""COMPUTED_VALUE"""),"1935-3987")</f>
        <v>1935-3987</v>
      </c>
      <c r="G160" s="1" t="str">
        <f ca="1">IFERROR(__xludf.DUMMYFUNCTION("""COMPUTED_VALUE"""),"1555-8622")</f>
        <v>1555-8622</v>
      </c>
      <c r="H160" s="27" t="str">
        <f ca="1">IFERROR(__xludf.DUMMYFUNCTION("""COMPUTED_VALUE"""),"https://link.springer.com/journal/11759")</f>
        <v>https://link.springer.com/journal/11759</v>
      </c>
      <c r="I160" s="1" t="str">
        <f ca="1">IFERROR(__xludf.DUMMYFUNCTION("""COMPUTED_VALUE"""),"Springer")</f>
        <v>Springer</v>
      </c>
      <c r="J160" s="1">
        <f ca="1">IFERROR(__xludf.DUMMYFUNCTION("""COMPUTED_VALUE"""),2005)</f>
        <v>2005</v>
      </c>
      <c r="K160" s="1" t="str">
        <f ca="1">IFERROR(__xludf.DUMMYFUNCTION("""COMPUTED_VALUE"""),"Social Sciences")</f>
        <v>Social Sciences</v>
      </c>
      <c r="L160" s="1" t="str">
        <f ca="1">IFERROR(__xludf.DUMMYFUNCTION("""COMPUTED_VALUE"""),"〇")</f>
        <v>〇</v>
      </c>
      <c r="M160" s="1" t="str">
        <f ca="1">IFERROR(__xludf.DUMMYFUNCTION("""COMPUTED_VALUE"""),"〇")</f>
        <v>〇</v>
      </c>
      <c r="N160" s="1" t="str">
        <f ca="1">IFERROR(__xludf.DUMMYFUNCTION("""COMPUTED_VALUE"""),"TO7")</f>
        <v>TO7</v>
      </c>
      <c r="O160" s="1"/>
      <c r="P160" s="1"/>
    </row>
    <row r="161" spans="1:16" ht="14.25" customHeight="1" x14ac:dyDescent="0.25">
      <c r="A161" s="1"/>
      <c r="B161" s="1">
        <f ca="1"/>
        <v>149</v>
      </c>
      <c r="C161" s="1">
        <f ca="1">IFERROR(__xludf.DUMMYFUNCTION("""COMPUTED_VALUE"""),2023)</f>
        <v>2023</v>
      </c>
      <c r="D161" s="1">
        <f ca="1">IFERROR(__xludf.DUMMYFUNCTION("""COMPUTED_VALUE"""),44150)</f>
        <v>44150</v>
      </c>
      <c r="E161" s="1" t="str">
        <f ca="1">IFERROR(__xludf.DUMMYFUNCTION("""COMPUTED_VALUE"""),"Architecture, Structures and Construction")</f>
        <v>Architecture, Structures and Construction</v>
      </c>
      <c r="F161" s="1" t="str">
        <f ca="1">IFERROR(__xludf.DUMMYFUNCTION("""COMPUTED_VALUE"""),"2730-9894")</f>
        <v>2730-9894</v>
      </c>
      <c r="G161" s="1" t="str">
        <f ca="1">IFERROR(__xludf.DUMMYFUNCTION("""COMPUTED_VALUE"""),"2730-9886")</f>
        <v>2730-9886</v>
      </c>
      <c r="H161" s="27" t="str">
        <f ca="1">IFERROR(__xludf.DUMMYFUNCTION("""COMPUTED_VALUE"""),"https://link.springer.com/journal/44150")</f>
        <v>https://link.springer.com/journal/44150</v>
      </c>
      <c r="I161" s="1" t="str">
        <f ca="1">IFERROR(__xludf.DUMMYFUNCTION("""COMPUTED_VALUE"""),"Springer")</f>
        <v>Springer</v>
      </c>
      <c r="J161" s="1">
        <f ca="1">IFERROR(__xludf.DUMMYFUNCTION("""COMPUTED_VALUE"""),2021)</f>
        <v>2021</v>
      </c>
      <c r="K161" s="1" t="str">
        <f ca="1">IFERROR(__xludf.DUMMYFUNCTION("""COMPUTED_VALUE"""),"Engineering")</f>
        <v>Engineering</v>
      </c>
      <c r="L161" s="1" t="str">
        <f ca="1">IFERROR(__xludf.DUMMYFUNCTION("""COMPUTED_VALUE"""),"〇")</f>
        <v>〇</v>
      </c>
      <c r="M161" s="1"/>
      <c r="N161" s="1" t="str">
        <f ca="1">IFERROR(__xludf.DUMMYFUNCTION("""COMPUTED_VALUE"""),"SNS21")</f>
        <v>SNS21</v>
      </c>
      <c r="O161" s="1"/>
      <c r="P161" s="1"/>
    </row>
    <row r="162" spans="1:16" ht="14.25" customHeight="1" x14ac:dyDescent="0.25">
      <c r="A162" s="1"/>
      <c r="B162" s="1">
        <f ca="1"/>
        <v>150</v>
      </c>
      <c r="C162" s="1">
        <f ca="1">IFERROR(__xludf.DUMMYFUNCTION("""COMPUTED_VALUE"""),2023)</f>
        <v>2023</v>
      </c>
      <c r="D162" s="1">
        <f ca="1">IFERROR(__xludf.DUMMYFUNCTION("""COMPUTED_VALUE"""),13)</f>
        <v>13</v>
      </c>
      <c r="E162" s="1" t="str">
        <f ca="1">IFERROR(__xludf.DUMMYFUNCTION("""COMPUTED_VALUE"""),"Archiv der Mathematik")</f>
        <v>Archiv der Mathematik</v>
      </c>
      <c r="F162" s="1" t="str">
        <f ca="1">IFERROR(__xludf.DUMMYFUNCTION("""COMPUTED_VALUE"""),"1420-8938")</f>
        <v>1420-8938</v>
      </c>
      <c r="G162" s="1" t="str">
        <f ca="1">IFERROR(__xludf.DUMMYFUNCTION("""COMPUTED_VALUE"""),"0003-889X")</f>
        <v>0003-889X</v>
      </c>
      <c r="H162" s="27" t="str">
        <f ca="1">IFERROR(__xludf.DUMMYFUNCTION("""COMPUTED_VALUE"""),"https://link.springer.com/journal/13")</f>
        <v>https://link.springer.com/journal/13</v>
      </c>
      <c r="I162" s="1" t="str">
        <f ca="1">IFERROR(__xludf.DUMMYFUNCTION("""COMPUTED_VALUE"""),"Birkhäuser")</f>
        <v>Birkhäuser</v>
      </c>
      <c r="J162" s="1">
        <f ca="1">IFERROR(__xludf.DUMMYFUNCTION("""COMPUTED_VALUE"""),2000)</f>
        <v>2000</v>
      </c>
      <c r="K162" s="1" t="str">
        <f ca="1">IFERROR(__xludf.DUMMYFUNCTION("""COMPUTED_VALUE"""),"Mathematics and Statistics")</f>
        <v>Mathematics and Statistics</v>
      </c>
      <c r="L162" s="1" t="str">
        <f ca="1">IFERROR(__xludf.DUMMYFUNCTION("""COMPUTED_VALUE"""),"〇")</f>
        <v>〇</v>
      </c>
      <c r="M162" s="1" t="str">
        <f ca="1">IFERROR(__xludf.DUMMYFUNCTION("""COMPUTED_VALUE"""),"〇")</f>
        <v>〇</v>
      </c>
      <c r="N162" s="1"/>
      <c r="O162" s="1"/>
      <c r="P162" s="1"/>
    </row>
    <row r="163" spans="1:16" ht="14.25" customHeight="1" x14ac:dyDescent="0.25">
      <c r="A163" s="1"/>
      <c r="B163" s="1">
        <f ca="1"/>
        <v>151</v>
      </c>
      <c r="C163" s="1">
        <f ca="1">IFERROR(__xludf.DUMMYFUNCTION("""COMPUTED_VALUE"""),2023)</f>
        <v>2023</v>
      </c>
      <c r="D163" s="1">
        <f ca="1">IFERROR(__xludf.DUMMYFUNCTION("""COMPUTED_VALUE"""),10502)</f>
        <v>10502</v>
      </c>
      <c r="E163" s="1" t="str">
        <f ca="1">IFERROR(__xludf.DUMMYFUNCTION("""COMPUTED_VALUE"""),"Archival Science")</f>
        <v>Archival Science</v>
      </c>
      <c r="F163" s="1" t="str">
        <f ca="1">IFERROR(__xludf.DUMMYFUNCTION("""COMPUTED_VALUE"""),"1573-7500")</f>
        <v>1573-7500</v>
      </c>
      <c r="G163" s="1" t="str">
        <f ca="1">IFERROR(__xludf.DUMMYFUNCTION("""COMPUTED_VALUE"""),"1389-0166")</f>
        <v>1389-0166</v>
      </c>
      <c r="H163" s="27" t="str">
        <f ca="1">IFERROR(__xludf.DUMMYFUNCTION("""COMPUTED_VALUE"""),"https://link.springer.com/journal/10502")</f>
        <v>https://link.springer.com/journal/10502</v>
      </c>
      <c r="I163" s="1" t="str">
        <f ca="1">IFERROR(__xludf.DUMMYFUNCTION("""COMPUTED_VALUE"""),"Springer")</f>
        <v>Springer</v>
      </c>
      <c r="J163" s="1">
        <f ca="1">IFERROR(__xludf.DUMMYFUNCTION("""COMPUTED_VALUE"""),2001)</f>
        <v>2001</v>
      </c>
      <c r="K163" s="1" t="str">
        <f ca="1">IFERROR(__xludf.DUMMYFUNCTION("""COMPUTED_VALUE"""),"Literature, Cultural and Media Studies")</f>
        <v>Literature, Cultural and Media Studies</v>
      </c>
      <c r="L163" s="1" t="str">
        <f ca="1">IFERROR(__xludf.DUMMYFUNCTION("""COMPUTED_VALUE"""),"〇")</f>
        <v>〇</v>
      </c>
      <c r="M163" s="1" t="str">
        <f ca="1">IFERROR(__xludf.DUMMYFUNCTION("""COMPUTED_VALUE"""),"〇")</f>
        <v>〇</v>
      </c>
      <c r="N163" s="1"/>
      <c r="O163" s="1"/>
      <c r="P163" s="1"/>
    </row>
    <row r="164" spans="1:16" ht="14.25" customHeight="1" x14ac:dyDescent="0.25">
      <c r="A164" s="1"/>
      <c r="B164" s="1">
        <f ca="1"/>
        <v>152</v>
      </c>
      <c r="C164" s="1">
        <f ca="1">IFERROR(__xludf.DUMMYFUNCTION("""COMPUTED_VALUE"""),2023)</f>
        <v>2023</v>
      </c>
      <c r="D164" s="1">
        <f ca="1">IFERROR(__xludf.DUMMYFUNCTION("""COMPUTED_VALUE"""),407)</f>
        <v>407</v>
      </c>
      <c r="E164" s="1" t="str">
        <f ca="1">IFERROR(__xludf.DUMMYFUNCTION("""COMPUTED_VALUE"""),"Archive for History of Exact Sciences")</f>
        <v>Archive for History of Exact Sciences</v>
      </c>
      <c r="F164" s="1" t="str">
        <f ca="1">IFERROR(__xludf.DUMMYFUNCTION("""COMPUTED_VALUE"""),"1432-0657")</f>
        <v>1432-0657</v>
      </c>
      <c r="G164" s="1" t="str">
        <f ca="1">IFERROR(__xludf.DUMMYFUNCTION("""COMPUTED_VALUE"""),"0003-9519")</f>
        <v>0003-9519</v>
      </c>
      <c r="H164" s="27" t="str">
        <f ca="1">IFERROR(__xludf.DUMMYFUNCTION("""COMPUTED_VALUE"""),"https://link.springer.com/journal/407")</f>
        <v>https://link.springer.com/journal/407</v>
      </c>
      <c r="I164" s="1" t="str">
        <f ca="1">IFERROR(__xludf.DUMMYFUNCTION("""COMPUTED_VALUE"""),"Springer")</f>
        <v>Springer</v>
      </c>
      <c r="J164" s="1">
        <f ca="1">IFERROR(__xludf.DUMMYFUNCTION("""COMPUTED_VALUE"""),2000)</f>
        <v>2000</v>
      </c>
      <c r="K164" s="1" t="str">
        <f ca="1">IFERROR(__xludf.DUMMYFUNCTION("""COMPUTED_VALUE"""),"Mathematics and Statistics")</f>
        <v>Mathematics and Statistics</v>
      </c>
      <c r="L164" s="1" t="str">
        <f ca="1">IFERROR(__xludf.DUMMYFUNCTION("""COMPUTED_VALUE"""),"〇")</f>
        <v>〇</v>
      </c>
      <c r="M164" s="1" t="str">
        <f ca="1">IFERROR(__xludf.DUMMYFUNCTION("""COMPUTED_VALUE"""),"〇")</f>
        <v>〇</v>
      </c>
      <c r="N164" s="1"/>
      <c r="O164" s="1"/>
      <c r="P164" s="1"/>
    </row>
    <row r="165" spans="1:16" ht="14.25" customHeight="1" x14ac:dyDescent="0.25">
      <c r="A165" s="1"/>
      <c r="B165" s="1">
        <f ca="1"/>
        <v>153</v>
      </c>
      <c r="C165" s="1">
        <f ca="1">IFERROR(__xludf.DUMMYFUNCTION("""COMPUTED_VALUE"""),2023)</f>
        <v>2023</v>
      </c>
      <c r="D165" s="1">
        <f ca="1">IFERROR(__xludf.DUMMYFUNCTION("""COMPUTED_VALUE"""),153)</f>
        <v>153</v>
      </c>
      <c r="E165" s="1" t="str">
        <f ca="1">IFERROR(__xludf.DUMMYFUNCTION("""COMPUTED_VALUE"""),"Archive for Mathematical Logic")</f>
        <v>Archive for Mathematical Logic</v>
      </c>
      <c r="F165" s="1" t="str">
        <f ca="1">IFERROR(__xludf.DUMMYFUNCTION("""COMPUTED_VALUE"""),"1432-0665")</f>
        <v>1432-0665</v>
      </c>
      <c r="G165" s="1" t="str">
        <f ca="1">IFERROR(__xludf.DUMMYFUNCTION("""COMPUTED_VALUE"""),"0933-5846")</f>
        <v>0933-5846</v>
      </c>
      <c r="H165" s="27" t="str">
        <f ca="1">IFERROR(__xludf.DUMMYFUNCTION("""COMPUTED_VALUE"""),"https://link.springer.com/journal/153")</f>
        <v>https://link.springer.com/journal/153</v>
      </c>
      <c r="I165" s="1" t="str">
        <f ca="1">IFERROR(__xludf.DUMMYFUNCTION("""COMPUTED_VALUE"""),"Springer")</f>
        <v>Springer</v>
      </c>
      <c r="J165" s="1">
        <f ca="1">IFERROR(__xludf.DUMMYFUNCTION("""COMPUTED_VALUE"""),2000)</f>
        <v>2000</v>
      </c>
      <c r="K165" s="1" t="str">
        <f ca="1">IFERROR(__xludf.DUMMYFUNCTION("""COMPUTED_VALUE"""),"Mathematics and Statistics")</f>
        <v>Mathematics and Statistics</v>
      </c>
      <c r="L165" s="1" t="str">
        <f ca="1">IFERROR(__xludf.DUMMYFUNCTION("""COMPUTED_VALUE"""),"〇")</f>
        <v>〇</v>
      </c>
      <c r="M165" s="1" t="str">
        <f ca="1">IFERROR(__xludf.DUMMYFUNCTION("""COMPUTED_VALUE"""),"〇")</f>
        <v>〇</v>
      </c>
      <c r="N165" s="1"/>
      <c r="O165" s="1"/>
      <c r="P165" s="1"/>
    </row>
    <row r="166" spans="1:16" ht="14.25" customHeight="1" x14ac:dyDescent="0.25">
      <c r="A166" s="1"/>
      <c r="B166" s="1">
        <f ca="1"/>
        <v>154</v>
      </c>
      <c r="C166" s="1">
        <f ca="1">IFERROR(__xludf.DUMMYFUNCTION("""COMPUTED_VALUE"""),2023)</f>
        <v>2023</v>
      </c>
      <c r="D166" s="1">
        <f ca="1">IFERROR(__xludf.DUMMYFUNCTION("""COMPUTED_VALUE"""),205)</f>
        <v>205</v>
      </c>
      <c r="E166" s="1" t="str">
        <f ca="1">IFERROR(__xludf.DUMMYFUNCTION("""COMPUTED_VALUE"""),"Archive for Rational Mechanics and Analysis")</f>
        <v>Archive for Rational Mechanics and Analysis</v>
      </c>
      <c r="F166" s="1" t="str">
        <f ca="1">IFERROR(__xludf.DUMMYFUNCTION("""COMPUTED_VALUE"""),"1432-0673")</f>
        <v>1432-0673</v>
      </c>
      <c r="G166" s="1" t="str">
        <f ca="1">IFERROR(__xludf.DUMMYFUNCTION("""COMPUTED_VALUE"""),"0003-9527")</f>
        <v>0003-9527</v>
      </c>
      <c r="H166" s="27" t="str">
        <f ca="1">IFERROR(__xludf.DUMMYFUNCTION("""COMPUTED_VALUE"""),"https://link.springer.com/journal/205")</f>
        <v>https://link.springer.com/journal/205</v>
      </c>
      <c r="I166" s="1" t="str">
        <f ca="1">IFERROR(__xludf.DUMMYFUNCTION("""COMPUTED_VALUE"""),"Springer")</f>
        <v>Springer</v>
      </c>
      <c r="J166" s="1">
        <f ca="1">IFERROR(__xludf.DUMMYFUNCTION("""COMPUTED_VALUE"""),2000)</f>
        <v>2000</v>
      </c>
      <c r="K166" s="1" t="str">
        <f ca="1">IFERROR(__xludf.DUMMYFUNCTION("""COMPUTED_VALUE"""),"Physics and Astronomy")</f>
        <v>Physics and Astronomy</v>
      </c>
      <c r="L166" s="1" t="str">
        <f ca="1">IFERROR(__xludf.DUMMYFUNCTION("""COMPUTED_VALUE"""),"〇")</f>
        <v>〇</v>
      </c>
      <c r="M166" s="1" t="str">
        <f ca="1">IFERROR(__xludf.DUMMYFUNCTION("""COMPUTED_VALUE"""),"〇")</f>
        <v>〇</v>
      </c>
      <c r="N166" s="1"/>
      <c r="O166" s="1"/>
      <c r="P166" s="1"/>
    </row>
    <row r="167" spans="1:16" ht="14.25" customHeight="1" x14ac:dyDescent="0.25">
      <c r="A167" s="1"/>
      <c r="B167" s="1">
        <f ca="1"/>
        <v>155</v>
      </c>
      <c r="C167" s="1">
        <f ca="1">IFERROR(__xludf.DUMMYFUNCTION("""COMPUTED_VALUE"""),2023)</f>
        <v>2023</v>
      </c>
      <c r="D167" s="1">
        <f ca="1">IFERROR(__xludf.DUMMYFUNCTION("""COMPUTED_VALUE"""),419)</f>
        <v>419</v>
      </c>
      <c r="E167" s="1" t="str">
        <f ca="1">IFERROR(__xludf.DUMMYFUNCTION("""COMPUTED_VALUE"""),"Archive of Applied Mechanics")</f>
        <v>Archive of Applied Mechanics</v>
      </c>
      <c r="F167" s="1" t="str">
        <f ca="1">IFERROR(__xludf.DUMMYFUNCTION("""COMPUTED_VALUE"""),"1432-0681")</f>
        <v>1432-0681</v>
      </c>
      <c r="G167" s="1" t="str">
        <f ca="1">IFERROR(__xludf.DUMMYFUNCTION("""COMPUTED_VALUE"""),"0939-1533")</f>
        <v>0939-1533</v>
      </c>
      <c r="H167" s="27" t="str">
        <f ca="1">IFERROR(__xludf.DUMMYFUNCTION("""COMPUTED_VALUE"""),"https://link.springer.com/journal/419")</f>
        <v>https://link.springer.com/journal/419</v>
      </c>
      <c r="I167" s="1" t="str">
        <f ca="1">IFERROR(__xludf.DUMMYFUNCTION("""COMPUTED_VALUE"""),"Springer")</f>
        <v>Springer</v>
      </c>
      <c r="J167" s="1">
        <f ca="1">IFERROR(__xludf.DUMMYFUNCTION("""COMPUTED_VALUE"""),2000)</f>
        <v>2000</v>
      </c>
      <c r="K167" s="1" t="str">
        <f ca="1">IFERROR(__xludf.DUMMYFUNCTION("""COMPUTED_VALUE"""),"Engineering")</f>
        <v>Engineering</v>
      </c>
      <c r="L167" s="1" t="str">
        <f ca="1">IFERROR(__xludf.DUMMYFUNCTION("""COMPUTED_VALUE"""),"〇")</f>
        <v>〇</v>
      </c>
      <c r="M167" s="1" t="str">
        <f ca="1">IFERROR(__xludf.DUMMYFUNCTION("""COMPUTED_VALUE"""),"〇")</f>
        <v>〇</v>
      </c>
      <c r="N167" s="1"/>
      <c r="O167" s="1"/>
      <c r="P167" s="1"/>
    </row>
    <row r="168" spans="1:16" ht="14.25" customHeight="1" x14ac:dyDescent="0.25">
      <c r="A168" s="1"/>
      <c r="B168" s="1">
        <f ca="1"/>
        <v>156</v>
      </c>
      <c r="C168" s="1">
        <f ca="1">IFERROR(__xludf.DUMMYFUNCTION("""COMPUTED_VALUE"""),2023)</f>
        <v>2023</v>
      </c>
      <c r="D168" s="1">
        <f ca="1">IFERROR(__xludf.DUMMYFUNCTION("""COMPUTED_VALUE"""),43452)</f>
        <v>43452</v>
      </c>
      <c r="E168" s="1" t="str">
        <f ca="1">IFERROR(__xludf.DUMMYFUNCTION("""COMPUTED_VALUE"""),"Archives of Civil and Mechanical Engineering")</f>
        <v>Archives of Civil and Mechanical Engineering</v>
      </c>
      <c r="F168" s="1" t="str">
        <f ca="1">IFERROR(__xludf.DUMMYFUNCTION("""COMPUTED_VALUE"""),"1644-9665")</f>
        <v>1644-9665</v>
      </c>
      <c r="G168" s="1"/>
      <c r="H168" s="27" t="str">
        <f ca="1">IFERROR(__xludf.DUMMYFUNCTION("""COMPUTED_VALUE"""),"https://link.springer.com/journal/43452")</f>
        <v>https://link.springer.com/journal/43452</v>
      </c>
      <c r="I168" s="1" t="str">
        <f ca="1">IFERROR(__xludf.DUMMYFUNCTION("""COMPUTED_VALUE"""),"Springer")</f>
        <v>Springer</v>
      </c>
      <c r="J168" s="1">
        <f ca="1">IFERROR(__xludf.DUMMYFUNCTION("""COMPUTED_VALUE"""),2006)</f>
        <v>2006</v>
      </c>
      <c r="K168" s="1" t="str">
        <f ca="1">IFERROR(__xludf.DUMMYFUNCTION("""COMPUTED_VALUE"""),"Engineering")</f>
        <v>Engineering</v>
      </c>
      <c r="L168" s="1"/>
      <c r="M168" s="1"/>
      <c r="N168" s="1" t="str">
        <f ca="1">IFERROR(__xludf.DUMMYFUNCTION("""COMPUTED_VALUE"""),"TO20")</f>
        <v>TO20</v>
      </c>
      <c r="O168" s="1"/>
      <c r="P168" s="1"/>
    </row>
    <row r="169" spans="1:16" ht="14.25" customHeight="1" x14ac:dyDescent="0.25">
      <c r="A169" s="1"/>
      <c r="B169" s="1">
        <f ca="1"/>
        <v>157</v>
      </c>
      <c r="C169" s="1">
        <f ca="1">IFERROR(__xludf.DUMMYFUNCTION("""COMPUTED_VALUE"""),2023)</f>
        <v>2023</v>
      </c>
      <c r="D169" s="1">
        <f ca="1">IFERROR(__xludf.DUMMYFUNCTION("""COMPUTED_VALUE"""),11831)</f>
        <v>11831</v>
      </c>
      <c r="E169" s="1" t="str">
        <f ca="1">IFERROR(__xludf.DUMMYFUNCTION("""COMPUTED_VALUE"""),"Archives of Computational Methods in Engineering")</f>
        <v>Archives of Computational Methods in Engineering</v>
      </c>
      <c r="F169" s="1" t="str">
        <f ca="1">IFERROR(__xludf.DUMMYFUNCTION("""COMPUTED_VALUE"""),"1886-1784")</f>
        <v>1886-1784</v>
      </c>
      <c r="G169" s="1" t="str">
        <f ca="1">IFERROR(__xludf.DUMMYFUNCTION("""COMPUTED_VALUE"""),"1134-3060")</f>
        <v>1134-3060</v>
      </c>
      <c r="H169" s="27" t="str">
        <f ca="1">IFERROR(__xludf.DUMMYFUNCTION("""COMPUTED_VALUE"""),"https://link.springer.com/journal/11831")</f>
        <v>https://link.springer.com/journal/11831</v>
      </c>
      <c r="I169" s="1" t="str">
        <f ca="1">IFERROR(__xludf.DUMMYFUNCTION("""COMPUTED_VALUE"""),"Springer")</f>
        <v>Springer</v>
      </c>
      <c r="J169" s="1">
        <f ca="1">IFERROR(__xludf.DUMMYFUNCTION("""COMPUTED_VALUE"""),2000)</f>
        <v>2000</v>
      </c>
      <c r="K169" s="1" t="str">
        <f ca="1">IFERROR(__xludf.DUMMYFUNCTION("""COMPUTED_VALUE"""),"Engineering")</f>
        <v>Engineering</v>
      </c>
      <c r="L169" s="1" t="str">
        <f ca="1">IFERROR(__xludf.DUMMYFUNCTION("""COMPUTED_VALUE"""),"〇")</f>
        <v>〇</v>
      </c>
      <c r="M169" s="1" t="str">
        <f ca="1">IFERROR(__xludf.DUMMYFUNCTION("""COMPUTED_VALUE"""),"〇")</f>
        <v>〇</v>
      </c>
      <c r="N169" s="1" t="str">
        <f ca="1">IFERROR(__xludf.DUMMYFUNCTION("""COMPUTED_VALUE"""),"TO7")</f>
        <v>TO7</v>
      </c>
      <c r="O169" s="1"/>
      <c r="P169" s="1"/>
    </row>
    <row r="170" spans="1:16" ht="14.25" customHeight="1" x14ac:dyDescent="0.25">
      <c r="A170" s="1"/>
      <c r="B170" s="1">
        <f ca="1"/>
        <v>158</v>
      </c>
      <c r="C170" s="1">
        <f ca="1">IFERROR(__xludf.DUMMYFUNCTION("""COMPUTED_VALUE"""),2023)</f>
        <v>2023</v>
      </c>
      <c r="D170" s="1">
        <f ca="1">IFERROR(__xludf.DUMMYFUNCTION("""COMPUTED_VALUE"""),403)</f>
        <v>403</v>
      </c>
      <c r="E170" s="1" t="str">
        <f ca="1">IFERROR(__xludf.DUMMYFUNCTION("""COMPUTED_VALUE"""),"Archives of Dermatological Research")</f>
        <v>Archives of Dermatological Research</v>
      </c>
      <c r="F170" s="1" t="str">
        <f ca="1">IFERROR(__xludf.DUMMYFUNCTION("""COMPUTED_VALUE"""),"1432-069X")</f>
        <v>1432-069X</v>
      </c>
      <c r="G170" s="1"/>
      <c r="H170" s="27" t="str">
        <f ca="1">IFERROR(__xludf.DUMMYFUNCTION("""COMPUTED_VALUE"""),"https://link.springer.com/journal/403")</f>
        <v>https://link.springer.com/journal/403</v>
      </c>
      <c r="I170" s="1" t="str">
        <f ca="1">IFERROR(__xludf.DUMMYFUNCTION("""COMPUTED_VALUE"""),"Springer")</f>
        <v>Springer</v>
      </c>
      <c r="J170" s="1">
        <f ca="1">IFERROR(__xludf.DUMMYFUNCTION("""COMPUTED_VALUE"""),2000)</f>
        <v>2000</v>
      </c>
      <c r="K170" s="1" t="str">
        <f ca="1">IFERROR(__xludf.DUMMYFUNCTION("""COMPUTED_VALUE"""),"Medicine")</f>
        <v>Medicine</v>
      </c>
      <c r="L170" s="1"/>
      <c r="M170" s="1" t="str">
        <f ca="1">IFERROR(__xludf.DUMMYFUNCTION("""COMPUTED_VALUE"""),"〇")</f>
        <v>〇</v>
      </c>
      <c r="N170" s="1"/>
      <c r="O170" s="1"/>
      <c r="P170" s="1"/>
    </row>
    <row r="171" spans="1:16" ht="14.25" customHeight="1" x14ac:dyDescent="0.25">
      <c r="A171" s="1"/>
      <c r="B171" s="1">
        <f ca="1"/>
        <v>159</v>
      </c>
      <c r="C171" s="1">
        <f ca="1">IFERROR(__xludf.DUMMYFUNCTION("""COMPUTED_VALUE"""),2023)</f>
        <v>2023</v>
      </c>
      <c r="D171" s="1">
        <f ca="1">IFERROR(__xludf.DUMMYFUNCTION("""COMPUTED_VALUE"""),244)</f>
        <v>244</v>
      </c>
      <c r="E171" s="1" t="str">
        <f ca="1">IFERROR(__xludf.DUMMYFUNCTION("""COMPUTED_VALUE"""),"Archives of Environmental Contamination and Toxicology")</f>
        <v>Archives of Environmental Contamination and Toxicology</v>
      </c>
      <c r="F171" s="1" t="str">
        <f ca="1">IFERROR(__xludf.DUMMYFUNCTION("""COMPUTED_VALUE"""),"1432-0703")</f>
        <v>1432-0703</v>
      </c>
      <c r="G171" s="1" t="str">
        <f ca="1">IFERROR(__xludf.DUMMYFUNCTION("""COMPUTED_VALUE"""),"0090-4341")</f>
        <v>0090-4341</v>
      </c>
      <c r="H171" s="27" t="str">
        <f ca="1">IFERROR(__xludf.DUMMYFUNCTION("""COMPUTED_VALUE"""),"https://link.springer.com/journal/244")</f>
        <v>https://link.springer.com/journal/244</v>
      </c>
      <c r="I171" s="1" t="str">
        <f ca="1">IFERROR(__xludf.DUMMYFUNCTION("""COMPUTED_VALUE"""),"Springer")</f>
        <v>Springer</v>
      </c>
      <c r="J171" s="1">
        <f ca="1">IFERROR(__xludf.DUMMYFUNCTION("""COMPUTED_VALUE"""),2000)</f>
        <v>2000</v>
      </c>
      <c r="K171" s="1" t="str">
        <f ca="1">IFERROR(__xludf.DUMMYFUNCTION("""COMPUTED_VALUE"""),"Earth and Environmental Science")</f>
        <v>Earth and Environmental Science</v>
      </c>
      <c r="L171" s="1" t="str">
        <f ca="1">IFERROR(__xludf.DUMMYFUNCTION("""COMPUTED_VALUE"""),"〇")</f>
        <v>〇</v>
      </c>
      <c r="M171" s="1" t="str">
        <f ca="1">IFERROR(__xludf.DUMMYFUNCTION("""COMPUTED_VALUE"""),"〇")</f>
        <v>〇</v>
      </c>
      <c r="N171" s="1"/>
      <c r="O171" s="1"/>
      <c r="P171" s="1"/>
    </row>
    <row r="172" spans="1:16" ht="14.25" customHeight="1" x14ac:dyDescent="0.25">
      <c r="A172" s="1"/>
      <c r="B172" s="1">
        <f ca="1"/>
        <v>160</v>
      </c>
      <c r="C172" s="1">
        <f ca="1">IFERROR(__xludf.DUMMYFUNCTION("""COMPUTED_VALUE"""),2023)</f>
        <v>2023</v>
      </c>
      <c r="D172" s="1">
        <f ca="1">IFERROR(__xludf.DUMMYFUNCTION("""COMPUTED_VALUE"""),404)</f>
        <v>404</v>
      </c>
      <c r="E172" s="1" t="str">
        <f ca="1">IFERROR(__xludf.DUMMYFUNCTION("""COMPUTED_VALUE"""),"Archives of Gynecology and Obstetrics")</f>
        <v>Archives of Gynecology and Obstetrics</v>
      </c>
      <c r="F172" s="1" t="str">
        <f ca="1">IFERROR(__xludf.DUMMYFUNCTION("""COMPUTED_VALUE"""),"1432-0711")</f>
        <v>1432-0711</v>
      </c>
      <c r="G172" s="1"/>
      <c r="H172" s="27" t="str">
        <f ca="1">IFERROR(__xludf.DUMMYFUNCTION("""COMPUTED_VALUE"""),"https://link.springer.com/journal/404")</f>
        <v>https://link.springer.com/journal/404</v>
      </c>
      <c r="I172" s="1" t="str">
        <f ca="1">IFERROR(__xludf.DUMMYFUNCTION("""COMPUTED_VALUE"""),"Springer")</f>
        <v>Springer</v>
      </c>
      <c r="J172" s="1">
        <f ca="1">IFERROR(__xludf.DUMMYFUNCTION("""COMPUTED_VALUE"""),2000)</f>
        <v>2000</v>
      </c>
      <c r="K172" s="1" t="str">
        <f ca="1">IFERROR(__xludf.DUMMYFUNCTION("""COMPUTED_VALUE"""),"Medicine")</f>
        <v>Medicine</v>
      </c>
      <c r="L172" s="1"/>
      <c r="M172" s="1" t="str">
        <f ca="1">IFERROR(__xludf.DUMMYFUNCTION("""COMPUTED_VALUE"""),"〇")</f>
        <v>〇</v>
      </c>
      <c r="N172" s="1"/>
      <c r="O172" s="1"/>
      <c r="P172" s="1"/>
    </row>
    <row r="173" spans="1:16" ht="14.25" customHeight="1" x14ac:dyDescent="0.25">
      <c r="A173" s="1"/>
      <c r="B173" s="1">
        <f ca="1"/>
        <v>161</v>
      </c>
      <c r="C173" s="1">
        <f ca="1">IFERROR(__xludf.DUMMYFUNCTION("""COMPUTED_VALUE"""),2023)</f>
        <v>2023</v>
      </c>
      <c r="D173" s="1">
        <f ca="1">IFERROR(__xludf.DUMMYFUNCTION("""COMPUTED_VALUE"""),203)</f>
        <v>203</v>
      </c>
      <c r="E173" s="1" t="str">
        <f ca="1">IFERROR(__xludf.DUMMYFUNCTION("""COMPUTED_VALUE"""),"Archives of Microbiology")</f>
        <v>Archives of Microbiology</v>
      </c>
      <c r="F173" s="1" t="str">
        <f ca="1">IFERROR(__xludf.DUMMYFUNCTION("""COMPUTED_VALUE"""),"1432-072X")</f>
        <v>1432-072X</v>
      </c>
      <c r="G173" s="1" t="str">
        <f ca="1">IFERROR(__xludf.DUMMYFUNCTION("""COMPUTED_VALUE"""),"0302-8933")</f>
        <v>0302-8933</v>
      </c>
      <c r="H173" s="27" t="str">
        <f ca="1">IFERROR(__xludf.DUMMYFUNCTION("""COMPUTED_VALUE"""),"https://link.springer.com/journal/203")</f>
        <v>https://link.springer.com/journal/203</v>
      </c>
      <c r="I173" s="1" t="str">
        <f ca="1">IFERROR(__xludf.DUMMYFUNCTION("""COMPUTED_VALUE"""),"Springer")</f>
        <v>Springer</v>
      </c>
      <c r="J173" s="1">
        <f ca="1">IFERROR(__xludf.DUMMYFUNCTION("""COMPUTED_VALUE"""),2000)</f>
        <v>2000</v>
      </c>
      <c r="K173" s="1" t="str">
        <f ca="1">IFERROR(__xludf.DUMMYFUNCTION("""COMPUTED_VALUE"""),"Biomedical and Life Sciences")</f>
        <v>Biomedical and Life Sciences</v>
      </c>
      <c r="L173" s="1" t="str">
        <f ca="1">IFERROR(__xludf.DUMMYFUNCTION("""COMPUTED_VALUE"""),"〇")</f>
        <v>〇</v>
      </c>
      <c r="M173" s="1" t="str">
        <f ca="1">IFERROR(__xludf.DUMMYFUNCTION("""COMPUTED_VALUE"""),"〇")</f>
        <v>〇</v>
      </c>
      <c r="N173" s="1"/>
      <c r="O173" s="1"/>
      <c r="P173" s="1"/>
    </row>
    <row r="174" spans="1:16" ht="14.25" customHeight="1" x14ac:dyDescent="0.25">
      <c r="A174" s="1"/>
      <c r="B174" s="1">
        <f ca="1"/>
        <v>162</v>
      </c>
      <c r="C174" s="1">
        <f ca="1">IFERROR(__xludf.DUMMYFUNCTION("""COMPUTED_VALUE"""),2023)</f>
        <v>2023</v>
      </c>
      <c r="D174" s="1">
        <f ca="1">IFERROR(__xludf.DUMMYFUNCTION("""COMPUTED_VALUE"""),402)</f>
        <v>402</v>
      </c>
      <c r="E174" s="1" t="str">
        <f ca="1">IFERROR(__xludf.DUMMYFUNCTION("""COMPUTED_VALUE"""),"Archives of Orthopaedic and Trauma Surgery")</f>
        <v>Archives of Orthopaedic and Trauma Surgery</v>
      </c>
      <c r="F174" s="1" t="str">
        <f ca="1">IFERROR(__xludf.DUMMYFUNCTION("""COMPUTED_VALUE"""),"1434-3916")</f>
        <v>1434-3916</v>
      </c>
      <c r="G174" s="1"/>
      <c r="H174" s="27" t="str">
        <f ca="1">IFERROR(__xludf.DUMMYFUNCTION("""COMPUTED_VALUE"""),"https://link.springer.com/journal/402")</f>
        <v>https://link.springer.com/journal/402</v>
      </c>
      <c r="I174" s="1" t="str">
        <f ca="1">IFERROR(__xludf.DUMMYFUNCTION("""COMPUTED_VALUE"""),"Springer")</f>
        <v>Springer</v>
      </c>
      <c r="J174" s="1">
        <f ca="1">IFERROR(__xludf.DUMMYFUNCTION("""COMPUTED_VALUE"""),2000)</f>
        <v>2000</v>
      </c>
      <c r="K174" s="1" t="str">
        <f ca="1">IFERROR(__xludf.DUMMYFUNCTION("""COMPUTED_VALUE"""),"Medicine")</f>
        <v>Medicine</v>
      </c>
      <c r="L174" s="1"/>
      <c r="M174" s="1" t="str">
        <f ca="1">IFERROR(__xludf.DUMMYFUNCTION("""COMPUTED_VALUE"""),"〇")</f>
        <v>〇</v>
      </c>
      <c r="N174" s="1"/>
      <c r="O174" s="1"/>
      <c r="P174" s="1"/>
    </row>
    <row r="175" spans="1:16" ht="14.25" customHeight="1" x14ac:dyDescent="0.25">
      <c r="A175" s="1"/>
      <c r="B175" s="1">
        <f ca="1"/>
        <v>163</v>
      </c>
      <c r="C175" s="1">
        <f ca="1">IFERROR(__xludf.DUMMYFUNCTION("""COMPUTED_VALUE"""),2023)</f>
        <v>2023</v>
      </c>
      <c r="D175" s="1">
        <f ca="1">IFERROR(__xludf.DUMMYFUNCTION("""COMPUTED_VALUE"""),11657)</f>
        <v>11657</v>
      </c>
      <c r="E175" s="1" t="str">
        <f ca="1">IFERROR(__xludf.DUMMYFUNCTION("""COMPUTED_VALUE"""),"Archives of Osteoporosis")</f>
        <v>Archives of Osteoporosis</v>
      </c>
      <c r="F175" s="1" t="str">
        <f ca="1">IFERROR(__xludf.DUMMYFUNCTION("""COMPUTED_VALUE"""),"1862-3514")</f>
        <v>1862-3514</v>
      </c>
      <c r="G175" s="1"/>
      <c r="H175" s="27" t="str">
        <f ca="1">IFERROR(__xludf.DUMMYFUNCTION("""COMPUTED_VALUE"""),"https://link.springer.com/journal/11657")</f>
        <v>https://link.springer.com/journal/11657</v>
      </c>
      <c r="I175" s="1" t="str">
        <f ca="1">IFERROR(__xludf.DUMMYFUNCTION("""COMPUTED_VALUE"""),"Springer")</f>
        <v>Springer</v>
      </c>
      <c r="J175" s="1">
        <f ca="1">IFERROR(__xludf.DUMMYFUNCTION("""COMPUTED_VALUE"""),2006)</f>
        <v>2006</v>
      </c>
      <c r="K175" s="1" t="str">
        <f ca="1">IFERROR(__xludf.DUMMYFUNCTION("""COMPUTED_VALUE"""),"Medicine")</f>
        <v>Medicine</v>
      </c>
      <c r="L175" s="1"/>
      <c r="M175" s="1" t="str">
        <f ca="1">IFERROR(__xludf.DUMMYFUNCTION("""COMPUTED_VALUE"""),"〇")</f>
        <v>〇</v>
      </c>
      <c r="N175" s="1"/>
      <c r="O175" s="1"/>
      <c r="P175" s="1"/>
    </row>
    <row r="176" spans="1:16" ht="14.25" customHeight="1" x14ac:dyDescent="0.25">
      <c r="A176" s="1"/>
      <c r="B176" s="1">
        <f ca="1"/>
        <v>164</v>
      </c>
      <c r="C176" s="1">
        <f ca="1">IFERROR(__xludf.DUMMYFUNCTION("""COMPUTED_VALUE"""),2023)</f>
        <v>2023</v>
      </c>
      <c r="D176" s="1">
        <f ca="1">IFERROR(__xludf.DUMMYFUNCTION("""COMPUTED_VALUE"""),12272)</f>
        <v>12272</v>
      </c>
      <c r="E176" s="1" t="str">
        <f ca="1">IFERROR(__xludf.DUMMYFUNCTION("""COMPUTED_VALUE"""),"Archives of Pharmacal Research")</f>
        <v>Archives of Pharmacal Research</v>
      </c>
      <c r="F176" s="1" t="str">
        <f ca="1">IFERROR(__xludf.DUMMYFUNCTION("""COMPUTED_VALUE"""),"1976-3786")</f>
        <v>1976-3786</v>
      </c>
      <c r="G176" s="1" t="str">
        <f ca="1">IFERROR(__xludf.DUMMYFUNCTION("""COMPUTED_VALUE"""),"0253-6269")</f>
        <v>0253-6269</v>
      </c>
      <c r="H176" s="27" t="str">
        <f ca="1">IFERROR(__xludf.DUMMYFUNCTION("""COMPUTED_VALUE"""),"https://link.springer.com/journal/12272")</f>
        <v>https://link.springer.com/journal/12272</v>
      </c>
      <c r="I176" s="1" t="str">
        <f ca="1">IFERROR(__xludf.DUMMYFUNCTION("""COMPUTED_VALUE"""),"Pharmaceutical Society of Korea, co-published with Springer")</f>
        <v>Pharmaceutical Society of Korea, co-published with Springer</v>
      </c>
      <c r="J176" s="1">
        <f ca="1">IFERROR(__xludf.DUMMYFUNCTION("""COMPUTED_VALUE"""),2000)</f>
        <v>2000</v>
      </c>
      <c r="K176" s="1" t="str">
        <f ca="1">IFERROR(__xludf.DUMMYFUNCTION("""COMPUTED_VALUE"""),"Medicine")</f>
        <v>Medicine</v>
      </c>
      <c r="L176" s="1" t="str">
        <f ca="1">IFERROR(__xludf.DUMMYFUNCTION("""COMPUTED_VALUE"""),"〇")</f>
        <v>〇</v>
      </c>
      <c r="M176" s="1" t="str">
        <f ca="1">IFERROR(__xludf.DUMMYFUNCTION("""COMPUTED_VALUE"""),"〇")</f>
        <v>〇</v>
      </c>
      <c r="N176" s="1" t="str">
        <f ca="1">IFERROR(__xludf.DUMMYFUNCTION("""COMPUTED_VALUE"""),"TO8")</f>
        <v>TO8</v>
      </c>
      <c r="O176" s="1"/>
      <c r="P176" s="1"/>
    </row>
    <row r="177" spans="1:16" ht="14.25" customHeight="1" x14ac:dyDescent="0.25">
      <c r="A177" s="1"/>
      <c r="B177" s="1">
        <f ca="1"/>
        <v>165</v>
      </c>
      <c r="C177" s="1">
        <f ca="1">IFERROR(__xludf.DUMMYFUNCTION("""COMPUTED_VALUE"""),2023)</f>
        <v>2023</v>
      </c>
      <c r="D177" s="1">
        <f ca="1">IFERROR(__xludf.DUMMYFUNCTION("""COMPUTED_VALUE"""),10508)</f>
        <v>10508</v>
      </c>
      <c r="E177" s="1" t="str">
        <f ca="1">IFERROR(__xludf.DUMMYFUNCTION("""COMPUTED_VALUE"""),"Archives of Sexual Behavior")</f>
        <v>Archives of Sexual Behavior</v>
      </c>
      <c r="F177" s="1" t="str">
        <f ca="1">IFERROR(__xludf.DUMMYFUNCTION("""COMPUTED_VALUE"""),"1573-2800")</f>
        <v>1573-2800</v>
      </c>
      <c r="G177" s="1" t="str">
        <f ca="1">IFERROR(__xludf.DUMMYFUNCTION("""COMPUTED_VALUE"""),"0004-0002")</f>
        <v>0004-0002</v>
      </c>
      <c r="H177" s="27" t="str">
        <f ca="1">IFERROR(__xludf.DUMMYFUNCTION("""COMPUTED_VALUE"""),"https://link.springer.com/journal/10508")</f>
        <v>https://link.springer.com/journal/10508</v>
      </c>
      <c r="I177" s="1" t="str">
        <f ca="1">IFERROR(__xludf.DUMMYFUNCTION("""COMPUTED_VALUE"""),"Springer")</f>
        <v>Springer</v>
      </c>
      <c r="J177" s="1">
        <f ca="1">IFERROR(__xludf.DUMMYFUNCTION("""COMPUTED_VALUE"""),2000)</f>
        <v>2000</v>
      </c>
      <c r="K177" s="1" t="str">
        <f ca="1">IFERROR(__xludf.DUMMYFUNCTION("""COMPUTED_VALUE"""),"Behavioral Science and Psychology")</f>
        <v>Behavioral Science and Psychology</v>
      </c>
      <c r="L177" s="1" t="str">
        <f ca="1">IFERROR(__xludf.DUMMYFUNCTION("""COMPUTED_VALUE"""),"〇")</f>
        <v>〇</v>
      </c>
      <c r="M177" s="1" t="str">
        <f ca="1">IFERROR(__xludf.DUMMYFUNCTION("""COMPUTED_VALUE"""),"〇")</f>
        <v>〇</v>
      </c>
      <c r="N177" s="1"/>
      <c r="O177" s="1"/>
      <c r="P177" s="1"/>
    </row>
    <row r="178" spans="1:16" ht="14.25" customHeight="1" x14ac:dyDescent="0.25">
      <c r="A178" s="1"/>
      <c r="B178" s="1">
        <f ca="1"/>
        <v>166</v>
      </c>
      <c r="C178" s="1">
        <f ca="1">IFERROR(__xludf.DUMMYFUNCTION("""COMPUTED_VALUE"""),2023)</f>
        <v>2023</v>
      </c>
      <c r="D178" s="1">
        <f ca="1">IFERROR(__xludf.DUMMYFUNCTION("""COMPUTED_VALUE"""),204)</f>
        <v>204</v>
      </c>
      <c r="E178" s="1" t="str">
        <f ca="1">IFERROR(__xludf.DUMMYFUNCTION("""COMPUTED_VALUE"""),"Archives of Toxicology")</f>
        <v>Archives of Toxicology</v>
      </c>
      <c r="F178" s="1" t="str">
        <f ca="1">IFERROR(__xludf.DUMMYFUNCTION("""COMPUTED_VALUE"""),"1432-0738")</f>
        <v>1432-0738</v>
      </c>
      <c r="G178" s="1" t="str">
        <f ca="1">IFERROR(__xludf.DUMMYFUNCTION("""COMPUTED_VALUE"""),"0340-5761")</f>
        <v>0340-5761</v>
      </c>
      <c r="H178" s="27" t="str">
        <f ca="1">IFERROR(__xludf.DUMMYFUNCTION("""COMPUTED_VALUE"""),"https://link.springer.com/journal/204")</f>
        <v>https://link.springer.com/journal/204</v>
      </c>
      <c r="I178" s="1" t="str">
        <f ca="1">IFERROR(__xludf.DUMMYFUNCTION("""COMPUTED_VALUE"""),"Springer")</f>
        <v>Springer</v>
      </c>
      <c r="J178" s="1">
        <f ca="1">IFERROR(__xludf.DUMMYFUNCTION("""COMPUTED_VALUE"""),2000)</f>
        <v>2000</v>
      </c>
      <c r="K178" s="1" t="str">
        <f ca="1">IFERROR(__xludf.DUMMYFUNCTION("""COMPUTED_VALUE"""),"Biomedical and Life Sciences")</f>
        <v>Biomedical and Life Sciences</v>
      </c>
      <c r="L178" s="1" t="str">
        <f ca="1">IFERROR(__xludf.DUMMYFUNCTION("""COMPUTED_VALUE"""),"〇")</f>
        <v>〇</v>
      </c>
      <c r="M178" s="1" t="str">
        <f ca="1">IFERROR(__xludf.DUMMYFUNCTION("""COMPUTED_VALUE"""),"〇")</f>
        <v>〇</v>
      </c>
      <c r="N178" s="1"/>
      <c r="O178" s="1"/>
      <c r="P178" s="1"/>
    </row>
    <row r="179" spans="1:16" ht="14.25" customHeight="1" x14ac:dyDescent="0.25">
      <c r="A179" s="1"/>
      <c r="B179" s="1">
        <f ca="1"/>
        <v>167</v>
      </c>
      <c r="C179" s="1">
        <f ca="1">IFERROR(__xludf.DUMMYFUNCTION("""COMPUTED_VALUE"""),2023)</f>
        <v>2023</v>
      </c>
      <c r="D179" s="1">
        <f ca="1">IFERROR(__xludf.DUMMYFUNCTION("""COMPUTED_VALUE"""),705)</f>
        <v>705</v>
      </c>
      <c r="E179" s="1" t="str">
        <f ca="1">IFERROR(__xludf.DUMMYFUNCTION("""COMPUTED_VALUE"""),"Archives of Virology")</f>
        <v>Archives of Virology</v>
      </c>
      <c r="F179" s="1" t="str">
        <f ca="1">IFERROR(__xludf.DUMMYFUNCTION("""COMPUTED_VALUE"""),"1432-8798")</f>
        <v>1432-8798</v>
      </c>
      <c r="G179" s="1" t="str">
        <f ca="1">IFERROR(__xludf.DUMMYFUNCTION("""COMPUTED_VALUE"""),"0304-8608")</f>
        <v>0304-8608</v>
      </c>
      <c r="H179" s="27" t="str">
        <f ca="1">IFERROR(__xludf.DUMMYFUNCTION("""COMPUTED_VALUE"""),"https://link.springer.com/journal/705")</f>
        <v>https://link.springer.com/journal/705</v>
      </c>
      <c r="I179" s="1" t="str">
        <f ca="1">IFERROR(__xludf.DUMMYFUNCTION("""COMPUTED_VALUE"""),"Springer")</f>
        <v>Springer</v>
      </c>
      <c r="J179" s="1">
        <f ca="1">IFERROR(__xludf.DUMMYFUNCTION("""COMPUTED_VALUE"""),2000)</f>
        <v>2000</v>
      </c>
      <c r="K179" s="1" t="str">
        <f ca="1">IFERROR(__xludf.DUMMYFUNCTION("""COMPUTED_VALUE"""),"Biomedical and Life Sciences")</f>
        <v>Biomedical and Life Sciences</v>
      </c>
      <c r="L179" s="1" t="str">
        <f ca="1">IFERROR(__xludf.DUMMYFUNCTION("""COMPUTED_VALUE"""),"〇")</f>
        <v>〇</v>
      </c>
      <c r="M179" s="1" t="str">
        <f ca="1">IFERROR(__xludf.DUMMYFUNCTION("""COMPUTED_VALUE"""),"〇")</f>
        <v>〇</v>
      </c>
      <c r="N179" s="1"/>
      <c r="O179" s="1"/>
      <c r="P179" s="1"/>
    </row>
    <row r="180" spans="1:16" ht="14.25" customHeight="1" x14ac:dyDescent="0.25">
      <c r="A180" s="1"/>
      <c r="B180" s="1">
        <f ca="1"/>
        <v>168</v>
      </c>
      <c r="C180" s="1">
        <f ca="1">IFERROR(__xludf.DUMMYFUNCTION("""COMPUTED_VALUE"""),2023)</f>
        <v>2023</v>
      </c>
      <c r="D180" s="1">
        <f ca="1">IFERROR(__xludf.DUMMYFUNCTION("""COMPUTED_VALUE"""),737)</f>
        <v>737</v>
      </c>
      <c r="E180" s="1" t="str">
        <f ca="1">IFERROR(__xludf.DUMMYFUNCTION("""COMPUTED_VALUE"""),"Archives of Women's Mental Health")</f>
        <v>Archives of Women's Mental Health</v>
      </c>
      <c r="F180" s="1" t="str">
        <f ca="1">IFERROR(__xludf.DUMMYFUNCTION("""COMPUTED_VALUE"""),"1435-1102")</f>
        <v>1435-1102</v>
      </c>
      <c r="G180" s="1" t="str">
        <f ca="1">IFERROR(__xludf.DUMMYFUNCTION("""COMPUTED_VALUE"""),"1434-1816")</f>
        <v>1434-1816</v>
      </c>
      <c r="H180" s="27" t="str">
        <f ca="1">IFERROR(__xludf.DUMMYFUNCTION("""COMPUTED_VALUE"""),"https://link.springer.com/journal/737")</f>
        <v>https://link.springer.com/journal/737</v>
      </c>
      <c r="I180" s="1" t="str">
        <f ca="1">IFERROR(__xludf.DUMMYFUNCTION("""COMPUTED_VALUE"""),"Springer")</f>
        <v>Springer</v>
      </c>
      <c r="J180" s="1">
        <f ca="1">IFERROR(__xludf.DUMMYFUNCTION("""COMPUTED_VALUE"""),2000)</f>
        <v>2000</v>
      </c>
      <c r="K180" s="1" t="str">
        <f ca="1">IFERROR(__xludf.DUMMYFUNCTION("""COMPUTED_VALUE"""),"Medicine")</f>
        <v>Medicine</v>
      </c>
      <c r="L180" s="1" t="str">
        <f ca="1">IFERROR(__xludf.DUMMYFUNCTION("""COMPUTED_VALUE"""),"〇")</f>
        <v>〇</v>
      </c>
      <c r="M180" s="1" t="str">
        <f ca="1">IFERROR(__xludf.DUMMYFUNCTION("""COMPUTED_VALUE"""),"〇")</f>
        <v>〇</v>
      </c>
      <c r="N180" s="1"/>
      <c r="O180" s="1"/>
      <c r="P180" s="1"/>
    </row>
    <row r="181" spans="1:16" ht="14.25" customHeight="1" x14ac:dyDescent="0.25">
      <c r="A181" s="1"/>
      <c r="B181" s="1">
        <f ca="1"/>
        <v>169</v>
      </c>
      <c r="C181" s="1">
        <f ca="1">IFERROR(__xludf.DUMMYFUNCTION("""COMPUTED_VALUE"""),2023)</f>
        <v>2023</v>
      </c>
      <c r="D181" s="1">
        <f ca="1">IFERROR(__xludf.DUMMYFUNCTION("""COMPUTED_VALUE"""),10503)</f>
        <v>10503</v>
      </c>
      <c r="E181" s="1" t="str">
        <f ca="1">IFERROR(__xludf.DUMMYFUNCTION("""COMPUTED_VALUE"""),"Argumentation")</f>
        <v>Argumentation</v>
      </c>
      <c r="F181" s="1" t="str">
        <f ca="1">IFERROR(__xludf.DUMMYFUNCTION("""COMPUTED_VALUE"""),"1572-8374")</f>
        <v>1572-8374</v>
      </c>
      <c r="G181" s="1" t="str">
        <f ca="1">IFERROR(__xludf.DUMMYFUNCTION("""COMPUTED_VALUE"""),"0920-427X")</f>
        <v>0920-427X</v>
      </c>
      <c r="H181" s="27" t="str">
        <f ca="1">IFERROR(__xludf.DUMMYFUNCTION("""COMPUTED_VALUE"""),"https://link.springer.com/journal/10503")</f>
        <v>https://link.springer.com/journal/10503</v>
      </c>
      <c r="I181" s="1" t="str">
        <f ca="1">IFERROR(__xludf.DUMMYFUNCTION("""COMPUTED_VALUE"""),"Springer")</f>
        <v>Springer</v>
      </c>
      <c r="J181" s="1">
        <f ca="1">IFERROR(__xludf.DUMMYFUNCTION("""COMPUTED_VALUE"""),2000)</f>
        <v>2000</v>
      </c>
      <c r="K181" s="1" t="str">
        <f ca="1">IFERROR(__xludf.DUMMYFUNCTION("""COMPUTED_VALUE"""),"Education")</f>
        <v>Education</v>
      </c>
      <c r="L181" s="1" t="str">
        <f ca="1">IFERROR(__xludf.DUMMYFUNCTION("""COMPUTED_VALUE"""),"〇")</f>
        <v>〇</v>
      </c>
      <c r="M181" s="1" t="str">
        <f ca="1">IFERROR(__xludf.DUMMYFUNCTION("""COMPUTED_VALUE"""),"〇")</f>
        <v>〇</v>
      </c>
      <c r="N181" s="1"/>
      <c r="O181" s="1"/>
      <c r="P181" s="1"/>
    </row>
    <row r="182" spans="1:16" ht="14.25" customHeight="1" x14ac:dyDescent="0.25">
      <c r="A182" s="1"/>
      <c r="B182" s="1">
        <f ca="1"/>
        <v>170</v>
      </c>
      <c r="C182" s="1">
        <f ca="1">IFERROR(__xludf.DUMMYFUNCTION("""COMPUTED_VALUE"""),2023)</f>
        <v>2023</v>
      </c>
      <c r="D182" s="1">
        <f ca="1">IFERROR(__xludf.DUMMYFUNCTION("""COMPUTED_VALUE"""),13330)</f>
        <v>13330</v>
      </c>
      <c r="E182" s="1" t="str">
        <f ca="1">IFERROR(__xludf.DUMMYFUNCTION("""COMPUTED_VALUE"""),"Arid Ecosystems")</f>
        <v>Arid Ecosystems</v>
      </c>
      <c r="F182" s="1" t="str">
        <f ca="1">IFERROR(__xludf.DUMMYFUNCTION("""COMPUTED_VALUE"""),"2079-0988")</f>
        <v>2079-0988</v>
      </c>
      <c r="G182" s="1" t="str">
        <f ca="1">IFERROR(__xludf.DUMMYFUNCTION("""COMPUTED_VALUE"""),"2079-0961")</f>
        <v>2079-0961</v>
      </c>
      <c r="H182" s="27" t="str">
        <f ca="1">IFERROR(__xludf.DUMMYFUNCTION("""COMPUTED_VALUE"""),"https://link.springer.com/journal/13330")</f>
        <v>https://link.springer.com/journal/13330</v>
      </c>
      <c r="I182" s="1" t="str">
        <f ca="1">IFERROR(__xludf.DUMMYFUNCTION("""COMPUTED_VALUE"""),"Pleiades Publishing")</f>
        <v>Pleiades Publishing</v>
      </c>
      <c r="J182" s="1">
        <f ca="1">IFERROR(__xludf.DUMMYFUNCTION("""COMPUTED_VALUE"""),2011)</f>
        <v>2011</v>
      </c>
      <c r="K182" s="1" t="str">
        <f ca="1">IFERROR(__xludf.DUMMYFUNCTION("""COMPUTED_VALUE"""),"Biomedical and Life Sciences")</f>
        <v>Biomedical and Life Sciences</v>
      </c>
      <c r="L182" s="1" t="str">
        <f ca="1">IFERROR(__xludf.DUMMYFUNCTION("""COMPUTED_VALUE"""),"〇")</f>
        <v>〇</v>
      </c>
      <c r="M182" s="1"/>
      <c r="N182" s="1" t="str">
        <f ca="1">IFERROR(__xludf.DUMMYFUNCTION("""COMPUTED_VALUE"""),"SNS11")</f>
        <v>SNS11</v>
      </c>
      <c r="O182" s="1"/>
      <c r="P182" s="1"/>
    </row>
    <row r="183" spans="1:16" ht="14.25" customHeight="1" x14ac:dyDescent="0.25">
      <c r="A183" s="1"/>
      <c r="B183" s="1">
        <f ca="1"/>
        <v>171</v>
      </c>
      <c r="C183" s="1">
        <f ca="1">IFERROR(__xludf.DUMMYFUNCTION("""COMPUTED_VALUE"""),2023)</f>
        <v>2023</v>
      </c>
      <c r="D183" s="1">
        <f ca="1">IFERROR(__xludf.DUMMYFUNCTION("""COMPUTED_VALUE"""),40598)</f>
        <v>40598</v>
      </c>
      <c r="E183" s="1" t="str">
        <f ca="1">IFERROR(__xludf.DUMMYFUNCTION("""COMPUTED_VALUE"""),"Arnold Mathematical Journal")</f>
        <v>Arnold Mathematical Journal</v>
      </c>
      <c r="F183" s="1" t="str">
        <f ca="1">IFERROR(__xludf.DUMMYFUNCTION("""COMPUTED_VALUE"""),"2199-6806")</f>
        <v>2199-6806</v>
      </c>
      <c r="G183" s="1" t="str">
        <f ca="1">IFERROR(__xludf.DUMMYFUNCTION("""COMPUTED_VALUE"""),"2199-6792")</f>
        <v>2199-6792</v>
      </c>
      <c r="H183" s="27" t="str">
        <f ca="1">IFERROR(__xludf.DUMMYFUNCTION("""COMPUTED_VALUE"""),"https://link.springer.com/journal/40598")</f>
        <v>https://link.springer.com/journal/40598</v>
      </c>
      <c r="I183" s="1" t="str">
        <f ca="1">IFERROR(__xludf.DUMMYFUNCTION("""COMPUTED_VALUE"""),"Springer")</f>
        <v>Springer</v>
      </c>
      <c r="J183" s="1">
        <f ca="1">IFERROR(__xludf.DUMMYFUNCTION("""COMPUTED_VALUE"""),2015)</f>
        <v>2015</v>
      </c>
      <c r="K183" s="1" t="str">
        <f ca="1">IFERROR(__xludf.DUMMYFUNCTION("""COMPUTED_VALUE"""),"Mathematics and Statistics")</f>
        <v>Mathematics and Statistics</v>
      </c>
      <c r="L183" s="1" t="str">
        <f ca="1">IFERROR(__xludf.DUMMYFUNCTION("""COMPUTED_VALUE"""),"〇")</f>
        <v>〇</v>
      </c>
      <c r="M183" s="1"/>
      <c r="N183" s="1" t="str">
        <f ca="1">IFERROR(__xludf.DUMMYFUNCTION("""COMPUTED_VALUE"""),"SNS15")</f>
        <v>SNS15</v>
      </c>
      <c r="O183" s="1"/>
      <c r="P183" s="1"/>
    </row>
    <row r="184" spans="1:16" ht="14.25" customHeight="1" x14ac:dyDescent="0.25">
      <c r="A184" s="1"/>
      <c r="B184" s="1">
        <f ca="1"/>
        <v>172</v>
      </c>
      <c r="C184" s="1">
        <f ca="1">IFERROR(__xludf.DUMMYFUNCTION("""COMPUTED_VALUE"""),2023)</f>
        <v>2023</v>
      </c>
      <c r="D184" s="1">
        <f ca="1">IFERROR(__xludf.DUMMYFUNCTION("""COMPUTED_VALUE"""),11829)</f>
        <v>11829</v>
      </c>
      <c r="E184" s="1" t="str">
        <f ca="1">IFERROR(__xludf.DUMMYFUNCTION("""COMPUTED_VALUE"""),"Arthropod-Plant Interactions")</f>
        <v>Arthropod-Plant Interactions</v>
      </c>
      <c r="F184" s="1" t="str">
        <f ca="1">IFERROR(__xludf.DUMMYFUNCTION("""COMPUTED_VALUE"""),"1872-8847")</f>
        <v>1872-8847</v>
      </c>
      <c r="G184" s="1"/>
      <c r="H184" s="27" t="str">
        <f ca="1">IFERROR(__xludf.DUMMYFUNCTION("""COMPUTED_VALUE"""),"https://link.springer.com/journal/11829")</f>
        <v>https://link.springer.com/journal/11829</v>
      </c>
      <c r="I184" s="1" t="str">
        <f ca="1">IFERROR(__xludf.DUMMYFUNCTION("""COMPUTED_VALUE"""),"Springer")</f>
        <v>Springer</v>
      </c>
      <c r="J184" s="1">
        <f ca="1">IFERROR(__xludf.DUMMYFUNCTION("""COMPUTED_VALUE"""),2007)</f>
        <v>2007</v>
      </c>
      <c r="K184" s="1" t="str">
        <f ca="1">IFERROR(__xludf.DUMMYFUNCTION("""COMPUTED_VALUE"""),"Biomedical and Life Sciences")</f>
        <v>Biomedical and Life Sciences</v>
      </c>
      <c r="L184" s="1"/>
      <c r="M184" s="1" t="str">
        <f ca="1">IFERROR(__xludf.DUMMYFUNCTION("""COMPUTED_VALUE"""),"〇")</f>
        <v>〇</v>
      </c>
      <c r="N184" s="1" t="str">
        <f ca="1">IFERROR(__xludf.DUMMYFUNCTION("""COMPUTED_VALUE"""),"SNS7")</f>
        <v>SNS7</v>
      </c>
      <c r="O184" s="1"/>
      <c r="P184" s="1"/>
    </row>
    <row r="185" spans="1:16" ht="14.25" customHeight="1" x14ac:dyDescent="0.25">
      <c r="A185" s="1"/>
      <c r="B185" s="1">
        <f ca="1"/>
        <v>173</v>
      </c>
      <c r="C185" s="1">
        <f ca="1">IFERROR(__xludf.DUMMYFUNCTION("""COMPUTED_VALUE"""),2023)</f>
        <v>2023</v>
      </c>
      <c r="D185" s="1">
        <f ca="1">IFERROR(__xludf.DUMMYFUNCTION("""COMPUTED_VALUE"""),142)</f>
        <v>142</v>
      </c>
      <c r="E185" s="1" t="str">
        <f ca="1">IFERROR(__xludf.DUMMYFUNCTION("""COMPUTED_VALUE"""),"Arthroskopie")</f>
        <v>Arthroskopie</v>
      </c>
      <c r="F185" s="1" t="str">
        <f ca="1">IFERROR(__xludf.DUMMYFUNCTION("""COMPUTED_VALUE"""),"1434-3924")</f>
        <v>1434-3924</v>
      </c>
      <c r="G185" s="1" t="str">
        <f ca="1">IFERROR(__xludf.DUMMYFUNCTION("""COMPUTED_VALUE"""),"0933-7946")</f>
        <v>0933-7946</v>
      </c>
      <c r="H185" s="27" t="str">
        <f ca="1">IFERROR(__xludf.DUMMYFUNCTION("""COMPUTED_VALUE"""),"https://link.springer.com/journal/142")</f>
        <v>https://link.springer.com/journal/142</v>
      </c>
      <c r="I185" s="1" t="str">
        <f ca="1">IFERROR(__xludf.DUMMYFUNCTION("""COMPUTED_VALUE"""),"SpringerMedizin")</f>
        <v>SpringerMedizin</v>
      </c>
      <c r="J185" s="1">
        <f ca="1">IFERROR(__xludf.DUMMYFUNCTION("""COMPUTED_VALUE"""),2000)</f>
        <v>2000</v>
      </c>
      <c r="K185" s="1" t="str">
        <f ca="1">IFERROR(__xludf.DUMMYFUNCTION("""COMPUTED_VALUE"""),"Medicine")</f>
        <v>Medicine</v>
      </c>
      <c r="L185" s="1" t="str">
        <f ca="1">IFERROR(__xludf.DUMMYFUNCTION("""COMPUTED_VALUE"""),"〇")</f>
        <v>〇</v>
      </c>
      <c r="M185" s="1" t="str">
        <f ca="1">IFERROR(__xludf.DUMMYFUNCTION("""COMPUTED_VALUE"""),"〇")</f>
        <v>〇</v>
      </c>
      <c r="N185" s="1"/>
      <c r="O185" s="1"/>
      <c r="P185" s="1"/>
    </row>
    <row r="186" spans="1:16" ht="14.25" customHeight="1" x14ac:dyDescent="0.25">
      <c r="A186" s="1"/>
      <c r="B186" s="1">
        <f ca="1"/>
        <v>174</v>
      </c>
      <c r="C186" s="1">
        <f ca="1">IFERROR(__xludf.DUMMYFUNCTION("""COMPUTED_VALUE"""),2023)</f>
        <v>2023</v>
      </c>
      <c r="D186" s="1">
        <f ca="1">IFERROR(__xludf.DUMMYFUNCTION("""COMPUTED_VALUE"""),10506)</f>
        <v>10506</v>
      </c>
      <c r="E186" s="1" t="str">
        <f ca="1">IFERROR(__xludf.DUMMYFUNCTION("""COMPUTED_VALUE"""),"Artificial Intelligence and Law")</f>
        <v>Artificial Intelligence and Law</v>
      </c>
      <c r="F186" s="1" t="str">
        <f ca="1">IFERROR(__xludf.DUMMYFUNCTION("""COMPUTED_VALUE"""),"1572-8382")</f>
        <v>1572-8382</v>
      </c>
      <c r="G186" s="1" t="str">
        <f ca="1">IFERROR(__xludf.DUMMYFUNCTION("""COMPUTED_VALUE"""),"0924-8463")</f>
        <v>0924-8463</v>
      </c>
      <c r="H186" s="27" t="str">
        <f ca="1">IFERROR(__xludf.DUMMYFUNCTION("""COMPUTED_VALUE"""),"https://link.springer.com/journal/10506")</f>
        <v>https://link.springer.com/journal/10506</v>
      </c>
      <c r="I186" s="1" t="str">
        <f ca="1">IFERROR(__xludf.DUMMYFUNCTION("""COMPUTED_VALUE"""),"Springer")</f>
        <v>Springer</v>
      </c>
      <c r="J186" s="1">
        <f ca="1">IFERROR(__xludf.DUMMYFUNCTION("""COMPUTED_VALUE"""),2000)</f>
        <v>2000</v>
      </c>
      <c r="K186" s="1" t="str">
        <f ca="1">IFERROR(__xludf.DUMMYFUNCTION("""COMPUTED_VALUE"""),"Computer Science")</f>
        <v>Computer Science</v>
      </c>
      <c r="L186" s="1" t="str">
        <f ca="1">IFERROR(__xludf.DUMMYFUNCTION("""COMPUTED_VALUE"""),"〇")</f>
        <v>〇</v>
      </c>
      <c r="M186" s="1" t="str">
        <f ca="1">IFERROR(__xludf.DUMMYFUNCTION("""COMPUTED_VALUE"""),"〇")</f>
        <v>〇</v>
      </c>
      <c r="N186" s="1"/>
      <c r="O186" s="1"/>
      <c r="P186" s="1"/>
    </row>
    <row r="187" spans="1:16" ht="14.25" customHeight="1" x14ac:dyDescent="0.25">
      <c r="A187" s="1"/>
      <c r="B187" s="1">
        <f ca="1"/>
        <v>175</v>
      </c>
      <c r="C187" s="1">
        <f ca="1">IFERROR(__xludf.DUMMYFUNCTION("""COMPUTED_VALUE"""),2023)</f>
        <v>2023</v>
      </c>
      <c r="D187" s="1">
        <f ca="1">IFERROR(__xludf.DUMMYFUNCTION("""COMPUTED_VALUE"""),10462)</f>
        <v>10462</v>
      </c>
      <c r="E187" s="1" t="str">
        <f ca="1">IFERROR(__xludf.DUMMYFUNCTION("""COMPUTED_VALUE"""),"Artificial Intelligence Review")</f>
        <v>Artificial Intelligence Review</v>
      </c>
      <c r="F187" s="1" t="str">
        <f ca="1">IFERROR(__xludf.DUMMYFUNCTION("""COMPUTED_VALUE"""),"1573-7462")</f>
        <v>1573-7462</v>
      </c>
      <c r="G187" s="1" t="str">
        <f ca="1">IFERROR(__xludf.DUMMYFUNCTION("""COMPUTED_VALUE"""),"0269-2821")</f>
        <v>0269-2821</v>
      </c>
      <c r="H187" s="27" t="str">
        <f ca="1">IFERROR(__xludf.DUMMYFUNCTION("""COMPUTED_VALUE"""),"https://link.springer.com/journal/10462")</f>
        <v>https://link.springer.com/journal/10462</v>
      </c>
      <c r="I187" s="1" t="str">
        <f ca="1">IFERROR(__xludf.DUMMYFUNCTION("""COMPUTED_VALUE"""),"Springer")</f>
        <v>Springer</v>
      </c>
      <c r="J187" s="1">
        <f ca="1">IFERROR(__xludf.DUMMYFUNCTION("""COMPUTED_VALUE"""),2000)</f>
        <v>2000</v>
      </c>
      <c r="K187" s="1" t="str">
        <f ca="1">IFERROR(__xludf.DUMMYFUNCTION("""COMPUTED_VALUE"""),"Computer Science")</f>
        <v>Computer Science</v>
      </c>
      <c r="L187" s="1" t="str">
        <f ca="1">IFERROR(__xludf.DUMMYFUNCTION("""COMPUTED_VALUE"""),"〇")</f>
        <v>〇</v>
      </c>
      <c r="M187" s="1" t="str">
        <f ca="1">IFERROR(__xludf.DUMMYFUNCTION("""COMPUTED_VALUE"""),"〇")</f>
        <v>〇</v>
      </c>
      <c r="N187" s="1"/>
      <c r="O187" s="1"/>
      <c r="P187" s="1"/>
    </row>
    <row r="188" spans="1:16" ht="14.25" customHeight="1" x14ac:dyDescent="0.25">
      <c r="A188" s="1"/>
      <c r="B188" s="1">
        <f ca="1"/>
        <v>176</v>
      </c>
      <c r="C188" s="1">
        <f ca="1">IFERROR(__xludf.DUMMYFUNCTION("""COMPUTED_VALUE"""),2023)</f>
        <v>2023</v>
      </c>
      <c r="D188" s="1">
        <f ca="1">IFERROR(__xludf.DUMMYFUNCTION("""COMPUTED_VALUE"""),10015)</f>
        <v>10015</v>
      </c>
      <c r="E188" s="1" t="str">
        <f ca="1">IFERROR(__xludf.DUMMYFUNCTION("""COMPUTED_VALUE"""),"Artificial Life and Robotics")</f>
        <v>Artificial Life and Robotics</v>
      </c>
      <c r="F188" s="1" t="str">
        <f ca="1">IFERROR(__xludf.DUMMYFUNCTION("""COMPUTED_VALUE"""),"1614-7456")</f>
        <v>1614-7456</v>
      </c>
      <c r="G188" s="1" t="str">
        <f ca="1">IFERROR(__xludf.DUMMYFUNCTION("""COMPUTED_VALUE"""),"1433-5298")</f>
        <v>1433-5298</v>
      </c>
      <c r="H188" s="27" t="str">
        <f ca="1">IFERROR(__xludf.DUMMYFUNCTION("""COMPUTED_VALUE"""),"https://link.springer.com/journal/10015")</f>
        <v>https://link.springer.com/journal/10015</v>
      </c>
      <c r="I188" s="1" t="str">
        <f ca="1">IFERROR(__xludf.DUMMYFUNCTION("""COMPUTED_VALUE"""),"Springer")</f>
        <v>Springer</v>
      </c>
      <c r="J188" s="1">
        <f ca="1">IFERROR(__xludf.DUMMYFUNCTION("""COMPUTED_VALUE"""),2000)</f>
        <v>2000</v>
      </c>
      <c r="K188" s="1" t="str">
        <f ca="1">IFERROR(__xludf.DUMMYFUNCTION("""COMPUTED_VALUE"""),"Computer Science")</f>
        <v>Computer Science</v>
      </c>
      <c r="L188" s="1" t="str">
        <f ca="1">IFERROR(__xludf.DUMMYFUNCTION("""COMPUTED_VALUE"""),"〇")</f>
        <v>〇</v>
      </c>
      <c r="M188" s="1" t="str">
        <f ca="1">IFERROR(__xludf.DUMMYFUNCTION("""COMPUTED_VALUE"""),"〇")</f>
        <v>〇</v>
      </c>
      <c r="N188" s="1"/>
      <c r="O188" s="1"/>
      <c r="P188" s="1"/>
    </row>
    <row r="189" spans="1:16" ht="14.25" customHeight="1" x14ac:dyDescent="0.25">
      <c r="A189" s="1"/>
      <c r="B189" s="1">
        <f ca="1"/>
        <v>177</v>
      </c>
      <c r="C189" s="1">
        <f ca="1">IFERROR(__xludf.DUMMYFUNCTION("""COMPUTED_VALUE"""),2023)</f>
        <v>2023</v>
      </c>
      <c r="D189" s="1">
        <f ca="1">IFERROR(__xludf.DUMMYFUNCTION("""COMPUTED_VALUE"""),10308)</f>
        <v>10308</v>
      </c>
      <c r="E189" s="1" t="str">
        <f ca="1">IFERROR(__xludf.DUMMYFUNCTION("""COMPUTED_VALUE"""),"Asia Europe Journal")</f>
        <v>Asia Europe Journal</v>
      </c>
      <c r="F189" s="1" t="str">
        <f ca="1">IFERROR(__xludf.DUMMYFUNCTION("""COMPUTED_VALUE"""),"1612-1031")</f>
        <v>1612-1031</v>
      </c>
      <c r="G189" s="1" t="str">
        <f ca="1">IFERROR(__xludf.DUMMYFUNCTION("""COMPUTED_VALUE"""),"1610-2932")</f>
        <v>1610-2932</v>
      </c>
      <c r="H189" s="27" t="str">
        <f ca="1">IFERROR(__xludf.DUMMYFUNCTION("""COMPUTED_VALUE"""),"https://link.springer.com/journal/10308")</f>
        <v>https://link.springer.com/journal/10308</v>
      </c>
      <c r="I189" s="1" t="str">
        <f ca="1">IFERROR(__xludf.DUMMYFUNCTION("""COMPUTED_VALUE"""),"Springer")</f>
        <v>Springer</v>
      </c>
      <c r="J189" s="1">
        <f ca="1">IFERROR(__xludf.DUMMYFUNCTION("""COMPUTED_VALUE"""),2003)</f>
        <v>2003</v>
      </c>
      <c r="K189" s="1" t="str">
        <f ca="1">IFERROR(__xludf.DUMMYFUNCTION("""COMPUTED_VALUE"""),"Social Sciences")</f>
        <v>Social Sciences</v>
      </c>
      <c r="L189" s="1" t="str">
        <f ca="1">IFERROR(__xludf.DUMMYFUNCTION("""COMPUTED_VALUE"""),"〇")</f>
        <v>〇</v>
      </c>
      <c r="M189" s="1" t="str">
        <f ca="1">IFERROR(__xludf.DUMMYFUNCTION("""COMPUTED_VALUE"""),"〇")</f>
        <v>〇</v>
      </c>
      <c r="N189" s="1"/>
      <c r="O189" s="1"/>
      <c r="P189" s="1"/>
    </row>
    <row r="190" spans="1:16" ht="14.25" customHeight="1" x14ac:dyDescent="0.25">
      <c r="A190" s="1"/>
      <c r="B190" s="1">
        <f ca="1"/>
        <v>178</v>
      </c>
      <c r="C190" s="1">
        <f ca="1">IFERROR(__xludf.DUMMYFUNCTION("""COMPUTED_VALUE"""),2023)</f>
        <v>2023</v>
      </c>
      <c r="D190" s="1">
        <f ca="1">IFERROR(__xludf.DUMMYFUNCTION("""COMPUTED_VALUE"""),12564)</f>
        <v>12564</v>
      </c>
      <c r="E190" s="1" t="str">
        <f ca="1">IFERROR(__xludf.DUMMYFUNCTION("""COMPUTED_VALUE"""),"Asia Pacific Education Review")</f>
        <v>Asia Pacific Education Review</v>
      </c>
      <c r="F190" s="1" t="str">
        <f ca="1">IFERROR(__xludf.DUMMYFUNCTION("""COMPUTED_VALUE"""),"1876-407X")</f>
        <v>1876-407X</v>
      </c>
      <c r="G190" s="1" t="str">
        <f ca="1">IFERROR(__xludf.DUMMYFUNCTION("""COMPUTED_VALUE"""),"1598-1037")</f>
        <v>1598-1037</v>
      </c>
      <c r="H190" s="27" t="str">
        <f ca="1">IFERROR(__xludf.DUMMYFUNCTION("""COMPUTED_VALUE"""),"https://link.springer.com/journal/12564")</f>
        <v>https://link.springer.com/journal/12564</v>
      </c>
      <c r="I190" s="1" t="str">
        <f ca="1">IFERROR(__xludf.DUMMYFUNCTION("""COMPUTED_VALUE"""),"Springer")</f>
        <v>Springer</v>
      </c>
      <c r="J190" s="1">
        <f ca="1">IFERROR(__xludf.DUMMYFUNCTION("""COMPUTED_VALUE"""),2000)</f>
        <v>2000</v>
      </c>
      <c r="K190" s="1" t="str">
        <f ca="1">IFERROR(__xludf.DUMMYFUNCTION("""COMPUTED_VALUE"""),"Education")</f>
        <v>Education</v>
      </c>
      <c r="L190" s="1" t="str">
        <f ca="1">IFERROR(__xludf.DUMMYFUNCTION("""COMPUTED_VALUE"""),"〇")</f>
        <v>〇</v>
      </c>
      <c r="M190" s="1"/>
      <c r="N190" s="1" t="str">
        <f ca="1">IFERROR(__xludf.DUMMYFUNCTION("""COMPUTED_VALUE"""),"TO9")</f>
        <v>TO9</v>
      </c>
      <c r="O190" s="1"/>
      <c r="P190" s="1"/>
    </row>
    <row r="191" spans="1:16" ht="14.25" customHeight="1" x14ac:dyDescent="0.25">
      <c r="A191" s="1"/>
      <c r="B191" s="1">
        <f ca="1"/>
        <v>179</v>
      </c>
      <c r="C191" s="1">
        <f ca="1">IFERROR(__xludf.DUMMYFUNCTION("""COMPUTED_VALUE"""),2023)</f>
        <v>2023</v>
      </c>
      <c r="D191" s="1">
        <f ca="1">IFERROR(__xludf.DUMMYFUNCTION("""COMPUTED_VALUE"""),10490)</f>
        <v>10490</v>
      </c>
      <c r="E191" s="1" t="str">
        <f ca="1">IFERROR(__xludf.DUMMYFUNCTION("""COMPUTED_VALUE"""),"Asia Pacific Journal of Management")</f>
        <v>Asia Pacific Journal of Management</v>
      </c>
      <c r="F191" s="1" t="str">
        <f ca="1">IFERROR(__xludf.DUMMYFUNCTION("""COMPUTED_VALUE"""),"1572-9958")</f>
        <v>1572-9958</v>
      </c>
      <c r="G191" s="1" t="str">
        <f ca="1">IFERROR(__xludf.DUMMYFUNCTION("""COMPUTED_VALUE"""),"0217-4561")</f>
        <v>0217-4561</v>
      </c>
      <c r="H191" s="27" t="str">
        <f ca="1">IFERROR(__xludf.DUMMYFUNCTION("""COMPUTED_VALUE"""),"https://link.springer.com/journal/10490")</f>
        <v>https://link.springer.com/journal/10490</v>
      </c>
      <c r="I191" s="1" t="str">
        <f ca="1">IFERROR(__xludf.DUMMYFUNCTION("""COMPUTED_VALUE"""),"Springer")</f>
        <v>Springer</v>
      </c>
      <c r="J191" s="1">
        <f ca="1">IFERROR(__xludf.DUMMYFUNCTION("""COMPUTED_VALUE"""),2000)</f>
        <v>2000</v>
      </c>
      <c r="K191" s="1" t="str">
        <f ca="1">IFERROR(__xludf.DUMMYFUNCTION("""COMPUTED_VALUE"""),"Business and Management")</f>
        <v>Business and Management</v>
      </c>
      <c r="L191" s="1" t="str">
        <f ca="1">IFERROR(__xludf.DUMMYFUNCTION("""COMPUTED_VALUE"""),"〇")</f>
        <v>〇</v>
      </c>
      <c r="M191" s="1" t="str">
        <f ca="1">IFERROR(__xludf.DUMMYFUNCTION("""COMPUTED_VALUE"""),"〇")</f>
        <v>〇</v>
      </c>
      <c r="N191" s="1"/>
      <c r="O191" s="1"/>
      <c r="P191" s="1"/>
    </row>
    <row r="192" spans="1:16" ht="14.25" customHeight="1" x14ac:dyDescent="0.25">
      <c r="A192" s="1"/>
      <c r="B192" s="1">
        <f ca="1"/>
        <v>180</v>
      </c>
      <c r="C192" s="1">
        <f ca="1">IFERROR(__xludf.DUMMYFUNCTION("""COMPUTED_VALUE"""),2023)</f>
        <v>2023</v>
      </c>
      <c r="D192" s="1">
        <f ca="1">IFERROR(__xludf.DUMMYFUNCTION("""COMPUTED_VALUE"""),41826)</f>
        <v>41826</v>
      </c>
      <c r="E192" s="1" t="str">
        <f ca="1">IFERROR(__xludf.DUMMYFUNCTION("""COMPUTED_VALUE"""),"Asian Archaeology")</f>
        <v>Asian Archaeology</v>
      </c>
      <c r="F192" s="1" t="str">
        <f ca="1">IFERROR(__xludf.DUMMYFUNCTION("""COMPUTED_VALUE"""),"2520-8101")</f>
        <v>2520-8101</v>
      </c>
      <c r="G192" s="1" t="str">
        <f ca="1">IFERROR(__xludf.DUMMYFUNCTION("""COMPUTED_VALUE"""),"2520-8098")</f>
        <v>2520-8098</v>
      </c>
      <c r="H192" s="27" t="str">
        <f ca="1">IFERROR(__xludf.DUMMYFUNCTION("""COMPUTED_VALUE"""),"https://link.springer.com/journal/41826")</f>
        <v>https://link.springer.com/journal/41826</v>
      </c>
      <c r="I192" s="1" t="str">
        <f ca="1">IFERROR(__xludf.DUMMYFUNCTION("""COMPUTED_VALUE"""),"Springer")</f>
        <v>Springer</v>
      </c>
      <c r="J192" s="1">
        <f ca="1">IFERROR(__xludf.DUMMYFUNCTION("""COMPUTED_VALUE"""),2018)</f>
        <v>2018</v>
      </c>
      <c r="K192" s="1" t="str">
        <f ca="1">IFERROR(__xludf.DUMMYFUNCTION("""COMPUTED_VALUE"""),"Social Sciences")</f>
        <v>Social Sciences</v>
      </c>
      <c r="L192" s="1" t="str">
        <f ca="1">IFERROR(__xludf.DUMMYFUNCTION("""COMPUTED_VALUE"""),"〇")</f>
        <v>〇</v>
      </c>
      <c r="M192" s="1"/>
      <c r="N192" s="1" t="str">
        <f ca="1">IFERROR(__xludf.DUMMYFUNCTION("""COMPUTED_VALUE"""),"SNS17")</f>
        <v>SNS17</v>
      </c>
      <c r="O192" s="1"/>
      <c r="P192" s="1"/>
    </row>
    <row r="193" spans="1:16" ht="14.25" customHeight="1" x14ac:dyDescent="0.25">
      <c r="A193" s="1"/>
      <c r="B193" s="1">
        <f ca="1"/>
        <v>181</v>
      </c>
      <c r="C193" s="1">
        <f ca="1">IFERROR(__xludf.DUMMYFUNCTION("""COMPUTED_VALUE"""),2023)</f>
        <v>2023</v>
      </c>
      <c r="D193" s="1">
        <f ca="1">IFERROR(__xludf.DUMMYFUNCTION("""COMPUTED_VALUE"""),41649)</f>
        <v>41649</v>
      </c>
      <c r="E193" s="1" t="str">
        <f ca="1">IFERROR(__xludf.DUMMYFUNCTION("""COMPUTED_VALUE"""),"Asian Bioethics Review")</f>
        <v>Asian Bioethics Review</v>
      </c>
      <c r="F193" s="1" t="str">
        <f ca="1">IFERROR(__xludf.DUMMYFUNCTION("""COMPUTED_VALUE"""),"1793-9453")</f>
        <v>1793-9453</v>
      </c>
      <c r="G193" s="1" t="str">
        <f ca="1">IFERROR(__xludf.DUMMYFUNCTION("""COMPUTED_VALUE"""),"1793-8759")</f>
        <v>1793-8759</v>
      </c>
      <c r="H193" s="27" t="str">
        <f ca="1">IFERROR(__xludf.DUMMYFUNCTION("""COMPUTED_VALUE"""),"https://link.springer.com/journal/41649")</f>
        <v>https://link.springer.com/journal/41649</v>
      </c>
      <c r="I193" s="1" t="str">
        <f ca="1">IFERROR(__xludf.DUMMYFUNCTION("""COMPUTED_VALUE"""),"Springer")</f>
        <v>Springer</v>
      </c>
      <c r="J193" s="1">
        <f ca="1">IFERROR(__xludf.DUMMYFUNCTION("""COMPUTED_VALUE"""),2017)</f>
        <v>2017</v>
      </c>
      <c r="K193" s="1" t="str">
        <f ca="1">IFERROR(__xludf.DUMMYFUNCTION("""COMPUTED_VALUE"""),"Education")</f>
        <v>Education</v>
      </c>
      <c r="L193" s="1" t="str">
        <f ca="1">IFERROR(__xludf.DUMMYFUNCTION("""COMPUTED_VALUE"""),"〇")</f>
        <v>〇</v>
      </c>
      <c r="M193" s="1"/>
      <c r="N193" s="1" t="str">
        <f ca="1">IFERROR(__xludf.DUMMYFUNCTION("""COMPUTED_VALUE"""),"TO17")</f>
        <v>TO17</v>
      </c>
      <c r="O193" s="1"/>
      <c r="P193" s="1"/>
    </row>
    <row r="194" spans="1:16" ht="14.25" customHeight="1" x14ac:dyDescent="0.25">
      <c r="A194" s="1"/>
      <c r="B194" s="1">
        <f ca="1"/>
        <v>182</v>
      </c>
      <c r="C194" s="1">
        <f ca="1">IFERROR(__xludf.DUMMYFUNCTION("""COMPUTED_VALUE"""),2023)</f>
        <v>2023</v>
      </c>
      <c r="D194" s="1">
        <f ca="1">IFERROR(__xludf.DUMMYFUNCTION("""COMPUTED_VALUE"""),13520)</f>
        <v>13520</v>
      </c>
      <c r="E194" s="1" t="str">
        <f ca="1">IFERROR(__xludf.DUMMYFUNCTION("""COMPUTED_VALUE"""),"Asian Journal of Business Ethics")</f>
        <v>Asian Journal of Business Ethics</v>
      </c>
      <c r="F194" s="1" t="str">
        <f ca="1">IFERROR(__xludf.DUMMYFUNCTION("""COMPUTED_VALUE"""),"2210-6731")</f>
        <v>2210-6731</v>
      </c>
      <c r="G194" s="1" t="str">
        <f ca="1">IFERROR(__xludf.DUMMYFUNCTION("""COMPUTED_VALUE"""),"2210-6723")</f>
        <v>2210-6723</v>
      </c>
      <c r="H194" s="27" t="str">
        <f ca="1">IFERROR(__xludf.DUMMYFUNCTION("""COMPUTED_VALUE"""),"https://link.springer.com/journal/13520")</f>
        <v>https://link.springer.com/journal/13520</v>
      </c>
      <c r="I194" s="1" t="str">
        <f ca="1">IFERROR(__xludf.DUMMYFUNCTION("""COMPUTED_VALUE"""),"Springer")</f>
        <v>Springer</v>
      </c>
      <c r="J194" s="1">
        <f ca="1">IFERROR(__xludf.DUMMYFUNCTION("""COMPUTED_VALUE"""),2012)</f>
        <v>2012</v>
      </c>
      <c r="K194" s="1" t="str">
        <f ca="1">IFERROR(__xludf.DUMMYFUNCTION("""COMPUTED_VALUE"""),"Education")</f>
        <v>Education</v>
      </c>
      <c r="L194" s="1" t="str">
        <f ca="1">IFERROR(__xludf.DUMMYFUNCTION("""COMPUTED_VALUE"""),"〇")</f>
        <v>〇</v>
      </c>
      <c r="M194" s="1"/>
      <c r="N194" s="1" t="str">
        <f ca="1">IFERROR(__xludf.DUMMYFUNCTION("""COMPUTED_VALUE"""),"SNS12")</f>
        <v>SNS12</v>
      </c>
      <c r="O194" s="1"/>
      <c r="P194" s="1"/>
    </row>
    <row r="195" spans="1:16" ht="14.25" customHeight="1" x14ac:dyDescent="0.25">
      <c r="A195" s="1"/>
      <c r="B195" s="1">
        <f ca="1"/>
        <v>183</v>
      </c>
      <c r="C195" s="1">
        <f ca="1">IFERROR(__xludf.DUMMYFUNCTION("""COMPUTED_VALUE"""),2023)</f>
        <v>2023</v>
      </c>
      <c r="D195" s="1">
        <f ca="1">IFERROR(__xludf.DUMMYFUNCTION("""COMPUTED_VALUE"""),42107)</f>
        <v>42107</v>
      </c>
      <c r="E195" s="1" t="str">
        <f ca="1">IFERROR(__xludf.DUMMYFUNCTION("""COMPUTED_VALUE"""),"Asian Journal of Civil Engineering")</f>
        <v>Asian Journal of Civil Engineering</v>
      </c>
      <c r="F195" s="1" t="str">
        <f ca="1">IFERROR(__xludf.DUMMYFUNCTION("""COMPUTED_VALUE"""),"2522-011X")</f>
        <v>2522-011X</v>
      </c>
      <c r="G195" s="1" t="str">
        <f ca="1">IFERROR(__xludf.DUMMYFUNCTION("""COMPUTED_VALUE"""),"1563-0854")</f>
        <v>1563-0854</v>
      </c>
      <c r="H195" s="27" t="str">
        <f ca="1">IFERROR(__xludf.DUMMYFUNCTION("""COMPUTED_VALUE"""),"https://link.springer.com/journal/42107")</f>
        <v>https://link.springer.com/journal/42107</v>
      </c>
      <c r="I195" s="1" t="str">
        <f ca="1">IFERROR(__xludf.DUMMYFUNCTION("""COMPUTED_VALUE"""),"Springer")</f>
        <v>Springer</v>
      </c>
      <c r="J195" s="1">
        <f ca="1">IFERROR(__xludf.DUMMYFUNCTION("""COMPUTED_VALUE"""),2018)</f>
        <v>2018</v>
      </c>
      <c r="K195" s="1" t="str">
        <f ca="1">IFERROR(__xludf.DUMMYFUNCTION("""COMPUTED_VALUE"""),"Engineering")</f>
        <v>Engineering</v>
      </c>
      <c r="L195" s="1" t="str">
        <f ca="1">IFERROR(__xludf.DUMMYFUNCTION("""COMPUTED_VALUE"""),"〇")</f>
        <v>〇</v>
      </c>
      <c r="M195" s="1"/>
      <c r="N195" s="1" t="str">
        <f ca="1">IFERROR(__xludf.DUMMYFUNCTION("""COMPUTED_VALUE"""),"TO18")</f>
        <v>TO18</v>
      </c>
      <c r="O195" s="1"/>
      <c r="P195" s="1"/>
    </row>
    <row r="196" spans="1:16" ht="14.25" customHeight="1" x14ac:dyDescent="0.25">
      <c r="A196" s="1"/>
      <c r="B196" s="1">
        <f ca="1"/>
        <v>184</v>
      </c>
      <c r="C196" s="1">
        <f ca="1">IFERROR(__xludf.DUMMYFUNCTION("""COMPUTED_VALUE"""),2023)</f>
        <v>2023</v>
      </c>
      <c r="D196" s="1">
        <f ca="1">IFERROR(__xludf.DUMMYFUNCTION("""COMPUTED_VALUE"""),11417)</f>
        <v>11417</v>
      </c>
      <c r="E196" s="1" t="str">
        <f ca="1">IFERROR(__xludf.DUMMYFUNCTION("""COMPUTED_VALUE"""),"Asian Journal of Criminology")</f>
        <v>Asian Journal of Criminology</v>
      </c>
      <c r="F196" s="1" t="str">
        <f ca="1">IFERROR(__xludf.DUMMYFUNCTION("""COMPUTED_VALUE"""),"1871-014X")</f>
        <v>1871-014X</v>
      </c>
      <c r="G196" s="1" t="str">
        <f ca="1">IFERROR(__xludf.DUMMYFUNCTION("""COMPUTED_VALUE"""),"1871-0131")</f>
        <v>1871-0131</v>
      </c>
      <c r="H196" s="27" t="str">
        <f ca="1">IFERROR(__xludf.DUMMYFUNCTION("""COMPUTED_VALUE"""),"https://link.springer.com/journal/11417")</f>
        <v>https://link.springer.com/journal/11417</v>
      </c>
      <c r="I196" s="1" t="str">
        <f ca="1">IFERROR(__xludf.DUMMYFUNCTION("""COMPUTED_VALUE"""),"Springer")</f>
        <v>Springer</v>
      </c>
      <c r="J196" s="1">
        <f ca="1">IFERROR(__xludf.DUMMYFUNCTION("""COMPUTED_VALUE"""),2006)</f>
        <v>2006</v>
      </c>
      <c r="K196" s="1" t="str">
        <f ca="1">IFERROR(__xludf.DUMMYFUNCTION("""COMPUTED_VALUE"""),"Law and Criminology")</f>
        <v>Law and Criminology</v>
      </c>
      <c r="L196" s="1" t="str">
        <f ca="1">IFERROR(__xludf.DUMMYFUNCTION("""COMPUTED_VALUE"""),"〇")</f>
        <v>〇</v>
      </c>
      <c r="M196" s="1" t="str">
        <f ca="1">IFERROR(__xludf.DUMMYFUNCTION("""COMPUTED_VALUE"""),"〇")</f>
        <v>〇</v>
      </c>
      <c r="N196" s="1"/>
      <c r="O196" s="1"/>
      <c r="P196" s="1"/>
    </row>
    <row r="197" spans="1:16" ht="14.25" customHeight="1" x14ac:dyDescent="0.25">
      <c r="A197" s="1"/>
      <c r="B197" s="1">
        <f ca="1"/>
        <v>185</v>
      </c>
      <c r="C197" s="1">
        <f ca="1">IFERROR(__xludf.DUMMYFUNCTION("""COMPUTED_VALUE"""),2023)</f>
        <v>2023</v>
      </c>
      <c r="D197" s="1">
        <f ca="1">IFERROR(__xludf.DUMMYFUNCTION("""COMPUTED_VALUE"""),44204)</f>
        <v>44204</v>
      </c>
      <c r="E197" s="1" t="str">
        <f ca="1">IFERROR(__xludf.DUMMYFUNCTION("""COMPUTED_VALUE"""),"Asian Journal of Philosophy")</f>
        <v>Asian Journal of Philosophy</v>
      </c>
      <c r="F197" s="1" t="str">
        <f ca="1">IFERROR(__xludf.DUMMYFUNCTION("""COMPUTED_VALUE"""),"2731-4642")</f>
        <v>2731-4642</v>
      </c>
      <c r="G197" s="1"/>
      <c r="H197" s="27" t="str">
        <f ca="1">IFERROR(__xludf.DUMMYFUNCTION("""COMPUTED_VALUE"""),"https://link.springer.com/journal/44204")</f>
        <v>https://link.springer.com/journal/44204</v>
      </c>
      <c r="I197" s="1" t="str">
        <f ca="1">IFERROR(__xludf.DUMMYFUNCTION("""COMPUTED_VALUE"""),"Springer")</f>
        <v>Springer</v>
      </c>
      <c r="J197" s="1"/>
      <c r="K197" s="1" t="str">
        <f ca="1">IFERROR(__xludf.DUMMYFUNCTION("""COMPUTED_VALUE"""),"Education")</f>
        <v>Education</v>
      </c>
      <c r="L197" s="1"/>
      <c r="M197" s="1"/>
      <c r="N197" s="1" t="str">
        <f ca="1">IFERROR(__xludf.DUMMYFUNCTION("""COMPUTED_VALUE"""),"SNS22")</f>
        <v>SNS22</v>
      </c>
      <c r="O197" s="1"/>
      <c r="P197" s="1"/>
    </row>
    <row r="198" spans="1:16" ht="14.25" customHeight="1" x14ac:dyDescent="0.25">
      <c r="A198" s="1"/>
      <c r="B198" s="1">
        <f ca="1"/>
        <v>186</v>
      </c>
      <c r="C198" s="1">
        <f ca="1">IFERROR(__xludf.DUMMYFUNCTION("""COMPUTED_VALUE"""),2023)</f>
        <v>2023</v>
      </c>
      <c r="D198" s="1">
        <f ca="1">IFERROR(__xludf.DUMMYFUNCTION("""COMPUTED_VALUE"""),10690)</f>
        <v>10690</v>
      </c>
      <c r="E198" s="1" t="str">
        <f ca="1">IFERROR(__xludf.DUMMYFUNCTION("""COMPUTED_VALUE"""),"Asia-Pacific Financial Markets")</f>
        <v>Asia-Pacific Financial Markets</v>
      </c>
      <c r="F198" s="1" t="str">
        <f ca="1">IFERROR(__xludf.DUMMYFUNCTION("""COMPUTED_VALUE"""),"1573-6946")</f>
        <v>1573-6946</v>
      </c>
      <c r="G198" s="1" t="str">
        <f ca="1">IFERROR(__xludf.DUMMYFUNCTION("""COMPUTED_VALUE"""),"1387-2834")</f>
        <v>1387-2834</v>
      </c>
      <c r="H198" s="27" t="str">
        <f ca="1">IFERROR(__xludf.DUMMYFUNCTION("""COMPUTED_VALUE"""),"https://link.springer.com/journal/10690")</f>
        <v>https://link.springer.com/journal/10690</v>
      </c>
      <c r="I198" s="1" t="str">
        <f ca="1">IFERROR(__xludf.DUMMYFUNCTION("""COMPUTED_VALUE"""),"Springer")</f>
        <v>Springer</v>
      </c>
      <c r="J198" s="1">
        <f ca="1">IFERROR(__xludf.DUMMYFUNCTION("""COMPUTED_VALUE"""),2000)</f>
        <v>2000</v>
      </c>
      <c r="K198" s="1" t="str">
        <f ca="1">IFERROR(__xludf.DUMMYFUNCTION("""COMPUTED_VALUE"""),"Economics and Finance")</f>
        <v>Economics and Finance</v>
      </c>
      <c r="L198" s="1" t="str">
        <f ca="1">IFERROR(__xludf.DUMMYFUNCTION("""COMPUTED_VALUE"""),"〇")</f>
        <v>〇</v>
      </c>
      <c r="M198" s="1" t="str">
        <f ca="1">IFERROR(__xludf.DUMMYFUNCTION("""COMPUTED_VALUE"""),"〇")</f>
        <v>〇</v>
      </c>
      <c r="N198" s="1"/>
      <c r="O198" s="1"/>
      <c r="P198" s="1"/>
    </row>
    <row r="199" spans="1:16" ht="14.25" customHeight="1" x14ac:dyDescent="0.25">
      <c r="A199" s="1"/>
      <c r="B199" s="1">
        <f ca="1"/>
        <v>187</v>
      </c>
      <c r="C199" s="1">
        <f ca="1">IFERROR(__xludf.DUMMYFUNCTION("""COMPUTED_VALUE"""),2023)</f>
        <v>2023</v>
      </c>
      <c r="D199" s="1">
        <f ca="1">IFERROR(__xludf.DUMMYFUNCTION("""COMPUTED_VALUE"""),13143)</f>
        <v>13143</v>
      </c>
      <c r="E199" s="1" t="str">
        <f ca="1">IFERROR(__xludf.DUMMYFUNCTION("""COMPUTED_VALUE"""),"Asia-Pacific Journal of Atmospheric Sciences")</f>
        <v>Asia-Pacific Journal of Atmospheric Sciences</v>
      </c>
      <c r="F199" s="1" t="str">
        <f ca="1">IFERROR(__xludf.DUMMYFUNCTION("""COMPUTED_VALUE"""),"1976-7951")</f>
        <v>1976-7951</v>
      </c>
      <c r="G199" s="1" t="str">
        <f ca="1">IFERROR(__xludf.DUMMYFUNCTION("""COMPUTED_VALUE"""),"1976-7633")</f>
        <v>1976-7633</v>
      </c>
      <c r="H199" s="27" t="str">
        <f ca="1">IFERROR(__xludf.DUMMYFUNCTION("""COMPUTED_VALUE"""),"https://link.springer.com/journal/13143")</f>
        <v>https://link.springer.com/journal/13143</v>
      </c>
      <c r="I199" s="1" t="str">
        <f ca="1">IFERROR(__xludf.DUMMYFUNCTION("""COMPUTED_VALUE"""),"Korean Meteorological Society, co-published with Springer")</f>
        <v>Korean Meteorological Society, co-published with Springer</v>
      </c>
      <c r="J199" s="1">
        <f ca="1">IFERROR(__xludf.DUMMYFUNCTION("""COMPUTED_VALUE"""),2010)</f>
        <v>2010</v>
      </c>
      <c r="K199" s="1" t="str">
        <f ca="1">IFERROR(__xludf.DUMMYFUNCTION("""COMPUTED_VALUE"""),"Earth and Environmental Science")</f>
        <v>Earth and Environmental Science</v>
      </c>
      <c r="L199" s="1" t="str">
        <f ca="1">IFERROR(__xludf.DUMMYFUNCTION("""COMPUTED_VALUE"""),"〇")</f>
        <v>〇</v>
      </c>
      <c r="M199" s="1"/>
      <c r="N199" s="1" t="str">
        <f ca="1">IFERROR(__xludf.DUMMYFUNCTION("""COMPUTED_VALUE"""),"TO10")</f>
        <v>TO10</v>
      </c>
      <c r="O199" s="1"/>
      <c r="P199" s="1"/>
    </row>
    <row r="200" spans="1:16" ht="14.25" customHeight="1" x14ac:dyDescent="0.25">
      <c r="A200" s="1"/>
      <c r="B200" s="1">
        <f ca="1"/>
        <v>188</v>
      </c>
      <c r="C200" s="1">
        <f ca="1">IFERROR(__xludf.DUMMYFUNCTION("""COMPUTED_VALUE"""),2023)</f>
        <v>2023</v>
      </c>
      <c r="D200" s="1">
        <f ca="1">IFERROR(__xludf.DUMMYFUNCTION("""COMPUTED_VALUE"""),41685)</f>
        <v>41685</v>
      </c>
      <c r="E200" s="1" t="str">
        <f ca="1">IFERROR(__xludf.DUMMYFUNCTION("""COMPUTED_VALUE"""),"Asia-Pacific Journal of Regional Science")</f>
        <v>Asia-Pacific Journal of Regional Science</v>
      </c>
      <c r="F200" s="1" t="str">
        <f ca="1">IFERROR(__xludf.DUMMYFUNCTION("""COMPUTED_VALUE"""),"2509-7954")</f>
        <v>2509-7954</v>
      </c>
      <c r="G200" s="1" t="str">
        <f ca="1">IFERROR(__xludf.DUMMYFUNCTION("""COMPUTED_VALUE"""),"2509-7946")</f>
        <v>2509-7946</v>
      </c>
      <c r="H200" s="27" t="str">
        <f ca="1">IFERROR(__xludf.DUMMYFUNCTION("""COMPUTED_VALUE"""),"https://link.springer.com/journal/41685")</f>
        <v>https://link.springer.com/journal/41685</v>
      </c>
      <c r="I200" s="1" t="str">
        <f ca="1">IFERROR(__xludf.DUMMYFUNCTION("""COMPUTED_VALUE"""),"Springer")</f>
        <v>Springer</v>
      </c>
      <c r="J200" s="1">
        <f ca="1">IFERROR(__xludf.DUMMYFUNCTION("""COMPUTED_VALUE"""),2017)</f>
        <v>2017</v>
      </c>
      <c r="K200" s="1" t="str">
        <f ca="1">IFERROR(__xludf.DUMMYFUNCTION("""COMPUTED_VALUE"""),"Economics and Finance")</f>
        <v>Economics and Finance</v>
      </c>
      <c r="L200" s="1" t="str">
        <f ca="1">IFERROR(__xludf.DUMMYFUNCTION("""COMPUTED_VALUE"""),"〇")</f>
        <v>〇</v>
      </c>
      <c r="M200" s="1"/>
      <c r="N200" s="1" t="str">
        <f ca="1">IFERROR(__xludf.DUMMYFUNCTION("""COMPUTED_VALUE"""),"SNS17")</f>
        <v>SNS17</v>
      </c>
      <c r="O200" s="1"/>
      <c r="P200" s="1"/>
    </row>
    <row r="201" spans="1:16" ht="14.25" customHeight="1" x14ac:dyDescent="0.25">
      <c r="A201" s="1"/>
      <c r="B201" s="1">
        <f ca="1"/>
        <v>189</v>
      </c>
      <c r="C201" s="1">
        <f ca="1">IFERROR(__xludf.DUMMYFUNCTION("""COMPUTED_VALUE"""),2023)</f>
        <v>2023</v>
      </c>
      <c r="D201" s="1">
        <f ca="1">IFERROR(__xludf.DUMMYFUNCTION("""COMPUTED_VALUE"""),10182)</f>
        <v>10182</v>
      </c>
      <c r="E201" s="1" t="str">
        <f ca="1">IFERROR(__xludf.DUMMYFUNCTION("""COMPUTED_VALUE"""),"AStA Advances in Statistical Analysis")</f>
        <v>AStA Advances in Statistical Analysis</v>
      </c>
      <c r="F201" s="1" t="str">
        <f ca="1">IFERROR(__xludf.DUMMYFUNCTION("""COMPUTED_VALUE"""),"1863-818X")</f>
        <v>1863-818X</v>
      </c>
      <c r="G201" s="1" t="str">
        <f ca="1">IFERROR(__xludf.DUMMYFUNCTION("""COMPUTED_VALUE"""),"1863-8171")</f>
        <v>1863-8171</v>
      </c>
      <c r="H201" s="27" t="str">
        <f ca="1">IFERROR(__xludf.DUMMYFUNCTION("""COMPUTED_VALUE"""),"https://link.springer.com/journal/10182")</f>
        <v>https://link.springer.com/journal/10182</v>
      </c>
      <c r="I201" s="1" t="str">
        <f ca="1">IFERROR(__xludf.DUMMYFUNCTION("""COMPUTED_VALUE"""),"Springer")</f>
        <v>Springer</v>
      </c>
      <c r="J201" s="1">
        <f ca="1">IFERROR(__xludf.DUMMYFUNCTION("""COMPUTED_VALUE"""),2004)</f>
        <v>2004</v>
      </c>
      <c r="K201" s="1" t="str">
        <f ca="1">IFERROR(__xludf.DUMMYFUNCTION("""COMPUTED_VALUE"""),"Mathematics and Statistics")</f>
        <v>Mathematics and Statistics</v>
      </c>
      <c r="L201" s="1" t="str">
        <f ca="1">IFERROR(__xludf.DUMMYFUNCTION("""COMPUTED_VALUE"""),"〇")</f>
        <v>〇</v>
      </c>
      <c r="M201" s="1" t="str">
        <f ca="1">IFERROR(__xludf.DUMMYFUNCTION("""COMPUTED_VALUE"""),"〇")</f>
        <v>〇</v>
      </c>
      <c r="N201" s="1"/>
      <c r="O201" s="1"/>
      <c r="P201" s="1"/>
    </row>
    <row r="202" spans="1:16" ht="14.25" customHeight="1" x14ac:dyDescent="0.25">
      <c r="A202" s="1"/>
      <c r="B202" s="1">
        <f ca="1"/>
        <v>190</v>
      </c>
      <c r="C202" s="1">
        <f ca="1">IFERROR(__xludf.DUMMYFUNCTION("""COMPUTED_VALUE"""),2023)</f>
        <v>2023</v>
      </c>
      <c r="D202" s="1">
        <f ca="1">IFERROR(__xludf.DUMMYFUNCTION("""COMPUTED_VALUE"""),11943)</f>
        <v>11943</v>
      </c>
      <c r="E202" s="1" t="str">
        <f ca="1">IFERROR(__xludf.DUMMYFUNCTION("""COMPUTED_VALUE"""),"AStA Wirtschafts- und Sozialstatistisches Archiv")</f>
        <v>AStA Wirtschafts- und Sozialstatistisches Archiv</v>
      </c>
      <c r="F202" s="1" t="str">
        <f ca="1">IFERROR(__xludf.DUMMYFUNCTION("""COMPUTED_VALUE"""),"1863-8163")</f>
        <v>1863-8163</v>
      </c>
      <c r="G202" s="1" t="str">
        <f ca="1">IFERROR(__xludf.DUMMYFUNCTION("""COMPUTED_VALUE"""),"1863-8155")</f>
        <v>1863-8155</v>
      </c>
      <c r="H202" s="27" t="str">
        <f ca="1">IFERROR(__xludf.DUMMYFUNCTION("""COMPUTED_VALUE"""),"https://link.springer.com/journal/11943")</f>
        <v>https://link.springer.com/journal/11943</v>
      </c>
      <c r="I202" s="1" t="str">
        <f ca="1">IFERROR(__xludf.DUMMYFUNCTION("""COMPUTED_VALUE"""),"Springer")</f>
        <v>Springer</v>
      </c>
      <c r="J202" s="1">
        <f ca="1">IFERROR(__xludf.DUMMYFUNCTION("""COMPUTED_VALUE"""),2007)</f>
        <v>2007</v>
      </c>
      <c r="K202" s="1" t="str">
        <f ca="1">IFERROR(__xludf.DUMMYFUNCTION("""COMPUTED_VALUE"""),"Mathematics and Statistics")</f>
        <v>Mathematics and Statistics</v>
      </c>
      <c r="L202" s="1" t="str">
        <f ca="1">IFERROR(__xludf.DUMMYFUNCTION("""COMPUTED_VALUE"""),"〇")</f>
        <v>〇</v>
      </c>
      <c r="M202" s="1" t="str">
        <f ca="1">IFERROR(__xludf.DUMMYFUNCTION("""COMPUTED_VALUE"""),"〇")</f>
        <v>〇</v>
      </c>
      <c r="N202" s="1" t="str">
        <f ca="1">IFERROR(__xludf.DUMMYFUNCTION("""COMPUTED_VALUE"""),"SNS7")</f>
        <v>SNS7</v>
      </c>
      <c r="O202" s="1"/>
      <c r="P202" s="1"/>
    </row>
    <row r="203" spans="1:16" ht="14.25" customHeight="1" x14ac:dyDescent="0.25">
      <c r="A203" s="1"/>
      <c r="B203" s="1">
        <f ca="1"/>
        <v>191</v>
      </c>
      <c r="C203" s="1">
        <f ca="1">IFERROR(__xludf.DUMMYFUNCTION("""COMPUTED_VALUE"""),2023)</f>
        <v>2023</v>
      </c>
      <c r="D203" s="1">
        <f ca="1">IFERROR(__xludf.DUMMYFUNCTION("""COMPUTED_VALUE"""),12634)</f>
        <v>12634</v>
      </c>
      <c r="E203" s="1" t="str">
        <f ca="1">IFERROR(__xludf.DUMMYFUNCTION("""COMPUTED_VALUE"""),"ästhetische dermatologie &amp; kosmetologie")</f>
        <v>ästhetische dermatologie &amp; kosmetologie</v>
      </c>
      <c r="F203" s="1" t="str">
        <f ca="1">IFERROR(__xludf.DUMMYFUNCTION("""COMPUTED_VALUE"""),"2198-6517")</f>
        <v>2198-6517</v>
      </c>
      <c r="G203" s="1" t="str">
        <f ca="1">IFERROR(__xludf.DUMMYFUNCTION("""COMPUTED_VALUE"""),"1867-481X")</f>
        <v>1867-481X</v>
      </c>
      <c r="H203" s="27" t="str">
        <f ca="1">IFERROR(__xludf.DUMMYFUNCTION("""COMPUTED_VALUE"""),"https://link.springer.com/journal/12634")</f>
        <v>https://link.springer.com/journal/12634</v>
      </c>
      <c r="I203" s="1" t="str">
        <f ca="1">IFERROR(__xludf.DUMMYFUNCTION("""COMPUTED_VALUE"""),"SpringerMedizin")</f>
        <v>SpringerMedizin</v>
      </c>
      <c r="J203" s="1">
        <f ca="1">IFERROR(__xludf.DUMMYFUNCTION("""COMPUTED_VALUE"""),2012)</f>
        <v>2012</v>
      </c>
      <c r="K203" s="1" t="str">
        <f ca="1">IFERROR(__xludf.DUMMYFUNCTION("""COMPUTED_VALUE"""),"Medicine")</f>
        <v>Medicine</v>
      </c>
      <c r="L203" s="1" t="str">
        <f ca="1">IFERROR(__xludf.DUMMYFUNCTION("""COMPUTED_VALUE"""),"〇")</f>
        <v>〇</v>
      </c>
      <c r="M203" s="1"/>
      <c r="N203" s="1"/>
      <c r="O203" s="1"/>
      <c r="P203" s="1"/>
    </row>
    <row r="204" spans="1:16" ht="14.25" customHeight="1" x14ac:dyDescent="0.25">
      <c r="A204" s="1"/>
      <c r="B204" s="1">
        <f ca="1"/>
        <v>192</v>
      </c>
      <c r="C204" s="1">
        <f ca="1">IFERROR(__xludf.DUMMYFUNCTION("""COMPUTED_VALUE"""),2023)</f>
        <v>2023</v>
      </c>
      <c r="D204" s="1">
        <f ca="1">IFERROR(__xludf.DUMMYFUNCTION("""COMPUTED_VALUE"""),42064)</f>
        <v>42064</v>
      </c>
      <c r="E204" s="1" t="str">
        <f ca="1">IFERROR(__xludf.DUMMYFUNCTION("""COMPUTED_VALUE"""),"Astrodynamics")</f>
        <v>Astrodynamics</v>
      </c>
      <c r="F204" s="1" t="str">
        <f ca="1">IFERROR(__xludf.DUMMYFUNCTION("""COMPUTED_VALUE"""),"2522-0098")</f>
        <v>2522-0098</v>
      </c>
      <c r="G204" s="1" t="str">
        <f ca="1">IFERROR(__xludf.DUMMYFUNCTION("""COMPUTED_VALUE"""),"2522-008X")</f>
        <v>2522-008X</v>
      </c>
      <c r="H204" s="27" t="str">
        <f ca="1">IFERROR(__xludf.DUMMYFUNCTION("""COMPUTED_VALUE"""),"https://link.springer.com/journal/42064")</f>
        <v>https://link.springer.com/journal/42064</v>
      </c>
      <c r="I204" s="1" t="str">
        <f ca="1">IFERROR(__xludf.DUMMYFUNCTION("""COMPUTED_VALUE"""),"Tsinghua University Press, co-published with Springer")</f>
        <v>Tsinghua University Press, co-published with Springer</v>
      </c>
      <c r="J204" s="1">
        <f ca="1">IFERROR(__xludf.DUMMYFUNCTION("""COMPUTED_VALUE"""),2017)</f>
        <v>2017</v>
      </c>
      <c r="K204" s="1" t="str">
        <f ca="1">IFERROR(__xludf.DUMMYFUNCTION("""COMPUTED_VALUE"""),"Engineering")</f>
        <v>Engineering</v>
      </c>
      <c r="L204" s="1" t="str">
        <f ca="1">IFERROR(__xludf.DUMMYFUNCTION("""COMPUTED_VALUE"""),"〇")</f>
        <v>〇</v>
      </c>
      <c r="M204" s="1"/>
      <c r="N204" s="1" t="str">
        <f ca="1">IFERROR(__xludf.DUMMYFUNCTION("""COMPUTED_VALUE"""),"SNS18")</f>
        <v>SNS18</v>
      </c>
      <c r="O204" s="1"/>
      <c r="P204" s="1"/>
    </row>
    <row r="205" spans="1:16" ht="14.25" customHeight="1" x14ac:dyDescent="0.25">
      <c r="A205" s="1"/>
      <c r="B205" s="1">
        <f ca="1"/>
        <v>193</v>
      </c>
      <c r="C205" s="1">
        <f ca="1">IFERROR(__xludf.DUMMYFUNCTION("""COMPUTED_VALUE"""),2023)</f>
        <v>2023</v>
      </c>
      <c r="D205" s="1">
        <f ca="1">IFERROR(__xludf.DUMMYFUNCTION("""COMPUTED_VALUE"""),11443)</f>
        <v>11443</v>
      </c>
      <c r="E205" s="1" t="str">
        <f ca="1">IFERROR(__xludf.DUMMYFUNCTION("""COMPUTED_VALUE"""),"Astronomy Letters")</f>
        <v>Astronomy Letters</v>
      </c>
      <c r="F205" s="1" t="str">
        <f ca="1">IFERROR(__xludf.DUMMYFUNCTION("""COMPUTED_VALUE"""),"1562-6873")</f>
        <v>1562-6873</v>
      </c>
      <c r="G205" s="1" t="str">
        <f ca="1">IFERROR(__xludf.DUMMYFUNCTION("""COMPUTED_VALUE"""),"1063-7737")</f>
        <v>1063-7737</v>
      </c>
      <c r="H205" s="27" t="str">
        <f ca="1">IFERROR(__xludf.DUMMYFUNCTION("""COMPUTED_VALUE"""),"https://link.springer.com/journal/11443")</f>
        <v>https://link.springer.com/journal/11443</v>
      </c>
      <c r="I205" s="1" t="str">
        <f ca="1">IFERROR(__xludf.DUMMYFUNCTION("""COMPUTED_VALUE"""),"Pleiades Publishing")</f>
        <v>Pleiades Publishing</v>
      </c>
      <c r="J205" s="1">
        <f ca="1">IFERROR(__xludf.DUMMYFUNCTION("""COMPUTED_VALUE"""),2000)</f>
        <v>2000</v>
      </c>
      <c r="K205" s="1" t="str">
        <f ca="1">IFERROR(__xludf.DUMMYFUNCTION("""COMPUTED_VALUE"""),"Physics and Astronomy")</f>
        <v>Physics and Astronomy</v>
      </c>
      <c r="L205" s="1" t="str">
        <f ca="1">IFERROR(__xludf.DUMMYFUNCTION("""COMPUTED_VALUE"""),"〇")</f>
        <v>〇</v>
      </c>
      <c r="M205" s="1" t="str">
        <f ca="1">IFERROR(__xludf.DUMMYFUNCTION("""COMPUTED_VALUE"""),"〇")</f>
        <v>〇</v>
      </c>
      <c r="N205" s="1"/>
      <c r="O205" s="1"/>
      <c r="P205" s="1"/>
    </row>
    <row r="206" spans="1:16" ht="14.25" customHeight="1" x14ac:dyDescent="0.25">
      <c r="A206" s="1"/>
      <c r="B206" s="1">
        <f ca="1"/>
        <v>194</v>
      </c>
      <c r="C206" s="1">
        <f ca="1">IFERROR(__xludf.DUMMYFUNCTION("""COMPUTED_VALUE"""),2023)</f>
        <v>2023</v>
      </c>
      <c r="D206" s="1">
        <f ca="1">IFERROR(__xludf.DUMMYFUNCTION("""COMPUTED_VALUE"""),11444)</f>
        <v>11444</v>
      </c>
      <c r="E206" s="1" t="str">
        <f ca="1">IFERROR(__xludf.DUMMYFUNCTION("""COMPUTED_VALUE"""),"Astronomy Reports")</f>
        <v>Astronomy Reports</v>
      </c>
      <c r="F206" s="1" t="str">
        <f ca="1">IFERROR(__xludf.DUMMYFUNCTION("""COMPUTED_VALUE"""),"1562-6881")</f>
        <v>1562-6881</v>
      </c>
      <c r="G206" s="1" t="str">
        <f ca="1">IFERROR(__xludf.DUMMYFUNCTION("""COMPUTED_VALUE"""),"1063-7729")</f>
        <v>1063-7729</v>
      </c>
      <c r="H206" s="27" t="str">
        <f ca="1">IFERROR(__xludf.DUMMYFUNCTION("""COMPUTED_VALUE"""),"https://link.springer.com/journal/11444")</f>
        <v>https://link.springer.com/journal/11444</v>
      </c>
      <c r="I206" s="1" t="str">
        <f ca="1">IFERROR(__xludf.DUMMYFUNCTION("""COMPUTED_VALUE"""),"Pleiades Publishing")</f>
        <v>Pleiades Publishing</v>
      </c>
      <c r="J206" s="1">
        <f ca="1">IFERROR(__xludf.DUMMYFUNCTION("""COMPUTED_VALUE"""),2000)</f>
        <v>2000</v>
      </c>
      <c r="K206" s="1" t="str">
        <f ca="1">IFERROR(__xludf.DUMMYFUNCTION("""COMPUTED_VALUE"""),"Physics and Astronomy")</f>
        <v>Physics and Astronomy</v>
      </c>
      <c r="L206" s="1" t="str">
        <f ca="1">IFERROR(__xludf.DUMMYFUNCTION("""COMPUTED_VALUE"""),"〇")</f>
        <v>〇</v>
      </c>
      <c r="M206" s="1" t="str">
        <f ca="1">IFERROR(__xludf.DUMMYFUNCTION("""COMPUTED_VALUE"""),"〇")</f>
        <v>〇</v>
      </c>
      <c r="N206" s="1"/>
      <c r="O206" s="1"/>
      <c r="P206" s="1"/>
    </row>
    <row r="207" spans="1:16" ht="14.25" customHeight="1" x14ac:dyDescent="0.25">
      <c r="A207" s="1"/>
      <c r="B207" s="1">
        <f ca="1"/>
        <v>195</v>
      </c>
      <c r="C207" s="1">
        <f ca="1">IFERROR(__xludf.DUMMYFUNCTION("""COMPUTED_VALUE"""),2023)</f>
        <v>2023</v>
      </c>
      <c r="D207" s="1">
        <f ca="1">IFERROR(__xludf.DUMMYFUNCTION("""COMPUTED_VALUE"""),11755)</f>
        <v>11755</v>
      </c>
      <c r="E207" s="1" t="str">
        <f ca="1">IFERROR(__xludf.DUMMYFUNCTION("""COMPUTED_VALUE"""),"Astrophysical Bulletin")</f>
        <v>Astrophysical Bulletin</v>
      </c>
      <c r="F207" s="1" t="str">
        <f ca="1">IFERROR(__xludf.DUMMYFUNCTION("""COMPUTED_VALUE"""),"1990-3421")</f>
        <v>1990-3421</v>
      </c>
      <c r="G207" s="1" t="str">
        <f ca="1">IFERROR(__xludf.DUMMYFUNCTION("""COMPUTED_VALUE"""),"1990-3413")</f>
        <v>1990-3413</v>
      </c>
      <c r="H207" s="27" t="str">
        <f ca="1">IFERROR(__xludf.DUMMYFUNCTION("""COMPUTED_VALUE"""),"https://link.springer.com/journal/11755")</f>
        <v>https://link.springer.com/journal/11755</v>
      </c>
      <c r="I207" s="1" t="str">
        <f ca="1">IFERROR(__xludf.DUMMYFUNCTION("""COMPUTED_VALUE"""),"Pleiades Publishing")</f>
        <v>Pleiades Publishing</v>
      </c>
      <c r="J207" s="1">
        <f ca="1">IFERROR(__xludf.DUMMYFUNCTION("""COMPUTED_VALUE"""),2007)</f>
        <v>2007</v>
      </c>
      <c r="K207" s="1" t="str">
        <f ca="1">IFERROR(__xludf.DUMMYFUNCTION("""COMPUTED_VALUE"""),"Physics and Astronomy")</f>
        <v>Physics and Astronomy</v>
      </c>
      <c r="L207" s="1" t="str">
        <f ca="1">IFERROR(__xludf.DUMMYFUNCTION("""COMPUTED_VALUE"""),"〇")</f>
        <v>〇</v>
      </c>
      <c r="M207" s="1" t="str">
        <f ca="1">IFERROR(__xludf.DUMMYFUNCTION("""COMPUTED_VALUE"""),"〇")</f>
        <v>〇</v>
      </c>
      <c r="N207" s="1" t="str">
        <f ca="1">IFERROR(__xludf.DUMMYFUNCTION("""COMPUTED_VALUE"""),"TO7")</f>
        <v>TO7</v>
      </c>
      <c r="O207" s="1"/>
      <c r="P207" s="1"/>
    </row>
    <row r="208" spans="1:16" ht="14.25" customHeight="1" x14ac:dyDescent="0.25">
      <c r="A208" s="1"/>
      <c r="B208" s="1">
        <f ca="1"/>
        <v>196</v>
      </c>
      <c r="C208" s="1">
        <f ca="1">IFERROR(__xludf.DUMMYFUNCTION("""COMPUTED_VALUE"""),2023)</f>
        <v>2023</v>
      </c>
      <c r="D208" s="1">
        <f ca="1">IFERROR(__xludf.DUMMYFUNCTION("""COMPUTED_VALUE"""),10511)</f>
        <v>10511</v>
      </c>
      <c r="E208" s="1" t="str">
        <f ca="1">IFERROR(__xludf.DUMMYFUNCTION("""COMPUTED_VALUE"""),"Astrophysics")</f>
        <v>Astrophysics</v>
      </c>
      <c r="F208" s="1" t="str">
        <f ca="1">IFERROR(__xludf.DUMMYFUNCTION("""COMPUTED_VALUE"""),"1573-8191")</f>
        <v>1573-8191</v>
      </c>
      <c r="G208" s="1" t="str">
        <f ca="1">IFERROR(__xludf.DUMMYFUNCTION("""COMPUTED_VALUE"""),"0571-7256")</f>
        <v>0571-7256</v>
      </c>
      <c r="H208" s="27" t="str">
        <f ca="1">IFERROR(__xludf.DUMMYFUNCTION("""COMPUTED_VALUE"""),"https://link.springer.com/journal/10511")</f>
        <v>https://link.springer.com/journal/10511</v>
      </c>
      <c r="I208" s="1" t="str">
        <f ca="1">IFERROR(__xludf.DUMMYFUNCTION("""COMPUTED_VALUE"""),"Springer")</f>
        <v>Springer</v>
      </c>
      <c r="J208" s="1">
        <f ca="1">IFERROR(__xludf.DUMMYFUNCTION("""COMPUTED_VALUE"""),2000)</f>
        <v>2000</v>
      </c>
      <c r="K208" s="1" t="str">
        <f ca="1">IFERROR(__xludf.DUMMYFUNCTION("""COMPUTED_VALUE"""),"Physics and Astronomy")</f>
        <v>Physics and Astronomy</v>
      </c>
      <c r="L208" s="1" t="str">
        <f ca="1">IFERROR(__xludf.DUMMYFUNCTION("""COMPUTED_VALUE"""),"〇")</f>
        <v>〇</v>
      </c>
      <c r="M208" s="1" t="str">
        <f ca="1">IFERROR(__xludf.DUMMYFUNCTION("""COMPUTED_VALUE"""),"〇")</f>
        <v>〇</v>
      </c>
      <c r="N208" s="1"/>
      <c r="O208" s="1"/>
      <c r="P208" s="1"/>
    </row>
    <row r="209" spans="1:16" ht="14.25" customHeight="1" x14ac:dyDescent="0.25">
      <c r="A209" s="1"/>
      <c r="B209" s="1">
        <f ca="1"/>
        <v>197</v>
      </c>
      <c r="C209" s="1">
        <f ca="1">IFERROR(__xludf.DUMMYFUNCTION("""COMPUTED_VALUE"""),2023)</f>
        <v>2023</v>
      </c>
      <c r="D209" s="1">
        <f ca="1">IFERROR(__xludf.DUMMYFUNCTION("""COMPUTED_VALUE"""),10509)</f>
        <v>10509</v>
      </c>
      <c r="E209" s="1" t="str">
        <f ca="1">IFERROR(__xludf.DUMMYFUNCTION("""COMPUTED_VALUE"""),"Astrophysics and Space Science")</f>
        <v>Astrophysics and Space Science</v>
      </c>
      <c r="F209" s="1" t="str">
        <f ca="1">IFERROR(__xludf.DUMMYFUNCTION("""COMPUTED_VALUE"""),"1572-946X")</f>
        <v>1572-946X</v>
      </c>
      <c r="G209" s="1" t="str">
        <f ca="1">IFERROR(__xludf.DUMMYFUNCTION("""COMPUTED_VALUE"""),"0004-640X")</f>
        <v>0004-640X</v>
      </c>
      <c r="H209" s="27" t="str">
        <f ca="1">IFERROR(__xludf.DUMMYFUNCTION("""COMPUTED_VALUE"""),"https://link.springer.com/journal/10509")</f>
        <v>https://link.springer.com/journal/10509</v>
      </c>
      <c r="I209" s="1" t="str">
        <f ca="1">IFERROR(__xludf.DUMMYFUNCTION("""COMPUTED_VALUE"""),"Springer")</f>
        <v>Springer</v>
      </c>
      <c r="J209" s="1">
        <f ca="1">IFERROR(__xludf.DUMMYFUNCTION("""COMPUTED_VALUE"""),2000)</f>
        <v>2000</v>
      </c>
      <c r="K209" s="1" t="str">
        <f ca="1">IFERROR(__xludf.DUMMYFUNCTION("""COMPUTED_VALUE"""),"Physics and Astronomy")</f>
        <v>Physics and Astronomy</v>
      </c>
      <c r="L209" s="1" t="str">
        <f ca="1">IFERROR(__xludf.DUMMYFUNCTION("""COMPUTED_VALUE"""),"〇")</f>
        <v>〇</v>
      </c>
      <c r="M209" s="1" t="str">
        <f ca="1">IFERROR(__xludf.DUMMYFUNCTION("""COMPUTED_VALUE"""),"〇")</f>
        <v>〇</v>
      </c>
      <c r="N209" s="1"/>
      <c r="O209" s="1"/>
      <c r="P209" s="1"/>
    </row>
    <row r="210" spans="1:16" ht="14.25" customHeight="1" x14ac:dyDescent="0.25">
      <c r="A210" s="1"/>
      <c r="B210" s="1">
        <f ca="1"/>
        <v>198</v>
      </c>
      <c r="C210" s="1">
        <f ca="1">IFERROR(__xludf.DUMMYFUNCTION("""COMPUTED_VALUE"""),2023)</f>
        <v>2023</v>
      </c>
      <c r="D210" s="1">
        <f ca="1">IFERROR(__xludf.DUMMYFUNCTION("""COMPUTED_VALUE"""),11293)</f>
        <v>11293</v>
      </c>
      <c r="E210" s="1" t="str">
        <f ca="1">IFERROR(__xludf.DUMMYFUNCTION("""COMPUTED_VALUE"""),"Atlantic Economic Journal")</f>
        <v>Atlantic Economic Journal</v>
      </c>
      <c r="F210" s="1" t="str">
        <f ca="1">IFERROR(__xludf.DUMMYFUNCTION("""COMPUTED_VALUE"""),"1573-9678")</f>
        <v>1573-9678</v>
      </c>
      <c r="G210" s="1" t="str">
        <f ca="1">IFERROR(__xludf.DUMMYFUNCTION("""COMPUTED_VALUE"""),"0197-4254")</f>
        <v>0197-4254</v>
      </c>
      <c r="H210" s="27" t="str">
        <f ca="1">IFERROR(__xludf.DUMMYFUNCTION("""COMPUTED_VALUE"""),"https://link.springer.com/journal/11293")</f>
        <v>https://link.springer.com/journal/11293</v>
      </c>
      <c r="I210" s="1" t="str">
        <f ca="1">IFERROR(__xludf.DUMMYFUNCTION("""COMPUTED_VALUE"""),"Springer")</f>
        <v>Springer</v>
      </c>
      <c r="J210" s="1">
        <f ca="1">IFERROR(__xludf.DUMMYFUNCTION("""COMPUTED_VALUE"""),2000)</f>
        <v>2000</v>
      </c>
      <c r="K210" s="1" t="str">
        <f ca="1">IFERROR(__xludf.DUMMYFUNCTION("""COMPUTED_VALUE"""),"Economics and Finance")</f>
        <v>Economics and Finance</v>
      </c>
      <c r="L210" s="1" t="str">
        <f ca="1">IFERROR(__xludf.DUMMYFUNCTION("""COMPUTED_VALUE"""),"〇")</f>
        <v>〇</v>
      </c>
      <c r="M210" s="1" t="str">
        <f ca="1">IFERROR(__xludf.DUMMYFUNCTION("""COMPUTED_VALUE"""),"〇")</f>
        <v>〇</v>
      </c>
      <c r="N210" s="1"/>
      <c r="O210" s="1"/>
      <c r="P210" s="1"/>
    </row>
    <row r="211" spans="1:16" ht="14.25" customHeight="1" x14ac:dyDescent="0.25">
      <c r="A211" s="1"/>
      <c r="B211" s="1">
        <f ca="1"/>
        <v>199</v>
      </c>
      <c r="C211" s="1">
        <f ca="1">IFERROR(__xludf.DUMMYFUNCTION("""COMPUTED_VALUE"""),2023)</f>
        <v>2023</v>
      </c>
      <c r="D211" s="1">
        <f ca="1">IFERROR(__xludf.DUMMYFUNCTION("""COMPUTED_VALUE"""),12605)</f>
        <v>12605</v>
      </c>
      <c r="E211" s="1" t="str">
        <f ca="1">IFERROR(__xludf.DUMMYFUNCTION("""COMPUTED_VALUE"""),"Atmospheric and Oceanic Optics")</f>
        <v>Atmospheric and Oceanic Optics</v>
      </c>
      <c r="F211" s="1" t="str">
        <f ca="1">IFERROR(__xludf.DUMMYFUNCTION("""COMPUTED_VALUE"""),"2070-0393")</f>
        <v>2070-0393</v>
      </c>
      <c r="G211" s="1" t="str">
        <f ca="1">IFERROR(__xludf.DUMMYFUNCTION("""COMPUTED_VALUE"""),"1024-8560")</f>
        <v>1024-8560</v>
      </c>
      <c r="H211" s="27" t="str">
        <f ca="1">IFERROR(__xludf.DUMMYFUNCTION("""COMPUTED_VALUE"""),"https://link.springer.com/journal/12605")</f>
        <v>https://link.springer.com/journal/12605</v>
      </c>
      <c r="I211" s="1" t="str">
        <f ca="1">IFERROR(__xludf.DUMMYFUNCTION("""COMPUTED_VALUE"""),"Pleiades Publishing")</f>
        <v>Pleiades Publishing</v>
      </c>
      <c r="J211" s="1">
        <f ca="1">IFERROR(__xludf.DUMMYFUNCTION("""COMPUTED_VALUE"""),2009)</f>
        <v>2009</v>
      </c>
      <c r="K211" s="1" t="str">
        <f ca="1">IFERROR(__xludf.DUMMYFUNCTION("""COMPUTED_VALUE"""),"Physics and Astronomy")</f>
        <v>Physics and Astronomy</v>
      </c>
      <c r="L211" s="1" t="str">
        <f ca="1">IFERROR(__xludf.DUMMYFUNCTION("""COMPUTED_VALUE"""),"〇")</f>
        <v>〇</v>
      </c>
      <c r="M211" s="1"/>
      <c r="N211" s="1" t="str">
        <f ca="1">IFERROR(__xludf.DUMMYFUNCTION("""COMPUTED_VALUE"""),"TO9")</f>
        <v>TO9</v>
      </c>
      <c r="O211" s="1"/>
      <c r="P211" s="1"/>
    </row>
    <row r="212" spans="1:16" ht="14.25" customHeight="1" x14ac:dyDescent="0.25">
      <c r="A212" s="1"/>
      <c r="B212" s="1">
        <f ca="1"/>
        <v>200</v>
      </c>
      <c r="C212" s="1">
        <f ca="1">IFERROR(__xludf.DUMMYFUNCTION("""COMPUTED_VALUE"""),2023)</f>
        <v>2023</v>
      </c>
      <c r="D212" s="1">
        <f ca="1">IFERROR(__xludf.DUMMYFUNCTION("""COMPUTED_VALUE"""),10512)</f>
        <v>10512</v>
      </c>
      <c r="E212" s="1" t="str">
        <f ca="1">IFERROR(__xludf.DUMMYFUNCTION("""COMPUTED_VALUE"""),"Atomic Energy")</f>
        <v>Atomic Energy</v>
      </c>
      <c r="F212" s="1" t="str">
        <f ca="1">IFERROR(__xludf.DUMMYFUNCTION("""COMPUTED_VALUE"""),"1573-8205")</f>
        <v>1573-8205</v>
      </c>
      <c r="G212" s="1" t="str">
        <f ca="1">IFERROR(__xludf.DUMMYFUNCTION("""COMPUTED_VALUE"""),"1063-4258")</f>
        <v>1063-4258</v>
      </c>
      <c r="H212" s="27" t="str">
        <f ca="1">IFERROR(__xludf.DUMMYFUNCTION("""COMPUTED_VALUE"""),"https://link.springer.com/journal/10512")</f>
        <v>https://link.springer.com/journal/10512</v>
      </c>
      <c r="I212" s="1" t="str">
        <f ca="1">IFERROR(__xludf.DUMMYFUNCTION("""COMPUTED_VALUE"""),"Springer")</f>
        <v>Springer</v>
      </c>
      <c r="J212" s="1">
        <f ca="1">IFERROR(__xludf.DUMMYFUNCTION("""COMPUTED_VALUE"""),2000)</f>
        <v>2000</v>
      </c>
      <c r="K212" s="1" t="str">
        <f ca="1">IFERROR(__xludf.DUMMYFUNCTION("""COMPUTED_VALUE"""),"Physics and Astronomy")</f>
        <v>Physics and Astronomy</v>
      </c>
      <c r="L212" s="1" t="str">
        <f ca="1">IFERROR(__xludf.DUMMYFUNCTION("""COMPUTED_VALUE"""),"〇")</f>
        <v>〇</v>
      </c>
      <c r="M212" s="1" t="str">
        <f ca="1">IFERROR(__xludf.DUMMYFUNCTION("""COMPUTED_VALUE"""),"〇")</f>
        <v>〇</v>
      </c>
      <c r="N212" s="1"/>
      <c r="O212" s="1"/>
      <c r="P212" s="1"/>
    </row>
    <row r="213" spans="1:16" ht="14.25" customHeight="1" x14ac:dyDescent="0.25">
      <c r="A213" s="1"/>
      <c r="B213" s="1">
        <f ca="1"/>
        <v>201</v>
      </c>
      <c r="C213" s="1">
        <f ca="1">IFERROR(__xludf.DUMMYFUNCTION("""COMPUTED_VALUE"""),2023)</f>
        <v>2023</v>
      </c>
      <c r="D213" s="1">
        <f ca="1">IFERROR(__xludf.DUMMYFUNCTION("""COMPUTED_VALUE"""),13414)</f>
        <v>13414</v>
      </c>
      <c r="E213" s="1" t="str">
        <f ca="1">IFERROR(__xludf.DUMMYFUNCTION("""COMPUTED_VALUE"""),"Attention, Perception, &amp; Psychophysics")</f>
        <v>Attention, Perception, &amp; Psychophysics</v>
      </c>
      <c r="F213" s="1" t="str">
        <f ca="1">IFERROR(__xludf.DUMMYFUNCTION("""COMPUTED_VALUE"""),"1943-393X")</f>
        <v>1943-393X</v>
      </c>
      <c r="G213" s="1" t="str">
        <f ca="1">IFERROR(__xludf.DUMMYFUNCTION("""COMPUTED_VALUE"""),"1943-3921")</f>
        <v>1943-3921</v>
      </c>
      <c r="H213" s="27" t="str">
        <f ca="1">IFERROR(__xludf.DUMMYFUNCTION("""COMPUTED_VALUE"""),"https://link.springer.com/journal/13414")</f>
        <v>https://link.springer.com/journal/13414</v>
      </c>
      <c r="I213" s="1" t="str">
        <f ca="1">IFERROR(__xludf.DUMMYFUNCTION("""COMPUTED_VALUE"""),"Springer")</f>
        <v>Springer</v>
      </c>
      <c r="J213" s="1">
        <f ca="1">IFERROR(__xludf.DUMMYFUNCTION("""COMPUTED_VALUE"""),2000)</f>
        <v>2000</v>
      </c>
      <c r="K213" s="1" t="str">
        <f ca="1">IFERROR(__xludf.DUMMYFUNCTION("""COMPUTED_VALUE"""),"Behavioral Science and Psychology")</f>
        <v>Behavioral Science and Psychology</v>
      </c>
      <c r="L213" s="1" t="str">
        <f ca="1">IFERROR(__xludf.DUMMYFUNCTION("""COMPUTED_VALUE"""),"〇")</f>
        <v>〇</v>
      </c>
      <c r="M213" s="1"/>
      <c r="N213" s="1" t="str">
        <f ca="1">IFERROR(__xludf.DUMMYFUNCTION("""COMPUTED_VALUE"""),"TO11")</f>
        <v>TO11</v>
      </c>
      <c r="O213" s="1"/>
      <c r="P213" s="1"/>
    </row>
    <row r="214" spans="1:16" ht="14.25" customHeight="1" x14ac:dyDescent="0.25">
      <c r="A214" s="1"/>
      <c r="B214" s="1">
        <f ca="1"/>
        <v>202</v>
      </c>
      <c r="C214" s="1">
        <f ca="1">IFERROR(__xludf.DUMMYFUNCTION("""COMPUTED_VALUE"""),2023)</f>
        <v>2023</v>
      </c>
      <c r="D214" s="1">
        <f ca="1">IFERROR(__xludf.DUMMYFUNCTION("""COMPUTED_VALUE"""),35148)</f>
        <v>35148</v>
      </c>
      <c r="E214" s="1" t="str">
        <f ca="1">IFERROR(__xludf.DUMMYFUNCTION("""COMPUTED_VALUE"""),"ATZ - Automobiltechnische Zeitschrift")</f>
        <v>ATZ - Automobiltechnische Zeitschrift</v>
      </c>
      <c r="F214" s="1" t="str">
        <f ca="1">IFERROR(__xludf.DUMMYFUNCTION("""COMPUTED_VALUE"""),"2192-8800")</f>
        <v>2192-8800</v>
      </c>
      <c r="G214" s="1" t="str">
        <f ca="1">IFERROR(__xludf.DUMMYFUNCTION("""COMPUTED_VALUE"""),"0001-2785")</f>
        <v>0001-2785</v>
      </c>
      <c r="H214" s="27" t="str">
        <f ca="1">IFERROR(__xludf.DUMMYFUNCTION("""COMPUTED_VALUE"""),"https://link.springer.com/journal/35148")</f>
        <v>https://link.springer.com/journal/35148</v>
      </c>
      <c r="I214" s="1" t="str">
        <f ca="1">IFERROR(__xludf.DUMMYFUNCTION("""COMPUTED_VALUE"""),"Springer Vieweg")</f>
        <v>Springer Vieweg</v>
      </c>
      <c r="J214" s="1">
        <f ca="1">IFERROR(__xludf.DUMMYFUNCTION("""COMPUTED_VALUE"""),2000)</f>
        <v>2000</v>
      </c>
      <c r="K214" s="1" t="str">
        <f ca="1">IFERROR(__xludf.DUMMYFUNCTION("""COMPUTED_VALUE"""),"Engineering")</f>
        <v>Engineering</v>
      </c>
      <c r="L214" s="1" t="str">
        <f ca="1">IFERROR(__xludf.DUMMYFUNCTION("""COMPUTED_VALUE"""),"〇")</f>
        <v>〇</v>
      </c>
      <c r="M214" s="1"/>
      <c r="N214" s="1"/>
      <c r="O214" s="1"/>
      <c r="P214" s="1"/>
    </row>
    <row r="215" spans="1:16" ht="14.25" customHeight="1" x14ac:dyDescent="0.25">
      <c r="A215" s="1"/>
      <c r="B215" s="1">
        <f ca="1"/>
        <v>203</v>
      </c>
      <c r="C215" s="1">
        <f ca="1">IFERROR(__xludf.DUMMYFUNCTION("""COMPUTED_VALUE"""),2023)</f>
        <v>2023</v>
      </c>
      <c r="D215" s="1">
        <f ca="1">IFERROR(__xludf.DUMMYFUNCTION("""COMPUTED_VALUE"""),38311)</f>
        <v>38311</v>
      </c>
      <c r="E215" s="1" t="str">
        <f ca="1">IFERROR(__xludf.DUMMYFUNCTION("""COMPUTED_VALUE"""),"ATZ worldwide")</f>
        <v>ATZ worldwide</v>
      </c>
      <c r="F215" s="1" t="str">
        <f ca="1">IFERROR(__xludf.DUMMYFUNCTION("""COMPUTED_VALUE"""),"2192-9076")</f>
        <v>2192-9076</v>
      </c>
      <c r="G215" s="1"/>
      <c r="H215" s="27" t="str">
        <f ca="1">IFERROR(__xludf.DUMMYFUNCTION("""COMPUTED_VALUE"""),"https://link.springer.com/journal/38311")</f>
        <v>https://link.springer.com/journal/38311</v>
      </c>
      <c r="I215" s="1" t="str">
        <f ca="1">IFERROR(__xludf.DUMMYFUNCTION("""COMPUTED_VALUE"""),"Springer Vieweg")</f>
        <v>Springer Vieweg</v>
      </c>
      <c r="J215" s="1">
        <f ca="1">IFERROR(__xludf.DUMMYFUNCTION("""COMPUTED_VALUE"""),2001)</f>
        <v>2001</v>
      </c>
      <c r="K215" s="1" t="str">
        <f ca="1">IFERROR(__xludf.DUMMYFUNCTION("""COMPUTED_VALUE"""),"Engineering")</f>
        <v>Engineering</v>
      </c>
      <c r="L215" s="1"/>
      <c r="M215" s="1"/>
      <c r="N215" s="1"/>
      <c r="O215" s="1"/>
      <c r="P215" s="1"/>
    </row>
    <row r="216" spans="1:16" ht="14.25" customHeight="1" x14ac:dyDescent="0.25">
      <c r="A216" s="1"/>
      <c r="B216" s="1">
        <f ca="1"/>
        <v>204</v>
      </c>
      <c r="C216" s="1">
        <f ca="1">IFERROR(__xludf.DUMMYFUNCTION("""COMPUTED_VALUE"""),2023)</f>
        <v>2023</v>
      </c>
      <c r="D216" s="1">
        <f ca="1">IFERROR(__xludf.DUMMYFUNCTION("""COMPUTED_VALUE"""),38314)</f>
        <v>38314</v>
      </c>
      <c r="E216" s="1" t="str">
        <f ca="1">IFERROR(__xludf.DUMMYFUNCTION("""COMPUTED_VALUE"""),"ATZelectronics worldwide")</f>
        <v>ATZelectronics worldwide</v>
      </c>
      <c r="F216" s="1" t="str">
        <f ca="1">IFERROR(__xludf.DUMMYFUNCTION("""COMPUTED_VALUE"""),"2524-8804")</f>
        <v>2524-8804</v>
      </c>
      <c r="G216" s="1"/>
      <c r="H216" s="27" t="str">
        <f ca="1">IFERROR(__xludf.DUMMYFUNCTION("""COMPUTED_VALUE"""),"https://link.springer.com/journal/38314")</f>
        <v>https://link.springer.com/journal/38314</v>
      </c>
      <c r="I216" s="1" t="str">
        <f ca="1">IFERROR(__xludf.DUMMYFUNCTION("""COMPUTED_VALUE"""),"Springer Vieweg")</f>
        <v>Springer Vieweg</v>
      </c>
      <c r="J216" s="1">
        <f ca="1">IFERROR(__xludf.DUMMYFUNCTION("""COMPUTED_VALUE"""),2006)</f>
        <v>2006</v>
      </c>
      <c r="K216" s="1" t="str">
        <f ca="1">IFERROR(__xludf.DUMMYFUNCTION("""COMPUTED_VALUE"""),"Engineering")</f>
        <v>Engineering</v>
      </c>
      <c r="L216" s="1"/>
      <c r="M216" s="1"/>
      <c r="N216" s="1"/>
      <c r="O216" s="1"/>
      <c r="P216" s="1"/>
    </row>
    <row r="217" spans="1:16" ht="14.25" customHeight="1" x14ac:dyDescent="0.25">
      <c r="A217" s="1"/>
      <c r="B217" s="1">
        <f ca="1"/>
        <v>205</v>
      </c>
      <c r="C217" s="1">
        <f ca="1">IFERROR(__xludf.DUMMYFUNCTION("""COMPUTED_VALUE"""),2023)</f>
        <v>2023</v>
      </c>
      <c r="D217" s="1">
        <f ca="1">IFERROR(__xludf.DUMMYFUNCTION("""COMPUTED_VALUE"""),35658)</f>
        <v>35658</v>
      </c>
      <c r="E217" s="1" t="str">
        <f ca="1">IFERROR(__xludf.DUMMYFUNCTION("""COMPUTED_VALUE"""),"ATZelektronik")</f>
        <v>ATZelektronik</v>
      </c>
      <c r="F217" s="1" t="str">
        <f ca="1">IFERROR(__xludf.DUMMYFUNCTION("""COMPUTED_VALUE"""),"2192-8878")</f>
        <v>2192-8878</v>
      </c>
      <c r="G217" s="1" t="str">
        <f ca="1">IFERROR(__xludf.DUMMYFUNCTION("""COMPUTED_VALUE"""),"1862-1791")</f>
        <v>1862-1791</v>
      </c>
      <c r="H217" s="27" t="str">
        <f ca="1">IFERROR(__xludf.DUMMYFUNCTION("""COMPUTED_VALUE"""),"https://link.springer.com/journal/35658")</f>
        <v>https://link.springer.com/journal/35658</v>
      </c>
      <c r="I217" s="1" t="str">
        <f ca="1">IFERROR(__xludf.DUMMYFUNCTION("""COMPUTED_VALUE"""),"Springer Vieweg")</f>
        <v>Springer Vieweg</v>
      </c>
      <c r="J217" s="1">
        <f ca="1">IFERROR(__xludf.DUMMYFUNCTION("""COMPUTED_VALUE"""),2006)</f>
        <v>2006</v>
      </c>
      <c r="K217" s="1" t="str">
        <f ca="1">IFERROR(__xludf.DUMMYFUNCTION("""COMPUTED_VALUE"""),"Engineering")</f>
        <v>Engineering</v>
      </c>
      <c r="L217" s="1" t="str">
        <f ca="1">IFERROR(__xludf.DUMMYFUNCTION("""COMPUTED_VALUE"""),"〇")</f>
        <v>〇</v>
      </c>
      <c r="M217" s="1"/>
      <c r="N217" s="1"/>
      <c r="O217" s="1"/>
      <c r="P217" s="1"/>
    </row>
    <row r="218" spans="1:16" ht="14.25" customHeight="1" x14ac:dyDescent="0.25">
      <c r="A218" s="1"/>
      <c r="B218" s="1">
        <f ca="1"/>
        <v>206</v>
      </c>
      <c r="C218" s="1">
        <f ca="1">IFERROR(__xludf.DUMMYFUNCTION("""COMPUTED_VALUE"""),2023)</f>
        <v>2023</v>
      </c>
      <c r="D218" s="1">
        <f ca="1">IFERROR(__xludf.DUMMYFUNCTION("""COMPUTED_VALUE"""),35746)</f>
        <v>35746</v>
      </c>
      <c r="E218" s="1" t="str">
        <f ca="1">IFERROR(__xludf.DUMMYFUNCTION("""COMPUTED_VALUE"""),"ATZheavy duty")</f>
        <v>ATZheavy duty</v>
      </c>
      <c r="F218" s="1" t="str">
        <f ca="1">IFERROR(__xludf.DUMMYFUNCTION("""COMPUTED_VALUE"""),"2524-8790")</f>
        <v>2524-8790</v>
      </c>
      <c r="G218" s="1" t="str">
        <f ca="1">IFERROR(__xludf.DUMMYFUNCTION("""COMPUTED_VALUE"""),"2524-8782")</f>
        <v>2524-8782</v>
      </c>
      <c r="H218" s="27" t="str">
        <f ca="1">IFERROR(__xludf.DUMMYFUNCTION("""COMPUTED_VALUE"""),"https://link.springer.com/journal/35746")</f>
        <v>https://link.springer.com/journal/35746</v>
      </c>
      <c r="I218" s="1" t="str">
        <f ca="1">IFERROR(__xludf.DUMMYFUNCTION("""COMPUTED_VALUE"""),"Springer Vieweg")</f>
        <v>Springer Vieweg</v>
      </c>
      <c r="J218" s="1">
        <f ca="1">IFERROR(__xludf.DUMMYFUNCTION("""COMPUTED_VALUE"""),2008)</f>
        <v>2008</v>
      </c>
      <c r="K218" s="1" t="str">
        <f ca="1">IFERROR(__xludf.DUMMYFUNCTION("""COMPUTED_VALUE"""),"Engineering")</f>
        <v>Engineering</v>
      </c>
      <c r="L218" s="1" t="str">
        <f ca="1">IFERROR(__xludf.DUMMYFUNCTION("""COMPUTED_VALUE"""),"〇")</f>
        <v>〇</v>
      </c>
      <c r="M218" s="1"/>
      <c r="N218" s="1"/>
      <c r="O218" s="1"/>
      <c r="P218" s="1"/>
    </row>
    <row r="219" spans="1:16" ht="14.25" customHeight="1" x14ac:dyDescent="0.25">
      <c r="A219" s="1"/>
      <c r="B219" s="1">
        <f ca="1"/>
        <v>207</v>
      </c>
      <c r="C219" s="1">
        <f ca="1">IFERROR(__xludf.DUMMYFUNCTION("""COMPUTED_VALUE"""),2023)</f>
        <v>2023</v>
      </c>
      <c r="D219" s="1">
        <f ca="1">IFERROR(__xludf.DUMMYFUNCTION("""COMPUTED_VALUE"""),41133)</f>
        <v>41133</v>
      </c>
      <c r="E219" s="1" t="str">
        <f ca="1">IFERROR(__xludf.DUMMYFUNCTION("""COMPUTED_VALUE"""),"Augmented Human Research")</f>
        <v>Augmented Human Research</v>
      </c>
      <c r="F219" s="1" t="str">
        <f ca="1">IFERROR(__xludf.DUMMYFUNCTION("""COMPUTED_VALUE"""),"2365-4325")</f>
        <v>2365-4325</v>
      </c>
      <c r="G219" s="1" t="str">
        <f ca="1">IFERROR(__xludf.DUMMYFUNCTION("""COMPUTED_VALUE"""),"2365-4317")</f>
        <v>2365-4317</v>
      </c>
      <c r="H219" s="27" t="str">
        <f ca="1">IFERROR(__xludf.DUMMYFUNCTION("""COMPUTED_VALUE"""),"https://link.springer.com/journal/41133")</f>
        <v>https://link.springer.com/journal/41133</v>
      </c>
      <c r="I219" s="1" t="str">
        <f ca="1">IFERROR(__xludf.DUMMYFUNCTION("""COMPUTED_VALUE"""),"Springer")</f>
        <v>Springer</v>
      </c>
      <c r="J219" s="1">
        <f ca="1">IFERROR(__xludf.DUMMYFUNCTION("""COMPUTED_VALUE"""),2016)</f>
        <v>2016</v>
      </c>
      <c r="K219" s="1" t="str">
        <f ca="1">IFERROR(__xludf.DUMMYFUNCTION("""COMPUTED_VALUE"""),"Engineering")</f>
        <v>Engineering</v>
      </c>
      <c r="L219" s="1" t="str">
        <f ca="1">IFERROR(__xludf.DUMMYFUNCTION("""COMPUTED_VALUE"""),"〇")</f>
        <v>〇</v>
      </c>
      <c r="M219" s="1"/>
      <c r="N219" s="1" t="str">
        <f ca="1">IFERROR(__xludf.DUMMYFUNCTION("""COMPUTED_VALUE"""),"SNS16")</f>
        <v>SNS16</v>
      </c>
      <c r="O219" s="1"/>
      <c r="P219" s="1"/>
    </row>
    <row r="220" spans="1:16" ht="14.25" customHeight="1" x14ac:dyDescent="0.25">
      <c r="A220" s="1"/>
      <c r="B220" s="1">
        <f ca="1"/>
        <v>208</v>
      </c>
      <c r="C220" s="1">
        <f ca="1">IFERROR(__xludf.DUMMYFUNCTION("""COMPUTED_VALUE"""),2023)</f>
        <v>2023</v>
      </c>
      <c r="D220" s="1">
        <f ca="1">IFERROR(__xludf.DUMMYFUNCTION("""COMPUTED_VALUE"""),13313)</f>
        <v>13313</v>
      </c>
      <c r="E220" s="1" t="str">
        <f ca="1">IFERROR(__xludf.DUMMYFUNCTION("""COMPUTED_VALUE"""),"Australasian Plant Pathology")</f>
        <v>Australasian Plant Pathology</v>
      </c>
      <c r="F220" s="1" t="str">
        <f ca="1">IFERROR(__xludf.DUMMYFUNCTION("""COMPUTED_VALUE"""),"1448-6032")</f>
        <v>1448-6032</v>
      </c>
      <c r="G220" s="1" t="str">
        <f ca="1">IFERROR(__xludf.DUMMYFUNCTION("""COMPUTED_VALUE"""),"0815-3191")</f>
        <v>0815-3191</v>
      </c>
      <c r="H220" s="27" t="str">
        <f ca="1">IFERROR(__xludf.DUMMYFUNCTION("""COMPUTED_VALUE"""),"https://link.springer.com/journal/13313")</f>
        <v>https://link.springer.com/journal/13313</v>
      </c>
      <c r="I220" s="1" t="str">
        <f ca="1">IFERROR(__xludf.DUMMYFUNCTION("""COMPUTED_VALUE"""),"Springer")</f>
        <v>Springer</v>
      </c>
      <c r="J220" s="1">
        <f ca="1">IFERROR(__xludf.DUMMYFUNCTION("""COMPUTED_VALUE"""),2000)</f>
        <v>2000</v>
      </c>
      <c r="K220" s="1" t="str">
        <f ca="1">IFERROR(__xludf.DUMMYFUNCTION("""COMPUTED_VALUE"""),"Biomedical and Life Sciences")</f>
        <v>Biomedical and Life Sciences</v>
      </c>
      <c r="L220" s="1" t="str">
        <f ca="1">IFERROR(__xludf.DUMMYFUNCTION("""COMPUTED_VALUE"""),"〇")</f>
        <v>〇</v>
      </c>
      <c r="M220" s="1"/>
      <c r="N220" s="1" t="str">
        <f ca="1">IFERROR(__xludf.DUMMYFUNCTION("""COMPUTED_VALUE"""),"TO11")</f>
        <v>TO11</v>
      </c>
      <c r="O220" s="1"/>
      <c r="P220" s="1"/>
    </row>
    <row r="221" spans="1:16" ht="14.25" customHeight="1" x14ac:dyDescent="0.25">
      <c r="A221" s="1"/>
      <c r="B221" s="1">
        <f ca="1"/>
        <v>209</v>
      </c>
      <c r="C221" s="1">
        <f ca="1">IFERROR(__xludf.DUMMYFUNCTION("""COMPUTED_VALUE"""),2023)</f>
        <v>2023</v>
      </c>
      <c r="D221" s="1">
        <f ca="1">IFERROR(__xludf.DUMMYFUNCTION("""COMPUTED_VALUE"""),10515)</f>
        <v>10515</v>
      </c>
      <c r="E221" s="1" t="str">
        <f ca="1">IFERROR(__xludf.DUMMYFUNCTION("""COMPUTED_VALUE"""),"Automated Software Engineering")</f>
        <v>Automated Software Engineering</v>
      </c>
      <c r="F221" s="1" t="str">
        <f ca="1">IFERROR(__xludf.DUMMYFUNCTION("""COMPUTED_VALUE"""),"1573-7535")</f>
        <v>1573-7535</v>
      </c>
      <c r="G221" s="1" t="str">
        <f ca="1">IFERROR(__xludf.DUMMYFUNCTION("""COMPUTED_VALUE"""),"0928-8910")</f>
        <v>0928-8910</v>
      </c>
      <c r="H221" s="27" t="str">
        <f ca="1">IFERROR(__xludf.DUMMYFUNCTION("""COMPUTED_VALUE"""),"https://link.springer.com/journal/10515")</f>
        <v>https://link.springer.com/journal/10515</v>
      </c>
      <c r="I221" s="1" t="str">
        <f ca="1">IFERROR(__xludf.DUMMYFUNCTION("""COMPUTED_VALUE"""),"Springer")</f>
        <v>Springer</v>
      </c>
      <c r="J221" s="1">
        <f ca="1">IFERROR(__xludf.DUMMYFUNCTION("""COMPUTED_VALUE"""),2000)</f>
        <v>2000</v>
      </c>
      <c r="K221" s="1" t="str">
        <f ca="1">IFERROR(__xludf.DUMMYFUNCTION("""COMPUTED_VALUE"""),"Computer Science")</f>
        <v>Computer Science</v>
      </c>
      <c r="L221" s="1" t="str">
        <f ca="1">IFERROR(__xludf.DUMMYFUNCTION("""COMPUTED_VALUE"""),"〇")</f>
        <v>〇</v>
      </c>
      <c r="M221" s="1" t="str">
        <f ca="1">IFERROR(__xludf.DUMMYFUNCTION("""COMPUTED_VALUE"""),"〇")</f>
        <v>〇</v>
      </c>
      <c r="N221" s="1"/>
      <c r="O221" s="1"/>
      <c r="P221" s="1"/>
    </row>
    <row r="222" spans="1:16" ht="14.25" customHeight="1" x14ac:dyDescent="0.25">
      <c r="A222" s="1"/>
      <c r="B222" s="1">
        <f ca="1"/>
        <v>210</v>
      </c>
      <c r="C222" s="1">
        <f ca="1">IFERROR(__xludf.DUMMYFUNCTION("""COMPUTED_VALUE"""),2023)</f>
        <v>2023</v>
      </c>
      <c r="D222" s="1">
        <f ca="1">IFERROR(__xludf.DUMMYFUNCTION("""COMPUTED_VALUE"""),11950)</f>
        <v>11950</v>
      </c>
      <c r="E222" s="1" t="str">
        <f ca="1">IFERROR(__xludf.DUMMYFUNCTION("""COMPUTED_VALUE"""),"Automatic Control and Computer Sciences")</f>
        <v>Automatic Control and Computer Sciences</v>
      </c>
      <c r="F222" s="1" t="str">
        <f ca="1">IFERROR(__xludf.DUMMYFUNCTION("""COMPUTED_VALUE"""),"1558-108X")</f>
        <v>1558-108X</v>
      </c>
      <c r="G222" s="1" t="str">
        <f ca="1">IFERROR(__xludf.DUMMYFUNCTION("""COMPUTED_VALUE"""),"0146-4116")</f>
        <v>0146-4116</v>
      </c>
      <c r="H222" s="27" t="str">
        <f ca="1">IFERROR(__xludf.DUMMYFUNCTION("""COMPUTED_VALUE"""),"https://link.springer.com/journal/11950")</f>
        <v>https://link.springer.com/journal/11950</v>
      </c>
      <c r="I222" s="1" t="str">
        <f ca="1">IFERROR(__xludf.DUMMYFUNCTION("""COMPUTED_VALUE"""),"Pleiades Publishing")</f>
        <v>Pleiades Publishing</v>
      </c>
      <c r="J222" s="1">
        <f ca="1">IFERROR(__xludf.DUMMYFUNCTION("""COMPUTED_VALUE"""),2007)</f>
        <v>2007</v>
      </c>
      <c r="K222" s="1" t="str">
        <f ca="1">IFERROR(__xludf.DUMMYFUNCTION("""COMPUTED_VALUE"""),"Computer Science")</f>
        <v>Computer Science</v>
      </c>
      <c r="L222" s="1" t="str">
        <f ca="1">IFERROR(__xludf.DUMMYFUNCTION("""COMPUTED_VALUE"""),"〇")</f>
        <v>〇</v>
      </c>
      <c r="M222" s="1" t="str">
        <f ca="1">IFERROR(__xludf.DUMMYFUNCTION("""COMPUTED_VALUE"""),"〇")</f>
        <v>〇</v>
      </c>
      <c r="N222" s="1" t="str">
        <f ca="1">IFERROR(__xludf.DUMMYFUNCTION("""COMPUTED_VALUE"""),"TO7")</f>
        <v>TO7</v>
      </c>
      <c r="O222" s="1"/>
      <c r="P222" s="1"/>
    </row>
    <row r="223" spans="1:16" ht="14.25" customHeight="1" x14ac:dyDescent="0.25">
      <c r="A223" s="1"/>
      <c r="B223" s="1">
        <f ca="1"/>
        <v>211</v>
      </c>
      <c r="C223" s="1">
        <f ca="1">IFERROR(__xludf.DUMMYFUNCTION("""COMPUTED_VALUE"""),2023)</f>
        <v>2023</v>
      </c>
      <c r="D223" s="1">
        <f ca="1">IFERROR(__xludf.DUMMYFUNCTION("""COMPUTED_VALUE"""),11952)</f>
        <v>11952</v>
      </c>
      <c r="E223" s="1" t="str">
        <f ca="1">IFERROR(__xludf.DUMMYFUNCTION("""COMPUTED_VALUE"""),"Automatic Documentation and Mathematical Linguistics")</f>
        <v>Automatic Documentation and Mathematical Linguistics</v>
      </c>
      <c r="F223" s="1" t="str">
        <f ca="1">IFERROR(__xludf.DUMMYFUNCTION("""COMPUTED_VALUE"""),"1934-8371")</f>
        <v>1934-8371</v>
      </c>
      <c r="G223" s="1" t="str">
        <f ca="1">IFERROR(__xludf.DUMMYFUNCTION("""COMPUTED_VALUE"""),"0005-1055")</f>
        <v>0005-1055</v>
      </c>
      <c r="H223" s="27" t="str">
        <f ca="1">IFERROR(__xludf.DUMMYFUNCTION("""COMPUTED_VALUE"""),"https://link.springer.com/journal/11952")</f>
        <v>https://link.springer.com/journal/11952</v>
      </c>
      <c r="I223" s="1" t="str">
        <f ca="1">IFERROR(__xludf.DUMMYFUNCTION("""COMPUTED_VALUE"""),"Pleiades Publishing")</f>
        <v>Pleiades Publishing</v>
      </c>
      <c r="J223" s="1">
        <f ca="1">IFERROR(__xludf.DUMMYFUNCTION("""COMPUTED_VALUE"""),2007)</f>
        <v>2007</v>
      </c>
      <c r="K223" s="1" t="str">
        <f ca="1">IFERROR(__xludf.DUMMYFUNCTION("""COMPUTED_VALUE"""),"Computer Science")</f>
        <v>Computer Science</v>
      </c>
      <c r="L223" s="1" t="str">
        <f ca="1">IFERROR(__xludf.DUMMYFUNCTION("""COMPUTED_VALUE"""),"〇")</f>
        <v>〇</v>
      </c>
      <c r="M223" s="1" t="str">
        <f ca="1">IFERROR(__xludf.DUMMYFUNCTION("""COMPUTED_VALUE"""),"〇")</f>
        <v>〇</v>
      </c>
      <c r="N223" s="1" t="str">
        <f ca="1">IFERROR(__xludf.DUMMYFUNCTION("""COMPUTED_VALUE"""),"TO7")</f>
        <v>TO7</v>
      </c>
      <c r="O223" s="1"/>
      <c r="P223" s="1"/>
    </row>
    <row r="224" spans="1:16" ht="14.25" customHeight="1" x14ac:dyDescent="0.25">
      <c r="A224" s="1"/>
      <c r="B224" s="1">
        <f ca="1"/>
        <v>212</v>
      </c>
      <c r="C224" s="1">
        <f ca="1">IFERROR(__xludf.DUMMYFUNCTION("""COMPUTED_VALUE"""),2023)</f>
        <v>2023</v>
      </c>
      <c r="D224" s="1">
        <f ca="1">IFERROR(__xludf.DUMMYFUNCTION("""COMPUTED_VALUE"""),10513)</f>
        <v>10513</v>
      </c>
      <c r="E224" s="1" t="str">
        <f ca="1">IFERROR(__xludf.DUMMYFUNCTION("""COMPUTED_VALUE"""),"Automation and Remote Control")</f>
        <v>Automation and Remote Control</v>
      </c>
      <c r="F224" s="1" t="str">
        <f ca="1">IFERROR(__xludf.DUMMYFUNCTION("""COMPUTED_VALUE"""),"1608-3032")</f>
        <v>1608-3032</v>
      </c>
      <c r="G224" s="1" t="str">
        <f ca="1">IFERROR(__xludf.DUMMYFUNCTION("""COMPUTED_VALUE"""),"0005-1179")</f>
        <v>0005-1179</v>
      </c>
      <c r="H224" s="27" t="str">
        <f ca="1">IFERROR(__xludf.DUMMYFUNCTION("""COMPUTED_VALUE"""),"https://link.springer.com/journal/10513")</f>
        <v>https://link.springer.com/journal/10513</v>
      </c>
      <c r="I224" s="1" t="str">
        <f ca="1">IFERROR(__xludf.DUMMYFUNCTION("""COMPUTED_VALUE"""),"Pleiades Publishing")</f>
        <v>Pleiades Publishing</v>
      </c>
      <c r="J224" s="1">
        <f ca="1">IFERROR(__xludf.DUMMYFUNCTION("""COMPUTED_VALUE"""),2001)</f>
        <v>2001</v>
      </c>
      <c r="K224" s="1" t="str">
        <f ca="1">IFERROR(__xludf.DUMMYFUNCTION("""COMPUTED_VALUE"""),"Mathematics and Statistics")</f>
        <v>Mathematics and Statistics</v>
      </c>
      <c r="L224" s="1" t="str">
        <f ca="1">IFERROR(__xludf.DUMMYFUNCTION("""COMPUTED_VALUE"""),"〇")</f>
        <v>〇</v>
      </c>
      <c r="M224" s="1" t="str">
        <f ca="1">IFERROR(__xludf.DUMMYFUNCTION("""COMPUTED_VALUE"""),"〇")</f>
        <v>〇</v>
      </c>
      <c r="N224" s="1"/>
      <c r="O224" s="1"/>
      <c r="P224" s="1"/>
    </row>
    <row r="225" spans="1:16" ht="14.25" customHeight="1" x14ac:dyDescent="0.25">
      <c r="A225" s="1"/>
      <c r="B225" s="1">
        <f ca="1"/>
        <v>213</v>
      </c>
      <c r="C225" s="1">
        <f ca="1">IFERROR(__xludf.DUMMYFUNCTION("""COMPUTED_VALUE"""),2023)</f>
        <v>2023</v>
      </c>
      <c r="D225" s="1">
        <f ca="1">IFERROR(__xludf.DUMMYFUNCTION("""COMPUTED_VALUE"""),41104)</f>
        <v>41104</v>
      </c>
      <c r="E225" s="1" t="str">
        <f ca="1">IFERROR(__xludf.DUMMYFUNCTION("""COMPUTED_VALUE"""),"Automotive and Engine Technology")</f>
        <v>Automotive and Engine Technology</v>
      </c>
      <c r="F225" s="1" t="str">
        <f ca="1">IFERROR(__xludf.DUMMYFUNCTION("""COMPUTED_VALUE"""),"2365-5135")</f>
        <v>2365-5135</v>
      </c>
      <c r="G225" s="1"/>
      <c r="H225" s="27" t="str">
        <f ca="1">IFERROR(__xludf.DUMMYFUNCTION("""COMPUTED_VALUE"""),"https://link.springer.com/journal/41104")</f>
        <v>https://link.springer.com/journal/41104</v>
      </c>
      <c r="I225" s="1" t="str">
        <f ca="1">IFERROR(__xludf.DUMMYFUNCTION("""COMPUTED_VALUE"""),"Springer")</f>
        <v>Springer</v>
      </c>
      <c r="J225" s="1">
        <f ca="1">IFERROR(__xludf.DUMMYFUNCTION("""COMPUTED_VALUE"""),2016)</f>
        <v>2016</v>
      </c>
      <c r="K225" s="1" t="str">
        <f ca="1">IFERROR(__xludf.DUMMYFUNCTION("""COMPUTED_VALUE"""),"Engineering")</f>
        <v>Engineering</v>
      </c>
      <c r="L225" s="1"/>
      <c r="M225" s="1"/>
      <c r="N225" s="1" t="str">
        <f ca="1">IFERROR(__xludf.DUMMYFUNCTION("""COMPUTED_VALUE"""),"SNS16")</f>
        <v>SNS16</v>
      </c>
      <c r="O225" s="1"/>
      <c r="P225" s="1"/>
    </row>
    <row r="226" spans="1:16" ht="14.25" customHeight="1" x14ac:dyDescent="0.25">
      <c r="A226" s="1"/>
      <c r="B226" s="1">
        <f ca="1"/>
        <v>214</v>
      </c>
      <c r="C226" s="1">
        <f ca="1">IFERROR(__xludf.DUMMYFUNCTION("""COMPUTED_VALUE"""),2023)</f>
        <v>2023</v>
      </c>
      <c r="D226" s="1">
        <f ca="1">IFERROR(__xludf.DUMMYFUNCTION("""COMPUTED_VALUE"""),42154)</f>
        <v>42154</v>
      </c>
      <c r="E226" s="1" t="str">
        <f ca="1">IFERROR(__xludf.DUMMYFUNCTION("""COMPUTED_VALUE"""),"Automotive Innovation")</f>
        <v>Automotive Innovation</v>
      </c>
      <c r="F226" s="1" t="str">
        <f ca="1">IFERROR(__xludf.DUMMYFUNCTION("""COMPUTED_VALUE"""),"2522-8765")</f>
        <v>2522-8765</v>
      </c>
      <c r="G226" s="1" t="str">
        <f ca="1">IFERROR(__xludf.DUMMYFUNCTION("""COMPUTED_VALUE"""),"2096-4250")</f>
        <v>2096-4250</v>
      </c>
      <c r="H226" s="27" t="str">
        <f ca="1">IFERROR(__xludf.DUMMYFUNCTION("""COMPUTED_VALUE"""),"https://link.springer.com/journal/42154")</f>
        <v>https://link.springer.com/journal/42154</v>
      </c>
      <c r="I226" s="1" t="str">
        <f ca="1">IFERROR(__xludf.DUMMYFUNCTION("""COMPUTED_VALUE"""),"Springer")</f>
        <v>Springer</v>
      </c>
      <c r="J226" s="1">
        <f ca="1">IFERROR(__xludf.DUMMYFUNCTION("""COMPUTED_VALUE"""),2018)</f>
        <v>2018</v>
      </c>
      <c r="K226" s="1" t="str">
        <f ca="1">IFERROR(__xludf.DUMMYFUNCTION("""COMPUTED_VALUE"""),"Engineering")</f>
        <v>Engineering</v>
      </c>
      <c r="L226" s="1" t="str">
        <f ca="1">IFERROR(__xludf.DUMMYFUNCTION("""COMPUTED_VALUE"""),"〇")</f>
        <v>〇</v>
      </c>
      <c r="M226" s="1"/>
      <c r="N226" s="1" t="str">
        <f ca="1">IFERROR(__xludf.DUMMYFUNCTION("""COMPUTED_VALUE"""),"SNS18")</f>
        <v>SNS18</v>
      </c>
      <c r="O226" s="1"/>
      <c r="P226" s="1"/>
    </row>
    <row r="227" spans="1:16" ht="14.25" customHeight="1" x14ac:dyDescent="0.25">
      <c r="A227" s="1"/>
      <c r="B227" s="1">
        <f ca="1"/>
        <v>215</v>
      </c>
      <c r="C227" s="1">
        <f ca="1">IFERROR(__xludf.DUMMYFUNCTION("""COMPUTED_VALUE"""),2023)</f>
        <v>2023</v>
      </c>
      <c r="D227" s="1">
        <f ca="1">IFERROR(__xludf.DUMMYFUNCTION("""COMPUTED_VALUE"""),10458)</f>
        <v>10458</v>
      </c>
      <c r="E227" s="1" t="str">
        <f ca="1">IFERROR(__xludf.DUMMYFUNCTION("""COMPUTED_VALUE"""),"Autonomous Agents and Multi-Agent Systems")</f>
        <v>Autonomous Agents and Multi-Agent Systems</v>
      </c>
      <c r="F227" s="1" t="str">
        <f ca="1">IFERROR(__xludf.DUMMYFUNCTION("""COMPUTED_VALUE"""),"1573-7454")</f>
        <v>1573-7454</v>
      </c>
      <c r="G227" s="1" t="str">
        <f ca="1">IFERROR(__xludf.DUMMYFUNCTION("""COMPUTED_VALUE"""),"1387-2532")</f>
        <v>1387-2532</v>
      </c>
      <c r="H227" s="27" t="str">
        <f ca="1">IFERROR(__xludf.DUMMYFUNCTION("""COMPUTED_VALUE"""),"https://link.springer.com/journal/10458")</f>
        <v>https://link.springer.com/journal/10458</v>
      </c>
      <c r="I227" s="1" t="str">
        <f ca="1">IFERROR(__xludf.DUMMYFUNCTION("""COMPUTED_VALUE"""),"Springer")</f>
        <v>Springer</v>
      </c>
      <c r="J227" s="1">
        <f ca="1">IFERROR(__xludf.DUMMYFUNCTION("""COMPUTED_VALUE"""),2000)</f>
        <v>2000</v>
      </c>
      <c r="K227" s="1" t="str">
        <f ca="1">IFERROR(__xludf.DUMMYFUNCTION("""COMPUTED_VALUE"""),"Computer Science")</f>
        <v>Computer Science</v>
      </c>
      <c r="L227" s="1" t="str">
        <f ca="1">IFERROR(__xludf.DUMMYFUNCTION("""COMPUTED_VALUE"""),"〇")</f>
        <v>〇</v>
      </c>
      <c r="M227" s="1" t="str">
        <f ca="1">IFERROR(__xludf.DUMMYFUNCTION("""COMPUTED_VALUE"""),"〇")</f>
        <v>〇</v>
      </c>
      <c r="N227" s="1"/>
      <c r="O227" s="1"/>
      <c r="P227" s="1"/>
    </row>
    <row r="228" spans="1:16" ht="14.25" customHeight="1" x14ac:dyDescent="0.25">
      <c r="A228" s="1"/>
      <c r="B228" s="1">
        <f ca="1"/>
        <v>216</v>
      </c>
      <c r="C228" s="1">
        <f ca="1">IFERROR(__xludf.DUMMYFUNCTION("""COMPUTED_VALUE"""),2023)</f>
        <v>2023</v>
      </c>
      <c r="D228" s="1">
        <f ca="1">IFERROR(__xludf.DUMMYFUNCTION("""COMPUTED_VALUE"""),10514)</f>
        <v>10514</v>
      </c>
      <c r="E228" s="1" t="str">
        <f ca="1">IFERROR(__xludf.DUMMYFUNCTION("""COMPUTED_VALUE"""),"Autonomous Robots")</f>
        <v>Autonomous Robots</v>
      </c>
      <c r="F228" s="1" t="str">
        <f ca="1">IFERROR(__xludf.DUMMYFUNCTION("""COMPUTED_VALUE"""),"1573-7527")</f>
        <v>1573-7527</v>
      </c>
      <c r="G228" s="1" t="str">
        <f ca="1">IFERROR(__xludf.DUMMYFUNCTION("""COMPUTED_VALUE"""),"0929-5593")</f>
        <v>0929-5593</v>
      </c>
      <c r="H228" s="27" t="str">
        <f ca="1">IFERROR(__xludf.DUMMYFUNCTION("""COMPUTED_VALUE"""),"https://link.springer.com/journal/10514")</f>
        <v>https://link.springer.com/journal/10514</v>
      </c>
      <c r="I228" s="1" t="str">
        <f ca="1">IFERROR(__xludf.DUMMYFUNCTION("""COMPUTED_VALUE"""),"Springer")</f>
        <v>Springer</v>
      </c>
      <c r="J228" s="1">
        <f ca="1">IFERROR(__xludf.DUMMYFUNCTION("""COMPUTED_VALUE"""),2000)</f>
        <v>2000</v>
      </c>
      <c r="K228" s="1" t="str">
        <f ca="1">IFERROR(__xludf.DUMMYFUNCTION("""COMPUTED_VALUE"""),"Engineering")</f>
        <v>Engineering</v>
      </c>
      <c r="L228" s="1" t="str">
        <f ca="1">IFERROR(__xludf.DUMMYFUNCTION("""COMPUTED_VALUE"""),"〇")</f>
        <v>〇</v>
      </c>
      <c r="M228" s="1" t="str">
        <f ca="1">IFERROR(__xludf.DUMMYFUNCTION("""COMPUTED_VALUE"""),"〇")</f>
        <v>〇</v>
      </c>
      <c r="N228" s="1"/>
      <c r="O228" s="1"/>
      <c r="P228" s="1"/>
    </row>
    <row r="229" spans="1:16" ht="14.25" customHeight="1" x14ac:dyDescent="0.25">
      <c r="A229" s="1"/>
      <c r="B229" s="1">
        <f ca="1"/>
        <v>217</v>
      </c>
      <c r="C229" s="1">
        <f ca="1">IFERROR(__xludf.DUMMYFUNCTION("""COMPUTED_VALUE"""),2023)</f>
        <v>2023</v>
      </c>
      <c r="D229" s="1">
        <f ca="1">IFERROR(__xludf.DUMMYFUNCTION("""COMPUTED_VALUE"""),10516)</f>
        <v>10516</v>
      </c>
      <c r="E229" s="1" t="str">
        <f ca="1">IFERROR(__xludf.DUMMYFUNCTION("""COMPUTED_VALUE"""),"Global Philosophy")</f>
        <v>Global Philosophy</v>
      </c>
      <c r="F229" s="1" t="str">
        <f ca="1">IFERROR(__xludf.DUMMYFUNCTION("""COMPUTED_VALUE"""),"1572-8390")</f>
        <v>1572-8390</v>
      </c>
      <c r="G229" s="1" t="str">
        <f ca="1">IFERROR(__xludf.DUMMYFUNCTION("""COMPUTED_VALUE"""),"1122-1151")</f>
        <v>1122-1151</v>
      </c>
      <c r="H229" s="27" t="str">
        <f ca="1">IFERROR(__xludf.DUMMYFUNCTION("""COMPUTED_VALUE"""),"https://link.springer.com/journal/10516")</f>
        <v>https://link.springer.com/journal/10516</v>
      </c>
      <c r="I229" s="1" t="str">
        <f ca="1">IFERROR(__xludf.DUMMYFUNCTION("""COMPUTED_VALUE"""),"Springer")</f>
        <v>Springer</v>
      </c>
      <c r="J229" s="1">
        <f ca="1">IFERROR(__xludf.DUMMYFUNCTION("""COMPUTED_VALUE"""),2000)</f>
        <v>2000</v>
      </c>
      <c r="K229" s="1" t="str">
        <f ca="1">IFERROR(__xludf.DUMMYFUNCTION("""COMPUTED_VALUE"""),"Education")</f>
        <v>Education</v>
      </c>
      <c r="L229" s="1" t="str">
        <f ca="1">IFERROR(__xludf.DUMMYFUNCTION("""COMPUTED_VALUE"""),"〇")</f>
        <v>〇</v>
      </c>
      <c r="M229" s="1" t="str">
        <f ca="1">IFERROR(__xludf.DUMMYFUNCTION("""COMPUTED_VALUE"""),"〇")</f>
        <v>〇</v>
      </c>
      <c r="N229" s="1"/>
      <c r="O229" s="1"/>
      <c r="P229" s="1"/>
    </row>
    <row r="230" spans="1:16" ht="14.25" customHeight="1" x14ac:dyDescent="0.25">
      <c r="A230" s="1"/>
      <c r="B230" s="1">
        <f ca="1"/>
        <v>218</v>
      </c>
      <c r="C230" s="1">
        <f ca="1">IFERROR(__xludf.DUMMYFUNCTION("""COMPUTED_VALUE"""),2023)</f>
        <v>2023</v>
      </c>
      <c r="D230" s="1">
        <f ca="1">IFERROR(__xludf.DUMMYFUNCTION("""COMPUTED_VALUE"""),43037)</f>
        <v>43037</v>
      </c>
      <c r="E230" s="1" t="str">
        <f ca="1">IFERROR(__xludf.DUMMYFUNCTION("""COMPUTED_VALUE"""),"Banach Journal of Mathematical Analysis")</f>
        <v>Banach Journal of Mathematical Analysis</v>
      </c>
      <c r="F230" s="1" t="str">
        <f ca="1">IFERROR(__xludf.DUMMYFUNCTION("""COMPUTED_VALUE"""),"1735-8787")</f>
        <v>1735-8787</v>
      </c>
      <c r="G230" s="1" t="str">
        <f ca="1">IFERROR(__xludf.DUMMYFUNCTION("""COMPUTED_VALUE"""),"2662-2033")</f>
        <v>2662-2033</v>
      </c>
      <c r="H230" s="27" t="str">
        <f ca="1">IFERROR(__xludf.DUMMYFUNCTION("""COMPUTED_VALUE"""),"https://link.springer.com/journal/43037")</f>
        <v>https://link.springer.com/journal/43037</v>
      </c>
      <c r="I230" s="1" t="str">
        <f ca="1">IFERROR(__xludf.DUMMYFUNCTION("""COMPUTED_VALUE"""),"Birkhäuser")</f>
        <v>Birkhäuser</v>
      </c>
      <c r="J230" s="1">
        <f ca="1">IFERROR(__xludf.DUMMYFUNCTION("""COMPUTED_VALUE"""),2020)</f>
        <v>2020</v>
      </c>
      <c r="K230" s="1" t="str">
        <f ca="1">IFERROR(__xludf.DUMMYFUNCTION("""COMPUTED_VALUE"""),"Mathematics and Statistics")</f>
        <v>Mathematics and Statistics</v>
      </c>
      <c r="L230" s="1" t="str">
        <f ca="1">IFERROR(__xludf.DUMMYFUNCTION("""COMPUTED_VALUE"""),"〇")</f>
        <v>〇</v>
      </c>
      <c r="M230" s="1"/>
      <c r="N230" s="1" t="str">
        <f ca="1">IFERROR(__xludf.DUMMYFUNCTION("""COMPUTED_VALUE"""),"TO20")</f>
        <v>TO20</v>
      </c>
      <c r="O230" s="1"/>
      <c r="P230" s="1"/>
    </row>
    <row r="231" spans="1:16" ht="14.25" customHeight="1" x14ac:dyDescent="0.25">
      <c r="A231" s="1"/>
      <c r="B231" s="1">
        <f ca="1"/>
        <v>219</v>
      </c>
      <c r="C231" s="1">
        <f ca="1">IFERROR(__xludf.DUMMYFUNCTION("""COMPUTED_VALUE"""),2023)</f>
        <v>2023</v>
      </c>
      <c r="D231" s="1">
        <f ca="1">IFERROR(__xludf.DUMMYFUNCTION("""COMPUTED_VALUE"""),395)</f>
        <v>395</v>
      </c>
      <c r="E231" s="1" t="str">
        <f ca="1">IFERROR(__xludf.DUMMYFUNCTION("""COMPUTED_VALUE"""),"Basic Research in Cardiology")</f>
        <v>Basic Research in Cardiology</v>
      </c>
      <c r="F231" s="1" t="str">
        <f ca="1">IFERROR(__xludf.DUMMYFUNCTION("""COMPUTED_VALUE"""),"1435-1803")</f>
        <v>1435-1803</v>
      </c>
      <c r="G231" s="1"/>
      <c r="H231" s="27" t="str">
        <f ca="1">IFERROR(__xludf.DUMMYFUNCTION("""COMPUTED_VALUE"""),"https://link.springer.com/journal/395")</f>
        <v>https://link.springer.com/journal/395</v>
      </c>
      <c r="I231" s="1" t="str">
        <f ca="1">IFERROR(__xludf.DUMMYFUNCTION("""COMPUTED_VALUE"""),"Springer")</f>
        <v>Springer</v>
      </c>
      <c r="J231" s="1">
        <f ca="1">IFERROR(__xludf.DUMMYFUNCTION("""COMPUTED_VALUE"""),2000)</f>
        <v>2000</v>
      </c>
      <c r="K231" s="1" t="str">
        <f ca="1">IFERROR(__xludf.DUMMYFUNCTION("""COMPUTED_VALUE"""),"Medicine")</f>
        <v>Medicine</v>
      </c>
      <c r="L231" s="1"/>
      <c r="M231" s="1" t="str">
        <f ca="1">IFERROR(__xludf.DUMMYFUNCTION("""COMPUTED_VALUE"""),"〇")</f>
        <v>〇</v>
      </c>
      <c r="N231" s="1"/>
      <c r="O231" s="1"/>
      <c r="P231" s="1"/>
    </row>
    <row r="232" spans="1:16" ht="14.25" customHeight="1" x14ac:dyDescent="0.25">
      <c r="A232" s="1"/>
      <c r="B232" s="1">
        <f ca="1"/>
        <v>220</v>
      </c>
      <c r="C232" s="1">
        <f ca="1">IFERROR(__xludf.DUMMYFUNCTION("""COMPUTED_VALUE"""),2023)</f>
        <v>2023</v>
      </c>
      <c r="D232" s="1">
        <f ca="1">IFERROR(__xludf.DUMMYFUNCTION("""COMPUTED_VALUE"""),40617)</f>
        <v>40617</v>
      </c>
      <c r="E232" s="1" t="str">
        <f ca="1">IFERROR(__xludf.DUMMYFUNCTION("""COMPUTED_VALUE"""),"Behavior Analysis in Practice")</f>
        <v>Behavior Analysis in Practice</v>
      </c>
      <c r="F232" s="1" t="str">
        <f ca="1">IFERROR(__xludf.DUMMYFUNCTION("""COMPUTED_VALUE"""),"2196-8934")</f>
        <v>2196-8934</v>
      </c>
      <c r="G232" s="1" t="str">
        <f ca="1">IFERROR(__xludf.DUMMYFUNCTION("""COMPUTED_VALUE"""),"1998-1929")</f>
        <v>1998-1929</v>
      </c>
      <c r="H232" s="27" t="str">
        <f ca="1">IFERROR(__xludf.DUMMYFUNCTION("""COMPUTED_VALUE"""),"https://link.springer.com/journal/40617")</f>
        <v>https://link.springer.com/journal/40617</v>
      </c>
      <c r="I232" s="1" t="str">
        <f ca="1">IFERROR(__xludf.DUMMYFUNCTION("""COMPUTED_VALUE"""),"Springer")</f>
        <v>Springer</v>
      </c>
      <c r="J232" s="1">
        <f ca="1">IFERROR(__xludf.DUMMYFUNCTION("""COMPUTED_VALUE"""),2008)</f>
        <v>2008</v>
      </c>
      <c r="K232" s="1" t="str">
        <f ca="1">IFERROR(__xludf.DUMMYFUNCTION("""COMPUTED_VALUE"""),"Behavioral Science and Psychology")</f>
        <v>Behavioral Science and Psychology</v>
      </c>
      <c r="L232" s="1" t="str">
        <f ca="1">IFERROR(__xludf.DUMMYFUNCTION("""COMPUTED_VALUE"""),"〇")</f>
        <v>〇</v>
      </c>
      <c r="M232" s="1"/>
      <c r="N232" s="1" t="str">
        <f ca="1">IFERROR(__xludf.DUMMYFUNCTION("""COMPUTED_VALUE"""),"TO14")</f>
        <v>TO14</v>
      </c>
      <c r="O232" s="1"/>
      <c r="P232" s="1"/>
    </row>
    <row r="233" spans="1:16" ht="14.25" customHeight="1" x14ac:dyDescent="0.25">
      <c r="A233" s="1"/>
      <c r="B233" s="1">
        <f ca="1"/>
        <v>221</v>
      </c>
      <c r="C233" s="1">
        <f ca="1">IFERROR(__xludf.DUMMYFUNCTION("""COMPUTED_VALUE"""),2023)</f>
        <v>2023</v>
      </c>
      <c r="D233" s="1">
        <f ca="1">IFERROR(__xludf.DUMMYFUNCTION("""COMPUTED_VALUE"""),42822)</f>
        <v>42822</v>
      </c>
      <c r="E233" s="1" t="str">
        <f ca="1">IFERROR(__xludf.DUMMYFUNCTION("""COMPUTED_VALUE"""),"Behavior and Social Issues")</f>
        <v>Behavior and Social Issues</v>
      </c>
      <c r="F233" s="1" t="str">
        <f ca="1">IFERROR(__xludf.DUMMYFUNCTION("""COMPUTED_VALUE"""),"2376-6786")</f>
        <v>2376-6786</v>
      </c>
      <c r="G233" s="1" t="str">
        <f ca="1">IFERROR(__xludf.DUMMYFUNCTION("""COMPUTED_VALUE"""),"1064-9506")</f>
        <v>1064-9506</v>
      </c>
      <c r="H233" s="27" t="str">
        <f ca="1">IFERROR(__xludf.DUMMYFUNCTION("""COMPUTED_VALUE"""),"https://link.springer.com/journal/42822")</f>
        <v>https://link.springer.com/journal/42822</v>
      </c>
      <c r="I233" s="1" t="str">
        <f ca="1">IFERROR(__xludf.DUMMYFUNCTION("""COMPUTED_VALUE"""),"Springer")</f>
        <v>Springer</v>
      </c>
      <c r="J233" s="1">
        <f ca="1">IFERROR(__xludf.DUMMYFUNCTION("""COMPUTED_VALUE"""),2000)</f>
        <v>2000</v>
      </c>
      <c r="K233" s="1" t="str">
        <f ca="1">IFERROR(__xludf.DUMMYFUNCTION("""COMPUTED_VALUE"""),"Behavioral Science and Psychology")</f>
        <v>Behavioral Science and Psychology</v>
      </c>
      <c r="L233" s="1" t="str">
        <f ca="1">IFERROR(__xludf.DUMMYFUNCTION("""COMPUTED_VALUE"""),"〇")</f>
        <v>〇</v>
      </c>
      <c r="M233" s="1"/>
      <c r="N233" s="1" t="str">
        <f ca="1">IFERROR(__xludf.DUMMYFUNCTION("""COMPUTED_VALUE"""),"TO19")</f>
        <v>TO19</v>
      </c>
      <c r="O233" s="1"/>
      <c r="P233" s="1"/>
    </row>
    <row r="234" spans="1:16" ht="14.25" customHeight="1" x14ac:dyDescent="0.25">
      <c r="A234" s="1"/>
      <c r="B234" s="1">
        <f ca="1"/>
        <v>222</v>
      </c>
      <c r="C234" s="1">
        <f ca="1">IFERROR(__xludf.DUMMYFUNCTION("""COMPUTED_VALUE"""),2023)</f>
        <v>2023</v>
      </c>
      <c r="D234" s="1">
        <f ca="1">IFERROR(__xludf.DUMMYFUNCTION("""COMPUTED_VALUE"""),10519)</f>
        <v>10519</v>
      </c>
      <c r="E234" s="1" t="str">
        <f ca="1">IFERROR(__xludf.DUMMYFUNCTION("""COMPUTED_VALUE"""),"Behavior Genetics")</f>
        <v>Behavior Genetics</v>
      </c>
      <c r="F234" s="1" t="str">
        <f ca="1">IFERROR(__xludf.DUMMYFUNCTION("""COMPUTED_VALUE"""),"1573-3297")</f>
        <v>1573-3297</v>
      </c>
      <c r="G234" s="1" t="str">
        <f ca="1">IFERROR(__xludf.DUMMYFUNCTION("""COMPUTED_VALUE"""),"0001-8244")</f>
        <v>0001-8244</v>
      </c>
      <c r="H234" s="27" t="str">
        <f ca="1">IFERROR(__xludf.DUMMYFUNCTION("""COMPUTED_VALUE"""),"https://link.springer.com/journal/10519")</f>
        <v>https://link.springer.com/journal/10519</v>
      </c>
      <c r="I234" s="1" t="str">
        <f ca="1">IFERROR(__xludf.DUMMYFUNCTION("""COMPUTED_VALUE"""),"Springer")</f>
        <v>Springer</v>
      </c>
      <c r="J234" s="1">
        <f ca="1">IFERROR(__xludf.DUMMYFUNCTION("""COMPUTED_VALUE"""),2000)</f>
        <v>2000</v>
      </c>
      <c r="K234" s="1" t="str">
        <f ca="1">IFERROR(__xludf.DUMMYFUNCTION("""COMPUTED_VALUE"""),"Behavioral Science and Psychology")</f>
        <v>Behavioral Science and Psychology</v>
      </c>
      <c r="L234" s="1" t="str">
        <f ca="1">IFERROR(__xludf.DUMMYFUNCTION("""COMPUTED_VALUE"""),"〇")</f>
        <v>〇</v>
      </c>
      <c r="M234" s="1" t="str">
        <f ca="1">IFERROR(__xludf.DUMMYFUNCTION("""COMPUTED_VALUE"""),"〇")</f>
        <v>〇</v>
      </c>
      <c r="N234" s="1"/>
      <c r="O234" s="1"/>
      <c r="P234" s="1"/>
    </row>
    <row r="235" spans="1:16" ht="14.25" customHeight="1" x14ac:dyDescent="0.25">
      <c r="A235" s="1"/>
      <c r="B235" s="1">
        <f ca="1"/>
        <v>223</v>
      </c>
      <c r="C235" s="1">
        <f ca="1">IFERROR(__xludf.DUMMYFUNCTION("""COMPUTED_VALUE"""),2023)</f>
        <v>2023</v>
      </c>
      <c r="D235" s="1">
        <f ca="1">IFERROR(__xludf.DUMMYFUNCTION("""COMPUTED_VALUE"""),13428)</f>
        <v>13428</v>
      </c>
      <c r="E235" s="1" t="str">
        <f ca="1">IFERROR(__xludf.DUMMYFUNCTION("""COMPUTED_VALUE"""),"Behavior Research Methods")</f>
        <v>Behavior Research Methods</v>
      </c>
      <c r="F235" s="1" t="str">
        <f ca="1">IFERROR(__xludf.DUMMYFUNCTION("""COMPUTED_VALUE"""),"1554-3528")</f>
        <v>1554-3528</v>
      </c>
      <c r="G235" s="1"/>
      <c r="H235" s="27" t="str">
        <f ca="1">IFERROR(__xludf.DUMMYFUNCTION("""COMPUTED_VALUE"""),"https://link.springer.com/journal/13428")</f>
        <v>https://link.springer.com/journal/13428</v>
      </c>
      <c r="I235" s="1" t="str">
        <f ca="1">IFERROR(__xludf.DUMMYFUNCTION("""COMPUTED_VALUE"""),"Springer")</f>
        <v>Springer</v>
      </c>
      <c r="J235" s="1">
        <f ca="1">IFERROR(__xludf.DUMMYFUNCTION("""COMPUTED_VALUE"""),2000)</f>
        <v>2000</v>
      </c>
      <c r="K235" s="1" t="str">
        <f ca="1">IFERROR(__xludf.DUMMYFUNCTION("""COMPUTED_VALUE"""),"Behavioral Science and Psychology")</f>
        <v>Behavioral Science and Psychology</v>
      </c>
      <c r="L235" s="1"/>
      <c r="M235" s="1"/>
      <c r="N235" s="1" t="str">
        <f ca="1">IFERROR(__xludf.DUMMYFUNCTION("""COMPUTED_VALUE"""),"TO11")</f>
        <v>TO11</v>
      </c>
      <c r="O235" s="1"/>
      <c r="P235" s="1"/>
    </row>
    <row r="236" spans="1:16" ht="14.25" customHeight="1" x14ac:dyDescent="0.25">
      <c r="A236" s="1"/>
      <c r="B236" s="1">
        <f ca="1"/>
        <v>224</v>
      </c>
      <c r="C236" s="1">
        <f ca="1">IFERROR(__xludf.DUMMYFUNCTION("""COMPUTED_VALUE"""),2023)</f>
        <v>2023</v>
      </c>
      <c r="D236" s="1">
        <f ca="1">IFERROR(__xludf.DUMMYFUNCTION("""COMPUTED_VALUE"""),265)</f>
        <v>265</v>
      </c>
      <c r="E236" s="1" t="str">
        <f ca="1">IFERROR(__xludf.DUMMYFUNCTION("""COMPUTED_VALUE"""),"Behavioral Ecology and Sociobiology")</f>
        <v>Behavioral Ecology and Sociobiology</v>
      </c>
      <c r="F236" s="1" t="str">
        <f ca="1">IFERROR(__xludf.DUMMYFUNCTION("""COMPUTED_VALUE"""),"1432-0762")</f>
        <v>1432-0762</v>
      </c>
      <c r="G236" s="1" t="str">
        <f ca="1">IFERROR(__xludf.DUMMYFUNCTION("""COMPUTED_VALUE"""),"0340-5443")</f>
        <v>0340-5443</v>
      </c>
      <c r="H236" s="27" t="str">
        <f ca="1">IFERROR(__xludf.DUMMYFUNCTION("""COMPUTED_VALUE"""),"https://link.springer.com/journal/265")</f>
        <v>https://link.springer.com/journal/265</v>
      </c>
      <c r="I236" s="1" t="str">
        <f ca="1">IFERROR(__xludf.DUMMYFUNCTION("""COMPUTED_VALUE"""),"Springer")</f>
        <v>Springer</v>
      </c>
      <c r="J236" s="1">
        <f ca="1">IFERROR(__xludf.DUMMYFUNCTION("""COMPUTED_VALUE"""),2000)</f>
        <v>2000</v>
      </c>
      <c r="K236" s="1" t="str">
        <f ca="1">IFERROR(__xludf.DUMMYFUNCTION("""COMPUTED_VALUE"""),"Biomedical and Life Sciences")</f>
        <v>Biomedical and Life Sciences</v>
      </c>
      <c r="L236" s="1" t="str">
        <f ca="1">IFERROR(__xludf.DUMMYFUNCTION("""COMPUTED_VALUE"""),"〇")</f>
        <v>〇</v>
      </c>
      <c r="M236" s="1" t="str">
        <f ca="1">IFERROR(__xludf.DUMMYFUNCTION("""COMPUTED_VALUE"""),"〇")</f>
        <v>〇</v>
      </c>
      <c r="N236" s="1"/>
      <c r="O236" s="1"/>
      <c r="P236" s="1"/>
    </row>
    <row r="237" spans="1:16" ht="14.25" customHeight="1" x14ac:dyDescent="0.25">
      <c r="A237" s="1"/>
      <c r="B237" s="1">
        <f ca="1"/>
        <v>225</v>
      </c>
      <c r="C237" s="1">
        <f ca="1">IFERROR(__xludf.DUMMYFUNCTION("""COMPUTED_VALUE"""),2023)</f>
        <v>2023</v>
      </c>
      <c r="D237" s="1">
        <f ca="1">IFERROR(__xludf.DUMMYFUNCTION("""COMPUTED_VALUE"""),41237)</f>
        <v>41237</v>
      </c>
      <c r="E237" s="1" t="str">
        <f ca="1">IFERROR(__xludf.DUMMYFUNCTION("""COMPUTED_VALUE"""),"Behaviormetrika")</f>
        <v>Behaviormetrika</v>
      </c>
      <c r="F237" s="1" t="str">
        <f ca="1">IFERROR(__xludf.DUMMYFUNCTION("""COMPUTED_VALUE"""),"1349-6964")</f>
        <v>1349-6964</v>
      </c>
      <c r="G237" s="1" t="str">
        <f ca="1">IFERROR(__xludf.DUMMYFUNCTION("""COMPUTED_VALUE"""),"0385-7417")</f>
        <v>0385-7417</v>
      </c>
      <c r="H237" s="27" t="str">
        <f ca="1">IFERROR(__xludf.DUMMYFUNCTION("""COMPUTED_VALUE"""),"https://link.springer.com/journal/41237")</f>
        <v>https://link.springer.com/journal/41237</v>
      </c>
      <c r="I237" s="1" t="str">
        <f ca="1">IFERROR(__xludf.DUMMYFUNCTION("""COMPUTED_VALUE"""),"Springer")</f>
        <v>Springer</v>
      </c>
      <c r="J237" s="1">
        <f ca="1">IFERROR(__xludf.DUMMYFUNCTION("""COMPUTED_VALUE"""),2000)</f>
        <v>2000</v>
      </c>
      <c r="K237" s="1" t="str">
        <f ca="1">IFERROR(__xludf.DUMMYFUNCTION("""COMPUTED_VALUE"""),"Mathematics and Statistics")</f>
        <v>Mathematics and Statistics</v>
      </c>
      <c r="L237" s="1" t="str">
        <f ca="1">IFERROR(__xludf.DUMMYFUNCTION("""COMPUTED_VALUE"""),"〇")</f>
        <v>〇</v>
      </c>
      <c r="M237" s="1"/>
      <c r="N237" s="1" t="str">
        <f ca="1">IFERROR(__xludf.DUMMYFUNCTION("""COMPUTED_VALUE"""),"TO17")</f>
        <v>TO17</v>
      </c>
      <c r="O237" s="1"/>
      <c r="P237" s="1"/>
    </row>
    <row r="238" spans="1:16" ht="14.25" customHeight="1" x14ac:dyDescent="0.25">
      <c r="A238" s="1"/>
      <c r="B238" s="1">
        <f ca="1"/>
        <v>226</v>
      </c>
      <c r="C238" s="1">
        <f ca="1">IFERROR(__xludf.DUMMYFUNCTION("""COMPUTED_VALUE"""),2023)</f>
        <v>2023</v>
      </c>
      <c r="D238" s="1">
        <f ca="1">IFERROR(__xludf.DUMMYFUNCTION("""COMPUTED_VALUE"""),13366)</f>
        <v>13366</v>
      </c>
      <c r="E238" s="1" t="str">
        <f ca="1">IFERROR(__xludf.DUMMYFUNCTION("""COMPUTED_VALUE"""),"Beiträge zur Algebra und Geometrie / Contributions to Algebra and Geometry")</f>
        <v>Beiträge zur Algebra und Geometrie / Contributions to Algebra and Geometry</v>
      </c>
      <c r="F238" s="1" t="str">
        <f ca="1">IFERROR(__xludf.DUMMYFUNCTION("""COMPUTED_VALUE"""),"2191-0383")</f>
        <v>2191-0383</v>
      </c>
      <c r="G238" s="1" t="str">
        <f ca="1">IFERROR(__xludf.DUMMYFUNCTION("""COMPUTED_VALUE"""),"0138-4821")</f>
        <v>0138-4821</v>
      </c>
      <c r="H238" s="27" t="str">
        <f ca="1">IFERROR(__xludf.DUMMYFUNCTION("""COMPUTED_VALUE"""),"https://link.springer.com/journal/13366")</f>
        <v>https://link.springer.com/journal/13366</v>
      </c>
      <c r="I238" s="1" t="str">
        <f ca="1">IFERROR(__xludf.DUMMYFUNCTION("""COMPUTED_VALUE"""),"Springer")</f>
        <v>Springer</v>
      </c>
      <c r="J238" s="1">
        <f ca="1">IFERROR(__xludf.DUMMYFUNCTION("""COMPUTED_VALUE"""),2011)</f>
        <v>2011</v>
      </c>
      <c r="K238" s="1" t="str">
        <f ca="1">IFERROR(__xludf.DUMMYFUNCTION("""COMPUTED_VALUE"""),"Mathematics and Statistics")</f>
        <v>Mathematics and Statistics</v>
      </c>
      <c r="L238" s="1" t="str">
        <f ca="1">IFERROR(__xludf.DUMMYFUNCTION("""COMPUTED_VALUE"""),"〇")</f>
        <v>〇</v>
      </c>
      <c r="M238" s="1"/>
      <c r="N238" s="1" t="str">
        <f ca="1">IFERROR(__xludf.DUMMYFUNCTION("""COMPUTED_VALUE"""),"TO11")</f>
        <v>TO11</v>
      </c>
      <c r="O238" s="1"/>
      <c r="P238" s="1"/>
    </row>
    <row r="239" spans="1:16" ht="14.25" customHeight="1" x14ac:dyDescent="0.25">
      <c r="A239" s="1"/>
      <c r="B239" s="1">
        <f ca="1"/>
        <v>227</v>
      </c>
      <c r="C239" s="1">
        <f ca="1">IFERROR(__xludf.DUMMYFUNCTION("""COMPUTED_VALUE"""),2023)</f>
        <v>2023</v>
      </c>
      <c r="D239" s="1">
        <f ca="1">IFERROR(__xludf.DUMMYFUNCTION("""COMPUTED_VALUE"""),11609)</f>
        <v>11609</v>
      </c>
      <c r="E239" s="1" t="str">
        <f ca="1">IFERROR(__xludf.DUMMYFUNCTION("""COMPUTED_VALUE"""),"Berliner Journal für Soziologie")</f>
        <v>Berliner Journal für Soziologie</v>
      </c>
      <c r="F239" s="1" t="str">
        <f ca="1">IFERROR(__xludf.DUMMYFUNCTION("""COMPUTED_VALUE"""),"1862-2593")</f>
        <v>1862-2593</v>
      </c>
      <c r="G239" s="1" t="str">
        <f ca="1">IFERROR(__xludf.DUMMYFUNCTION("""COMPUTED_VALUE"""),"0863-1808")</f>
        <v>0863-1808</v>
      </c>
      <c r="H239" s="27" t="str">
        <f ca="1">IFERROR(__xludf.DUMMYFUNCTION("""COMPUTED_VALUE"""),"https://link.springer.com/journal/11609")</f>
        <v>https://link.springer.com/journal/11609</v>
      </c>
      <c r="I239" s="1" t="str">
        <f ca="1">IFERROR(__xludf.DUMMYFUNCTION("""COMPUTED_VALUE"""),"Springer VS")</f>
        <v>Springer VS</v>
      </c>
      <c r="J239" s="1">
        <f ca="1">IFERROR(__xludf.DUMMYFUNCTION("""COMPUTED_VALUE"""),2000)</f>
        <v>2000</v>
      </c>
      <c r="K239" s="1" t="str">
        <f ca="1">IFERROR(__xludf.DUMMYFUNCTION("""COMPUTED_VALUE"""),"Social Sciences")</f>
        <v>Social Sciences</v>
      </c>
      <c r="L239" s="1" t="str">
        <f ca="1">IFERROR(__xludf.DUMMYFUNCTION("""COMPUTED_VALUE"""),"〇")</f>
        <v>〇</v>
      </c>
      <c r="M239" s="1" t="str">
        <f ca="1">IFERROR(__xludf.DUMMYFUNCTION("""COMPUTED_VALUE"""),"〇")</f>
        <v>〇</v>
      </c>
      <c r="N239" s="1" t="str">
        <f ca="1">IFERROR(__xludf.DUMMYFUNCTION("""COMPUTED_VALUE"""),"SNS7")</f>
        <v>SNS7</v>
      </c>
      <c r="O239" s="1"/>
      <c r="P239" s="1"/>
    </row>
    <row r="240" spans="1:16" ht="14.25" customHeight="1" x14ac:dyDescent="0.25">
      <c r="A240" s="1"/>
      <c r="B240" s="1">
        <f ca="1"/>
        <v>228</v>
      </c>
      <c r="C240" s="1">
        <f ca="1">IFERROR(__xludf.DUMMYFUNCTION("""COMPUTED_VALUE"""),2023)</f>
        <v>2023</v>
      </c>
      <c r="D240" s="1">
        <f ca="1">IFERROR(__xludf.DUMMYFUNCTION("""COMPUTED_VALUE"""),11654)</f>
        <v>11654</v>
      </c>
      <c r="E240" s="1" t="str">
        <f ca="1">IFERROR(__xludf.DUMMYFUNCTION("""COMPUTED_VALUE"""),"best practice onkologie")</f>
        <v>best practice onkologie</v>
      </c>
      <c r="F240" s="1" t="str">
        <f ca="1">IFERROR(__xludf.DUMMYFUNCTION("""COMPUTED_VALUE"""),"1862-8559")</f>
        <v>1862-8559</v>
      </c>
      <c r="G240" s="1" t="str">
        <f ca="1">IFERROR(__xludf.DUMMYFUNCTION("""COMPUTED_VALUE"""),"0946-4565")</f>
        <v>0946-4565</v>
      </c>
      <c r="H240" s="27" t="str">
        <f ca="1">IFERROR(__xludf.DUMMYFUNCTION("""COMPUTED_VALUE"""),"https://link.springer.com/journal/11654")</f>
        <v>https://link.springer.com/journal/11654</v>
      </c>
      <c r="I240" s="1" t="str">
        <f ca="1">IFERROR(__xludf.DUMMYFUNCTION("""COMPUTED_VALUE"""),"SpringerMedizin")</f>
        <v>SpringerMedizin</v>
      </c>
      <c r="J240" s="1">
        <f ca="1">IFERROR(__xludf.DUMMYFUNCTION("""COMPUTED_VALUE"""),2006)</f>
        <v>2006</v>
      </c>
      <c r="K240" s="1" t="str">
        <f ca="1">IFERROR(__xludf.DUMMYFUNCTION("""COMPUTED_VALUE"""),"Medicine")</f>
        <v>Medicine</v>
      </c>
      <c r="L240" s="1" t="str">
        <f ca="1">IFERROR(__xludf.DUMMYFUNCTION("""COMPUTED_VALUE"""),"〇")</f>
        <v>〇</v>
      </c>
      <c r="M240" s="1" t="str">
        <f ca="1">IFERROR(__xludf.DUMMYFUNCTION("""COMPUTED_VALUE"""),"〇")</f>
        <v>〇</v>
      </c>
      <c r="N240" s="1" t="str">
        <f ca="1">IFERROR(__xludf.DUMMYFUNCTION("""COMPUTED_VALUE"""),"SNS7")</f>
        <v>SNS7</v>
      </c>
      <c r="O240" s="1"/>
      <c r="P240" s="1"/>
    </row>
    <row r="241" spans="1:16" ht="14.25" customHeight="1" x14ac:dyDescent="0.25">
      <c r="A241" s="1"/>
      <c r="B241" s="1">
        <f ca="1"/>
        <v>229</v>
      </c>
      <c r="C241" s="1">
        <f ca="1">IFERROR(__xludf.DUMMYFUNCTION("""COMPUTED_VALUE"""),2023)</f>
        <v>2023</v>
      </c>
      <c r="D241" s="1">
        <f ca="1">IFERROR(__xludf.DUMMYFUNCTION("""COMPUTED_VALUE"""),501)</f>
        <v>501</v>
      </c>
      <c r="E241" s="1" t="str">
        <f ca="1">IFERROR(__xludf.DUMMYFUNCTION("""COMPUTED_VALUE"""),"BHM Berg- und Hüttenmännische Monatshefte")</f>
        <v>BHM Berg- und Hüttenmännische Monatshefte</v>
      </c>
      <c r="F241" s="1" t="str">
        <f ca="1">IFERROR(__xludf.DUMMYFUNCTION("""COMPUTED_VALUE"""),"1613-7531")</f>
        <v>1613-7531</v>
      </c>
      <c r="G241" s="1" t="str">
        <f ca="1">IFERROR(__xludf.DUMMYFUNCTION("""COMPUTED_VALUE"""),"0005-8912")</f>
        <v>0005-8912</v>
      </c>
      <c r="H241" s="27" t="str">
        <f ca="1">IFERROR(__xludf.DUMMYFUNCTION("""COMPUTED_VALUE"""),"https://link.springer.com/journal/501")</f>
        <v>https://link.springer.com/journal/501</v>
      </c>
      <c r="I241" s="1" t="str">
        <f ca="1">IFERROR(__xludf.DUMMYFUNCTION("""COMPUTED_VALUE"""),"Springer")</f>
        <v>Springer</v>
      </c>
      <c r="J241" s="1">
        <f ca="1">IFERROR(__xludf.DUMMYFUNCTION("""COMPUTED_VALUE"""),2005)</f>
        <v>2005</v>
      </c>
      <c r="K241" s="1" t="str">
        <f ca="1">IFERROR(__xludf.DUMMYFUNCTION("""COMPUTED_VALUE"""),"Earth and Environmental Science")</f>
        <v>Earth and Environmental Science</v>
      </c>
      <c r="L241" s="1" t="str">
        <f ca="1">IFERROR(__xludf.DUMMYFUNCTION("""COMPUTED_VALUE"""),"〇")</f>
        <v>〇</v>
      </c>
      <c r="M241" s="1" t="str">
        <f ca="1">IFERROR(__xludf.DUMMYFUNCTION("""COMPUTED_VALUE"""),"〇")</f>
        <v>〇</v>
      </c>
      <c r="N241" s="1"/>
      <c r="O241" s="1"/>
      <c r="P241" s="1"/>
    </row>
    <row r="242" spans="1:16" ht="14.25" customHeight="1" x14ac:dyDescent="0.25">
      <c r="A242" s="1"/>
      <c r="B242" s="1">
        <f ca="1"/>
        <v>230</v>
      </c>
      <c r="C242" s="1">
        <f ca="1">IFERROR(__xludf.DUMMYFUNCTION("""COMPUTED_VALUE"""),2023)</f>
        <v>2023</v>
      </c>
      <c r="D242" s="1">
        <f ca="1">IFERROR(__xludf.DUMMYFUNCTION("""COMPUTED_VALUE"""),10528)</f>
        <v>10528</v>
      </c>
      <c r="E242" s="1" t="str">
        <f ca="1">IFERROR(__xludf.DUMMYFUNCTION("""COMPUTED_VALUE"""),"Biochemical Genetics")</f>
        <v>Biochemical Genetics</v>
      </c>
      <c r="F242" s="1" t="str">
        <f ca="1">IFERROR(__xludf.DUMMYFUNCTION("""COMPUTED_VALUE"""),"1573-4927")</f>
        <v>1573-4927</v>
      </c>
      <c r="G242" s="1" t="str">
        <f ca="1">IFERROR(__xludf.DUMMYFUNCTION("""COMPUTED_VALUE"""),"0006-2928")</f>
        <v>0006-2928</v>
      </c>
      <c r="H242" s="27" t="str">
        <f ca="1">IFERROR(__xludf.DUMMYFUNCTION("""COMPUTED_VALUE"""),"https://link.springer.com/journal/10528")</f>
        <v>https://link.springer.com/journal/10528</v>
      </c>
      <c r="I242" s="1" t="str">
        <f ca="1">IFERROR(__xludf.DUMMYFUNCTION("""COMPUTED_VALUE"""),"Springer")</f>
        <v>Springer</v>
      </c>
      <c r="J242" s="1">
        <f ca="1">IFERROR(__xludf.DUMMYFUNCTION("""COMPUTED_VALUE"""),2000)</f>
        <v>2000</v>
      </c>
      <c r="K242" s="1" t="str">
        <f ca="1">IFERROR(__xludf.DUMMYFUNCTION("""COMPUTED_VALUE"""),"Biomedical and Life Sciences")</f>
        <v>Biomedical and Life Sciences</v>
      </c>
      <c r="L242" s="1" t="str">
        <f ca="1">IFERROR(__xludf.DUMMYFUNCTION("""COMPUTED_VALUE"""),"〇")</f>
        <v>〇</v>
      </c>
      <c r="M242" s="1" t="str">
        <f ca="1">IFERROR(__xludf.DUMMYFUNCTION("""COMPUTED_VALUE"""),"〇")</f>
        <v>〇</v>
      </c>
      <c r="N242" s="1"/>
      <c r="O242" s="1"/>
      <c r="P242" s="1"/>
    </row>
    <row r="243" spans="1:16" ht="14.25" customHeight="1" x14ac:dyDescent="0.25">
      <c r="A243" s="1"/>
      <c r="B243" s="1">
        <f ca="1"/>
        <v>231</v>
      </c>
      <c r="C243" s="1">
        <f ca="1">IFERROR(__xludf.DUMMYFUNCTION("""COMPUTED_VALUE"""),2023)</f>
        <v>2023</v>
      </c>
      <c r="D243" s="1">
        <f ca="1">IFERROR(__xludf.DUMMYFUNCTION("""COMPUTED_VALUE"""),10541)</f>
        <v>10541</v>
      </c>
      <c r="E243" s="1" t="str">
        <f ca="1">IFERROR(__xludf.DUMMYFUNCTION("""COMPUTED_VALUE"""),"Biochemistry (Moscow)")</f>
        <v>Biochemistry (Moscow)</v>
      </c>
      <c r="F243" s="1" t="str">
        <f ca="1">IFERROR(__xludf.DUMMYFUNCTION("""COMPUTED_VALUE"""),"1608-3040")</f>
        <v>1608-3040</v>
      </c>
      <c r="G243" s="1" t="str">
        <f ca="1">IFERROR(__xludf.DUMMYFUNCTION("""COMPUTED_VALUE"""),"0006-2979")</f>
        <v>0006-2979</v>
      </c>
      <c r="H243" s="27" t="str">
        <f ca="1">IFERROR(__xludf.DUMMYFUNCTION("""COMPUTED_VALUE"""),"https://link.springer.com/journal/10541")</f>
        <v>https://link.springer.com/journal/10541</v>
      </c>
      <c r="I243" s="1" t="str">
        <f ca="1">IFERROR(__xludf.DUMMYFUNCTION("""COMPUTED_VALUE"""),"Pleiades Publishing")</f>
        <v>Pleiades Publishing</v>
      </c>
      <c r="J243" s="1">
        <f ca="1">IFERROR(__xludf.DUMMYFUNCTION("""COMPUTED_VALUE"""),2000)</f>
        <v>2000</v>
      </c>
      <c r="K243" s="1" t="str">
        <f ca="1">IFERROR(__xludf.DUMMYFUNCTION("""COMPUTED_VALUE"""),"Biomedical and Life Sciences")</f>
        <v>Biomedical and Life Sciences</v>
      </c>
      <c r="L243" s="1" t="str">
        <f ca="1">IFERROR(__xludf.DUMMYFUNCTION("""COMPUTED_VALUE"""),"〇")</f>
        <v>〇</v>
      </c>
      <c r="M243" s="1" t="str">
        <f ca="1">IFERROR(__xludf.DUMMYFUNCTION("""COMPUTED_VALUE"""),"〇")</f>
        <v>〇</v>
      </c>
      <c r="N243" s="1"/>
      <c r="O243" s="1"/>
      <c r="P243" s="1"/>
    </row>
    <row r="244" spans="1:16" ht="14.25" customHeight="1" x14ac:dyDescent="0.25">
      <c r="A244" s="1"/>
      <c r="B244" s="1">
        <f ca="1"/>
        <v>232</v>
      </c>
      <c r="C244" s="1">
        <f ca="1">IFERROR(__xludf.DUMMYFUNCTION("""COMPUTED_VALUE"""),2023)</f>
        <v>2023</v>
      </c>
      <c r="D244" s="1">
        <f ca="1">IFERROR(__xludf.DUMMYFUNCTION("""COMPUTED_VALUE"""),11827)</f>
        <v>11827</v>
      </c>
      <c r="E244" s="1" t="str">
        <f ca="1">IFERROR(__xludf.DUMMYFUNCTION("""COMPUTED_VALUE"""),"Biochemistry (Moscow), Supplement Series A: Membrane and Cell Biology")</f>
        <v>Biochemistry (Moscow), Supplement Series A: Membrane and Cell Biology</v>
      </c>
      <c r="F244" s="1" t="str">
        <f ca="1">IFERROR(__xludf.DUMMYFUNCTION("""COMPUTED_VALUE"""),"1990-7494")</f>
        <v>1990-7494</v>
      </c>
      <c r="G244" s="1" t="str">
        <f ca="1">IFERROR(__xludf.DUMMYFUNCTION("""COMPUTED_VALUE"""),"1990-7478")</f>
        <v>1990-7478</v>
      </c>
      <c r="H244" s="27" t="str">
        <f ca="1">IFERROR(__xludf.DUMMYFUNCTION("""COMPUTED_VALUE"""),"https://link.springer.com/journal/11827")</f>
        <v>https://link.springer.com/journal/11827</v>
      </c>
      <c r="I244" s="1" t="str">
        <f ca="1">IFERROR(__xludf.DUMMYFUNCTION("""COMPUTED_VALUE"""),"Pleiades Publishing")</f>
        <v>Pleiades Publishing</v>
      </c>
      <c r="J244" s="1">
        <f ca="1">IFERROR(__xludf.DUMMYFUNCTION("""COMPUTED_VALUE"""),2007)</f>
        <v>2007</v>
      </c>
      <c r="K244" s="1" t="str">
        <f ca="1">IFERROR(__xludf.DUMMYFUNCTION("""COMPUTED_VALUE"""),"Biomedical and Life Sciences")</f>
        <v>Biomedical and Life Sciences</v>
      </c>
      <c r="L244" s="1" t="str">
        <f ca="1">IFERROR(__xludf.DUMMYFUNCTION("""COMPUTED_VALUE"""),"〇")</f>
        <v>〇</v>
      </c>
      <c r="M244" s="1" t="str">
        <f ca="1">IFERROR(__xludf.DUMMYFUNCTION("""COMPUTED_VALUE"""),"〇")</f>
        <v>〇</v>
      </c>
      <c r="N244" s="1" t="str">
        <f ca="1">IFERROR(__xludf.DUMMYFUNCTION("""COMPUTED_VALUE"""),"SNS7")</f>
        <v>SNS7</v>
      </c>
      <c r="O244" s="1"/>
      <c r="P244" s="1"/>
    </row>
    <row r="245" spans="1:16" ht="14.25" customHeight="1" x14ac:dyDescent="0.25">
      <c r="A245" s="1"/>
      <c r="B245" s="1">
        <f ca="1"/>
        <v>233</v>
      </c>
      <c r="C245" s="1">
        <f ca="1">IFERROR(__xludf.DUMMYFUNCTION("""COMPUTED_VALUE"""),2023)</f>
        <v>2023</v>
      </c>
      <c r="D245" s="1">
        <f ca="1">IFERROR(__xludf.DUMMYFUNCTION("""COMPUTED_VALUE"""),11828)</f>
        <v>11828</v>
      </c>
      <c r="E245" s="1" t="str">
        <f ca="1">IFERROR(__xludf.DUMMYFUNCTION("""COMPUTED_VALUE"""),"Biochemistry (Moscow), Supplement Series B: Biomedical Chemistry")</f>
        <v>Biochemistry (Moscow), Supplement Series B: Biomedical Chemistry</v>
      </c>
      <c r="F245" s="1" t="str">
        <f ca="1">IFERROR(__xludf.DUMMYFUNCTION("""COMPUTED_VALUE"""),"1990-7516")</f>
        <v>1990-7516</v>
      </c>
      <c r="G245" s="1" t="str">
        <f ca="1">IFERROR(__xludf.DUMMYFUNCTION("""COMPUTED_VALUE"""),"1990-7508")</f>
        <v>1990-7508</v>
      </c>
      <c r="H245" s="27" t="str">
        <f ca="1">IFERROR(__xludf.DUMMYFUNCTION("""COMPUTED_VALUE"""),"https://link.springer.com/journal/11828")</f>
        <v>https://link.springer.com/journal/11828</v>
      </c>
      <c r="I245" s="1" t="str">
        <f ca="1">IFERROR(__xludf.DUMMYFUNCTION("""COMPUTED_VALUE"""),"Pleiades Publishing")</f>
        <v>Pleiades Publishing</v>
      </c>
      <c r="J245" s="1">
        <f ca="1">IFERROR(__xludf.DUMMYFUNCTION("""COMPUTED_VALUE"""),2007)</f>
        <v>2007</v>
      </c>
      <c r="K245" s="1" t="str">
        <f ca="1">IFERROR(__xludf.DUMMYFUNCTION("""COMPUTED_VALUE"""),"Chemistry and Materials Science")</f>
        <v>Chemistry and Materials Science</v>
      </c>
      <c r="L245" s="1" t="str">
        <f ca="1">IFERROR(__xludf.DUMMYFUNCTION("""COMPUTED_VALUE"""),"〇")</f>
        <v>〇</v>
      </c>
      <c r="M245" s="1" t="str">
        <f ca="1">IFERROR(__xludf.DUMMYFUNCTION("""COMPUTED_VALUE"""),"〇")</f>
        <v>〇</v>
      </c>
      <c r="N245" s="1" t="str">
        <f ca="1">IFERROR(__xludf.DUMMYFUNCTION("""COMPUTED_VALUE"""),"SNS7")</f>
        <v>SNS7</v>
      </c>
      <c r="O245" s="1"/>
      <c r="P245" s="1"/>
    </row>
    <row r="246" spans="1:16" ht="14.25" customHeight="1" x14ac:dyDescent="0.25">
      <c r="A246" s="1"/>
      <c r="B246" s="1">
        <f ca="1"/>
        <v>234</v>
      </c>
      <c r="C246" s="1">
        <f ca="1">IFERROR(__xludf.DUMMYFUNCTION("""COMPUTED_VALUE"""),2023)</f>
        <v>2023</v>
      </c>
      <c r="D246" s="1">
        <f ca="1">IFERROR(__xludf.DUMMYFUNCTION("""COMPUTED_VALUE"""),13206)</f>
        <v>13206</v>
      </c>
      <c r="E246" s="1" t="str">
        <f ca="1">IFERROR(__xludf.DUMMYFUNCTION("""COMPUTED_VALUE"""),"BioChip Journal")</f>
        <v>BioChip Journal</v>
      </c>
      <c r="F246" s="1" t="str">
        <f ca="1">IFERROR(__xludf.DUMMYFUNCTION("""COMPUTED_VALUE"""),"2092-7843")</f>
        <v>2092-7843</v>
      </c>
      <c r="G246" s="1" t="str">
        <f ca="1">IFERROR(__xludf.DUMMYFUNCTION("""COMPUTED_VALUE"""),"1976-0280")</f>
        <v>1976-0280</v>
      </c>
      <c r="H246" s="27" t="str">
        <f ca="1">IFERROR(__xludf.DUMMYFUNCTION("""COMPUTED_VALUE"""),"https://link.springer.com/journal/13206")</f>
        <v>https://link.springer.com/journal/13206</v>
      </c>
      <c r="I246" s="1" t="str">
        <f ca="1">IFERROR(__xludf.DUMMYFUNCTION("""COMPUTED_VALUE"""),"The Korean BioChip Society (KBCS), co-published with Springer")</f>
        <v>The Korean BioChip Society (KBCS), co-published with Springer</v>
      </c>
      <c r="J246" s="1">
        <f ca="1">IFERROR(__xludf.DUMMYFUNCTION("""COMPUTED_VALUE"""),2010)</f>
        <v>2010</v>
      </c>
      <c r="K246" s="1" t="str">
        <f ca="1">IFERROR(__xludf.DUMMYFUNCTION("""COMPUTED_VALUE"""),"Chemistry and Materials Science")</f>
        <v>Chemistry and Materials Science</v>
      </c>
      <c r="L246" s="1" t="str">
        <f ca="1">IFERROR(__xludf.DUMMYFUNCTION("""COMPUTED_VALUE"""),"〇")</f>
        <v>〇</v>
      </c>
      <c r="M246" s="1"/>
      <c r="N246" s="1" t="str">
        <f ca="1">IFERROR(__xludf.DUMMYFUNCTION("""COMPUTED_VALUE"""),"TO10")</f>
        <v>TO10</v>
      </c>
      <c r="O246" s="1"/>
      <c r="P246" s="1"/>
    </row>
    <row r="247" spans="1:16" ht="14.25" customHeight="1" x14ac:dyDescent="0.25">
      <c r="A247" s="1"/>
      <c r="B247" s="1">
        <f ca="1"/>
        <v>235</v>
      </c>
      <c r="C247" s="1">
        <f ca="1">IFERROR(__xludf.DUMMYFUNCTION("""COMPUTED_VALUE"""),2023)</f>
        <v>2023</v>
      </c>
      <c r="D247" s="1">
        <f ca="1">IFERROR(__xludf.DUMMYFUNCTION("""COMPUTED_VALUE"""),10526)</f>
        <v>10526</v>
      </c>
      <c r="E247" s="1" t="str">
        <f ca="1">IFERROR(__xludf.DUMMYFUNCTION("""COMPUTED_VALUE"""),"BioControl")</f>
        <v>BioControl</v>
      </c>
      <c r="F247" s="1" t="str">
        <f ca="1">IFERROR(__xludf.DUMMYFUNCTION("""COMPUTED_VALUE"""),"1573-8248")</f>
        <v>1573-8248</v>
      </c>
      <c r="G247" s="1" t="str">
        <f ca="1">IFERROR(__xludf.DUMMYFUNCTION("""COMPUTED_VALUE"""),"1386-6141")</f>
        <v>1386-6141</v>
      </c>
      <c r="H247" s="27" t="str">
        <f ca="1">IFERROR(__xludf.DUMMYFUNCTION("""COMPUTED_VALUE"""),"https://link.springer.com/journal/10526")</f>
        <v>https://link.springer.com/journal/10526</v>
      </c>
      <c r="I247" s="1" t="str">
        <f ca="1">IFERROR(__xludf.DUMMYFUNCTION("""COMPUTED_VALUE"""),"Springer")</f>
        <v>Springer</v>
      </c>
      <c r="J247" s="1">
        <f ca="1">IFERROR(__xludf.DUMMYFUNCTION("""COMPUTED_VALUE"""),2000)</f>
        <v>2000</v>
      </c>
      <c r="K247" s="1" t="str">
        <f ca="1">IFERROR(__xludf.DUMMYFUNCTION("""COMPUTED_VALUE"""),"Biomedical and Life Sciences")</f>
        <v>Biomedical and Life Sciences</v>
      </c>
      <c r="L247" s="1" t="str">
        <f ca="1">IFERROR(__xludf.DUMMYFUNCTION("""COMPUTED_VALUE"""),"〇")</f>
        <v>〇</v>
      </c>
      <c r="M247" s="1" t="str">
        <f ca="1">IFERROR(__xludf.DUMMYFUNCTION("""COMPUTED_VALUE"""),"〇")</f>
        <v>〇</v>
      </c>
      <c r="N247" s="1"/>
      <c r="O247" s="1"/>
      <c r="P247" s="1"/>
    </row>
    <row r="248" spans="1:16" ht="14.25" customHeight="1" x14ac:dyDescent="0.25">
      <c r="A248" s="1"/>
      <c r="B248" s="1">
        <f ca="1"/>
        <v>236</v>
      </c>
      <c r="C248" s="1">
        <f ca="1">IFERROR(__xludf.DUMMYFUNCTION("""COMPUTED_VALUE"""),2023)</f>
        <v>2023</v>
      </c>
      <c r="D248" s="1">
        <f ca="1">IFERROR(__xludf.DUMMYFUNCTION("""COMPUTED_VALUE"""),10532)</f>
        <v>10532</v>
      </c>
      <c r="E248" s="1" t="str">
        <f ca="1">IFERROR(__xludf.DUMMYFUNCTION("""COMPUTED_VALUE"""),"Biodegradation")</f>
        <v>Biodegradation</v>
      </c>
      <c r="F248" s="1" t="str">
        <f ca="1">IFERROR(__xludf.DUMMYFUNCTION("""COMPUTED_VALUE"""),"1572-9729")</f>
        <v>1572-9729</v>
      </c>
      <c r="G248" s="1" t="str">
        <f ca="1">IFERROR(__xludf.DUMMYFUNCTION("""COMPUTED_VALUE"""),"0923-9820")</f>
        <v>0923-9820</v>
      </c>
      <c r="H248" s="27" t="str">
        <f ca="1">IFERROR(__xludf.DUMMYFUNCTION("""COMPUTED_VALUE"""),"https://link.springer.com/journal/10532")</f>
        <v>https://link.springer.com/journal/10532</v>
      </c>
      <c r="I248" s="1" t="str">
        <f ca="1">IFERROR(__xludf.DUMMYFUNCTION("""COMPUTED_VALUE"""),"Springer")</f>
        <v>Springer</v>
      </c>
      <c r="J248" s="1">
        <f ca="1">IFERROR(__xludf.DUMMYFUNCTION("""COMPUTED_VALUE"""),2000)</f>
        <v>2000</v>
      </c>
      <c r="K248" s="1" t="str">
        <f ca="1">IFERROR(__xludf.DUMMYFUNCTION("""COMPUTED_VALUE"""),"Biomedical and Life Sciences")</f>
        <v>Biomedical and Life Sciences</v>
      </c>
      <c r="L248" s="1" t="str">
        <f ca="1">IFERROR(__xludf.DUMMYFUNCTION("""COMPUTED_VALUE"""),"〇")</f>
        <v>〇</v>
      </c>
      <c r="M248" s="1" t="str">
        <f ca="1">IFERROR(__xludf.DUMMYFUNCTION("""COMPUTED_VALUE"""),"〇")</f>
        <v>〇</v>
      </c>
      <c r="N248" s="1"/>
      <c r="O248" s="1"/>
      <c r="P248" s="1"/>
    </row>
    <row r="249" spans="1:16" ht="14.25" customHeight="1" x14ac:dyDescent="0.25">
      <c r="A249" s="1"/>
      <c r="B249" s="1">
        <f ca="1"/>
        <v>237</v>
      </c>
      <c r="C249" s="1">
        <f ca="1">IFERROR(__xludf.DUMMYFUNCTION("""COMPUTED_VALUE"""),2023)</f>
        <v>2023</v>
      </c>
      <c r="D249" s="1">
        <f ca="1">IFERROR(__xludf.DUMMYFUNCTION("""COMPUTED_VALUE"""),42242)</f>
        <v>42242</v>
      </c>
      <c r="E249" s="1" t="str">
        <f ca="1">IFERROR(__xludf.DUMMYFUNCTION("""COMPUTED_VALUE"""),"Bio-Design and Manufacturing")</f>
        <v>Bio-Design and Manufacturing</v>
      </c>
      <c r="F249" s="1" t="str">
        <f ca="1">IFERROR(__xludf.DUMMYFUNCTION("""COMPUTED_VALUE"""),"2522-8552")</f>
        <v>2522-8552</v>
      </c>
      <c r="G249" s="1" t="str">
        <f ca="1">IFERROR(__xludf.DUMMYFUNCTION("""COMPUTED_VALUE"""),"2096-5524")</f>
        <v>2096-5524</v>
      </c>
      <c r="H249" s="27" t="str">
        <f ca="1">IFERROR(__xludf.DUMMYFUNCTION("""COMPUTED_VALUE"""),"https://link.springer.com/journal/42242")</f>
        <v>https://link.springer.com/journal/42242</v>
      </c>
      <c r="I249" s="1" t="str">
        <f ca="1">IFERROR(__xludf.DUMMYFUNCTION("""COMPUTED_VALUE"""),"Zhejiang University Press, co-published with Springer")</f>
        <v>Zhejiang University Press, co-published with Springer</v>
      </c>
      <c r="J249" s="1">
        <f ca="1">IFERROR(__xludf.DUMMYFUNCTION("""COMPUTED_VALUE"""),2018)</f>
        <v>2018</v>
      </c>
      <c r="K249" s="1" t="str">
        <f ca="1">IFERROR(__xludf.DUMMYFUNCTION("""COMPUTED_VALUE"""),"Engineering")</f>
        <v>Engineering</v>
      </c>
      <c r="L249" s="1" t="str">
        <f ca="1">IFERROR(__xludf.DUMMYFUNCTION("""COMPUTED_VALUE"""),"〇")</f>
        <v>〇</v>
      </c>
      <c r="M249" s="1"/>
      <c r="N249" s="1" t="str">
        <f ca="1">IFERROR(__xludf.DUMMYFUNCTION("""COMPUTED_VALUE"""),"SNS18")</f>
        <v>SNS18</v>
      </c>
      <c r="O249" s="1"/>
      <c r="P249" s="1"/>
    </row>
    <row r="250" spans="1:16" ht="14.25" customHeight="1" x14ac:dyDescent="0.25">
      <c r="A250" s="1"/>
      <c r="B250" s="1">
        <f ca="1"/>
        <v>238</v>
      </c>
      <c r="C250" s="1">
        <f ca="1">IFERROR(__xludf.DUMMYFUNCTION("""COMPUTED_VALUE"""),2023)</f>
        <v>2023</v>
      </c>
      <c r="D250" s="1">
        <f ca="1">IFERROR(__xludf.DUMMYFUNCTION("""COMPUTED_VALUE"""),10531)</f>
        <v>10531</v>
      </c>
      <c r="E250" s="1" t="str">
        <f ca="1">IFERROR(__xludf.DUMMYFUNCTION("""COMPUTED_VALUE"""),"Biodiversity and Conservation")</f>
        <v>Biodiversity and Conservation</v>
      </c>
      <c r="F250" s="1" t="str">
        <f ca="1">IFERROR(__xludf.DUMMYFUNCTION("""COMPUTED_VALUE"""),"1572-9710")</f>
        <v>1572-9710</v>
      </c>
      <c r="G250" s="1" t="str">
        <f ca="1">IFERROR(__xludf.DUMMYFUNCTION("""COMPUTED_VALUE"""),"0960-3115")</f>
        <v>0960-3115</v>
      </c>
      <c r="H250" s="27" t="str">
        <f ca="1">IFERROR(__xludf.DUMMYFUNCTION("""COMPUTED_VALUE"""),"https://link.springer.com/journal/10531")</f>
        <v>https://link.springer.com/journal/10531</v>
      </c>
      <c r="I250" s="1" t="str">
        <f ca="1">IFERROR(__xludf.DUMMYFUNCTION("""COMPUTED_VALUE"""),"Springer")</f>
        <v>Springer</v>
      </c>
      <c r="J250" s="1">
        <f ca="1">IFERROR(__xludf.DUMMYFUNCTION("""COMPUTED_VALUE"""),2000)</f>
        <v>2000</v>
      </c>
      <c r="K250" s="1" t="str">
        <f ca="1">IFERROR(__xludf.DUMMYFUNCTION("""COMPUTED_VALUE"""),"Biomedical and Life Sciences")</f>
        <v>Biomedical and Life Sciences</v>
      </c>
      <c r="L250" s="1" t="str">
        <f ca="1">IFERROR(__xludf.DUMMYFUNCTION("""COMPUTED_VALUE"""),"〇")</f>
        <v>〇</v>
      </c>
      <c r="M250" s="1" t="str">
        <f ca="1">IFERROR(__xludf.DUMMYFUNCTION("""COMPUTED_VALUE"""),"〇")</f>
        <v>〇</v>
      </c>
      <c r="N250" s="1"/>
      <c r="O250" s="1"/>
      <c r="P250" s="1"/>
    </row>
    <row r="251" spans="1:16" ht="14.25" customHeight="1" x14ac:dyDescent="0.25">
      <c r="A251" s="1"/>
      <c r="B251" s="1">
        <f ca="1"/>
        <v>239</v>
      </c>
      <c r="C251" s="1">
        <f ca="1">IFERROR(__xludf.DUMMYFUNCTION("""COMPUTED_VALUE"""),2023)</f>
        <v>2023</v>
      </c>
      <c r="D251" s="1">
        <f ca="1">IFERROR(__xludf.DUMMYFUNCTION("""COMPUTED_VALUE"""),12155)</f>
        <v>12155</v>
      </c>
      <c r="E251" s="1" t="str">
        <f ca="1">IFERROR(__xludf.DUMMYFUNCTION("""COMPUTED_VALUE"""),"BioEnergy Research")</f>
        <v>BioEnergy Research</v>
      </c>
      <c r="F251" s="1" t="str">
        <f ca="1">IFERROR(__xludf.DUMMYFUNCTION("""COMPUTED_VALUE"""),"1939-1242")</f>
        <v>1939-1242</v>
      </c>
      <c r="G251" s="1"/>
      <c r="H251" s="27" t="str">
        <f ca="1">IFERROR(__xludf.DUMMYFUNCTION("""COMPUTED_VALUE"""),"https://link.springer.com/journal/12155")</f>
        <v>https://link.springer.com/journal/12155</v>
      </c>
      <c r="I251" s="1" t="str">
        <f ca="1">IFERROR(__xludf.DUMMYFUNCTION("""COMPUTED_VALUE"""),"Springer")</f>
        <v>Springer</v>
      </c>
      <c r="J251" s="1">
        <f ca="1">IFERROR(__xludf.DUMMYFUNCTION("""COMPUTED_VALUE"""),2008)</f>
        <v>2008</v>
      </c>
      <c r="K251" s="1" t="str">
        <f ca="1">IFERROR(__xludf.DUMMYFUNCTION("""COMPUTED_VALUE"""),"Biomedical and Life Sciences")</f>
        <v>Biomedical and Life Sciences</v>
      </c>
      <c r="L251" s="1"/>
      <c r="M251" s="1" t="str">
        <f ca="1">IFERROR(__xludf.DUMMYFUNCTION("""COMPUTED_VALUE"""),"〇")</f>
        <v>〇</v>
      </c>
      <c r="N251" s="1" t="str">
        <f ca="1">IFERROR(__xludf.DUMMYFUNCTION("""COMPUTED_VALUE"""),"SNS8")</f>
        <v>SNS8</v>
      </c>
      <c r="O251" s="1"/>
      <c r="P251" s="1"/>
    </row>
    <row r="252" spans="1:16" ht="14.25" customHeight="1" x14ac:dyDescent="0.25">
      <c r="A252" s="1"/>
      <c r="B252" s="1">
        <f ca="1"/>
        <v>240</v>
      </c>
      <c r="C252" s="1">
        <f ca="1">IFERROR(__xludf.DUMMYFUNCTION("""COMPUTED_VALUE"""),2023)</f>
        <v>2023</v>
      </c>
      <c r="D252" s="1">
        <f ca="1">IFERROR(__xludf.DUMMYFUNCTION("""COMPUTED_VALUE"""),10533)</f>
        <v>10533</v>
      </c>
      <c r="E252" s="1" t="str">
        <f ca="1">IFERROR(__xludf.DUMMYFUNCTION("""COMPUTED_VALUE"""),"Biogeochemistry")</f>
        <v>Biogeochemistry</v>
      </c>
      <c r="F252" s="1" t="str">
        <f ca="1">IFERROR(__xludf.DUMMYFUNCTION("""COMPUTED_VALUE"""),"1573-515X")</f>
        <v>1573-515X</v>
      </c>
      <c r="G252" s="1" t="str">
        <f ca="1">IFERROR(__xludf.DUMMYFUNCTION("""COMPUTED_VALUE"""),"0168-2563")</f>
        <v>0168-2563</v>
      </c>
      <c r="H252" s="27" t="str">
        <f ca="1">IFERROR(__xludf.DUMMYFUNCTION("""COMPUTED_VALUE"""),"https://link.springer.com/journal/10533")</f>
        <v>https://link.springer.com/journal/10533</v>
      </c>
      <c r="I252" s="1" t="str">
        <f ca="1">IFERROR(__xludf.DUMMYFUNCTION("""COMPUTED_VALUE"""),"Springer")</f>
        <v>Springer</v>
      </c>
      <c r="J252" s="1">
        <f ca="1">IFERROR(__xludf.DUMMYFUNCTION("""COMPUTED_VALUE"""),2000)</f>
        <v>2000</v>
      </c>
      <c r="K252" s="1" t="str">
        <f ca="1">IFERROR(__xludf.DUMMYFUNCTION("""COMPUTED_VALUE"""),"Earth and Environmental Science")</f>
        <v>Earth and Environmental Science</v>
      </c>
      <c r="L252" s="1" t="str">
        <f ca="1">IFERROR(__xludf.DUMMYFUNCTION("""COMPUTED_VALUE"""),"〇")</f>
        <v>〇</v>
      </c>
      <c r="M252" s="1" t="str">
        <f ca="1">IFERROR(__xludf.DUMMYFUNCTION("""COMPUTED_VALUE"""),"〇")</f>
        <v>〇</v>
      </c>
      <c r="N252" s="1"/>
      <c r="O252" s="1"/>
      <c r="P252" s="1"/>
    </row>
    <row r="253" spans="1:16" ht="14.25" customHeight="1" x14ac:dyDescent="0.25">
      <c r="A253" s="1"/>
      <c r="B253" s="1">
        <f ca="1"/>
        <v>241</v>
      </c>
      <c r="C253" s="1">
        <f ca="1">IFERROR(__xludf.DUMMYFUNCTION("""COMPUTED_VALUE"""),2023)</f>
        <v>2023</v>
      </c>
      <c r="D253" s="1">
        <f ca="1">IFERROR(__xludf.DUMMYFUNCTION("""COMPUTED_VALUE"""),10522)</f>
        <v>10522</v>
      </c>
      <c r="E253" s="1" t="str">
        <f ca="1">IFERROR(__xludf.DUMMYFUNCTION("""COMPUTED_VALUE"""),"Biogerontology")</f>
        <v>Biogerontology</v>
      </c>
      <c r="F253" s="1" t="str">
        <f ca="1">IFERROR(__xludf.DUMMYFUNCTION("""COMPUTED_VALUE"""),"1573-6768")</f>
        <v>1573-6768</v>
      </c>
      <c r="G253" s="1" t="str">
        <f ca="1">IFERROR(__xludf.DUMMYFUNCTION("""COMPUTED_VALUE"""),"1389-5729")</f>
        <v>1389-5729</v>
      </c>
      <c r="H253" s="27" t="str">
        <f ca="1">IFERROR(__xludf.DUMMYFUNCTION("""COMPUTED_VALUE"""),"https://link.springer.com/journal/10522")</f>
        <v>https://link.springer.com/journal/10522</v>
      </c>
      <c r="I253" s="1" t="str">
        <f ca="1">IFERROR(__xludf.DUMMYFUNCTION("""COMPUTED_VALUE"""),"Springer")</f>
        <v>Springer</v>
      </c>
      <c r="J253" s="1">
        <f ca="1">IFERROR(__xludf.DUMMYFUNCTION("""COMPUTED_VALUE"""),2000)</f>
        <v>2000</v>
      </c>
      <c r="K253" s="1" t="str">
        <f ca="1">IFERROR(__xludf.DUMMYFUNCTION("""COMPUTED_VALUE"""),"Biomedical and Life Sciences")</f>
        <v>Biomedical and Life Sciences</v>
      </c>
      <c r="L253" s="1" t="str">
        <f ca="1">IFERROR(__xludf.DUMMYFUNCTION("""COMPUTED_VALUE"""),"〇")</f>
        <v>〇</v>
      </c>
      <c r="M253" s="1" t="str">
        <f ca="1">IFERROR(__xludf.DUMMYFUNCTION("""COMPUTED_VALUE"""),"〇")</f>
        <v>〇</v>
      </c>
      <c r="N253" s="1"/>
      <c r="O253" s="1"/>
      <c r="P253" s="1"/>
    </row>
    <row r="254" spans="1:16" ht="14.25" customHeight="1" x14ac:dyDescent="0.25">
      <c r="A254" s="1"/>
      <c r="B254" s="1">
        <f ca="1"/>
        <v>242</v>
      </c>
      <c r="C254" s="1">
        <f ca="1">IFERROR(__xludf.DUMMYFUNCTION("""COMPUTED_VALUE"""),2023)</f>
        <v>2023</v>
      </c>
      <c r="D254" s="1">
        <f ca="1">IFERROR(__xludf.DUMMYFUNCTION("""COMPUTED_VALUE"""),11756)</f>
        <v>11756</v>
      </c>
      <c r="E254" s="1" t="str">
        <f ca="1">IFERROR(__xludf.DUMMYFUNCTION("""COMPUTED_VALUE"""),"Biologia")</f>
        <v>Biologia</v>
      </c>
      <c r="F254" s="1" t="str">
        <f ca="1">IFERROR(__xludf.DUMMYFUNCTION("""COMPUTED_VALUE"""),"1336-9563")</f>
        <v>1336-9563</v>
      </c>
      <c r="G254" s="1"/>
      <c r="H254" s="27" t="str">
        <f ca="1">IFERROR(__xludf.DUMMYFUNCTION("""COMPUTED_VALUE"""),"https://link.springer.com/journal/11756")</f>
        <v>https://link.springer.com/journal/11756</v>
      </c>
      <c r="I254" s="1" t="str">
        <f ca="1">IFERROR(__xludf.DUMMYFUNCTION("""COMPUTED_VALUE"""),"Springer")</f>
        <v>Springer</v>
      </c>
      <c r="J254" s="1">
        <f ca="1">IFERROR(__xludf.DUMMYFUNCTION("""COMPUTED_VALUE"""),2006)</f>
        <v>2006</v>
      </c>
      <c r="K254" s="1" t="str">
        <f ca="1">IFERROR(__xludf.DUMMYFUNCTION("""COMPUTED_VALUE"""),"Biomedical and Life Sciences")</f>
        <v>Biomedical and Life Sciences</v>
      </c>
      <c r="L254" s="1"/>
      <c r="M254" s="1"/>
      <c r="N254" s="1" t="str">
        <f ca="1">IFERROR(__xludf.DUMMYFUNCTION("""COMPUTED_VALUE"""),"TO18")</f>
        <v>TO18</v>
      </c>
      <c r="O254" s="1"/>
      <c r="P254" s="1"/>
    </row>
    <row r="255" spans="1:16" ht="14.25" customHeight="1" x14ac:dyDescent="0.25">
      <c r="A255" s="1"/>
      <c r="B255" s="1">
        <f ca="1"/>
        <v>243</v>
      </c>
      <c r="C255" s="1">
        <f ca="1">IFERROR(__xludf.DUMMYFUNCTION("""COMPUTED_VALUE"""),2023)</f>
        <v>2023</v>
      </c>
      <c r="D255" s="1">
        <f ca="1">IFERROR(__xludf.DUMMYFUNCTION("""COMPUTED_VALUE"""),42977)</f>
        <v>42977</v>
      </c>
      <c r="E255" s="1" t="str">
        <f ca="1">IFERROR(__xludf.DUMMYFUNCTION("""COMPUTED_VALUE"""),"Biologia Futura")</f>
        <v>Biologia Futura</v>
      </c>
      <c r="F255" s="1" t="str">
        <f ca="1">IFERROR(__xludf.DUMMYFUNCTION("""COMPUTED_VALUE"""),"2676-8607")</f>
        <v>2676-8607</v>
      </c>
      <c r="G255" s="1" t="str">
        <f ca="1">IFERROR(__xludf.DUMMYFUNCTION("""COMPUTED_VALUE"""),"2676-8615")</f>
        <v>2676-8615</v>
      </c>
      <c r="H255" s="27" t="str">
        <f ca="1">IFERROR(__xludf.DUMMYFUNCTION("""COMPUTED_VALUE"""),"https://link.springer.com/journal/42977")</f>
        <v>https://link.springer.com/journal/42977</v>
      </c>
      <c r="I255" s="1" t="str">
        <f ca="1">IFERROR(__xludf.DUMMYFUNCTION("""COMPUTED_VALUE"""),"Akadémiai Kiadó, co-published with Springer")</f>
        <v>Akadémiai Kiadó, co-published with Springer</v>
      </c>
      <c r="J255" s="1">
        <f ca="1">IFERROR(__xludf.DUMMYFUNCTION("""COMPUTED_VALUE"""),2000)</f>
        <v>2000</v>
      </c>
      <c r="K255" s="1" t="str">
        <f ca="1">IFERROR(__xludf.DUMMYFUNCTION("""COMPUTED_VALUE"""),"Biomedical and Life Sciences")</f>
        <v>Biomedical and Life Sciences</v>
      </c>
      <c r="L255" s="1" t="str">
        <f ca="1">IFERROR(__xludf.DUMMYFUNCTION("""COMPUTED_VALUE"""),"〇")</f>
        <v>〇</v>
      </c>
      <c r="M255" s="1"/>
      <c r="N255" s="1" t="str">
        <f ca="1">IFERROR(__xludf.DUMMYFUNCTION("""COMPUTED_VALUE"""),"TO20")</f>
        <v>TO20</v>
      </c>
      <c r="O255" s="1"/>
      <c r="P255" s="1"/>
    </row>
    <row r="256" spans="1:16" ht="14.25" customHeight="1" x14ac:dyDescent="0.25">
      <c r="A256" s="1"/>
      <c r="B256" s="1">
        <f ca="1"/>
        <v>244</v>
      </c>
      <c r="C256" s="1">
        <f ca="1">IFERROR(__xludf.DUMMYFUNCTION("""COMPUTED_VALUE"""),2023)</f>
        <v>2023</v>
      </c>
      <c r="D256" s="1">
        <f ca="1">IFERROR(__xludf.DUMMYFUNCTION("""COMPUTED_VALUE"""),422)</f>
        <v>422</v>
      </c>
      <c r="E256" s="1" t="str">
        <f ca="1">IFERROR(__xludf.DUMMYFUNCTION("""COMPUTED_VALUE"""),"Biological Cybernetics")</f>
        <v>Biological Cybernetics</v>
      </c>
      <c r="F256" s="1" t="str">
        <f ca="1">IFERROR(__xludf.DUMMYFUNCTION("""COMPUTED_VALUE"""),"1432-0770")</f>
        <v>1432-0770</v>
      </c>
      <c r="G256" s="1"/>
      <c r="H256" s="27" t="str">
        <f ca="1">IFERROR(__xludf.DUMMYFUNCTION("""COMPUTED_VALUE"""),"https://link.springer.com/journal/422")</f>
        <v>https://link.springer.com/journal/422</v>
      </c>
      <c r="I256" s="1" t="str">
        <f ca="1">IFERROR(__xludf.DUMMYFUNCTION("""COMPUTED_VALUE"""),"Springer")</f>
        <v>Springer</v>
      </c>
      <c r="J256" s="1">
        <f ca="1">IFERROR(__xludf.DUMMYFUNCTION("""COMPUTED_VALUE"""),2000)</f>
        <v>2000</v>
      </c>
      <c r="K256" s="1" t="str">
        <f ca="1">IFERROR(__xludf.DUMMYFUNCTION("""COMPUTED_VALUE"""),"Biomedical and Life Sciences")</f>
        <v>Biomedical and Life Sciences</v>
      </c>
      <c r="L256" s="1"/>
      <c r="M256" s="1" t="str">
        <f ca="1">IFERROR(__xludf.DUMMYFUNCTION("""COMPUTED_VALUE"""),"〇")</f>
        <v>〇</v>
      </c>
      <c r="N256" s="1"/>
      <c r="O256" s="1"/>
      <c r="P256" s="1"/>
    </row>
    <row r="257" spans="1:16" ht="14.25" customHeight="1" x14ac:dyDescent="0.25">
      <c r="A257" s="1"/>
      <c r="B257" s="1">
        <f ca="1"/>
        <v>245</v>
      </c>
      <c r="C257" s="1">
        <f ca="1">IFERROR(__xludf.DUMMYFUNCTION("""COMPUTED_VALUE"""),2023)</f>
        <v>2023</v>
      </c>
      <c r="D257" s="1">
        <f ca="1">IFERROR(__xludf.DUMMYFUNCTION("""COMPUTED_VALUE"""),10530)</f>
        <v>10530</v>
      </c>
      <c r="E257" s="1" t="str">
        <f ca="1">IFERROR(__xludf.DUMMYFUNCTION("""COMPUTED_VALUE"""),"Biological Invasions")</f>
        <v>Biological Invasions</v>
      </c>
      <c r="F257" s="1" t="str">
        <f ca="1">IFERROR(__xludf.DUMMYFUNCTION("""COMPUTED_VALUE"""),"1573-1464")</f>
        <v>1573-1464</v>
      </c>
      <c r="G257" s="1" t="str">
        <f ca="1">IFERROR(__xludf.DUMMYFUNCTION("""COMPUTED_VALUE"""),"1387-3547")</f>
        <v>1387-3547</v>
      </c>
      <c r="H257" s="27" t="str">
        <f ca="1">IFERROR(__xludf.DUMMYFUNCTION("""COMPUTED_VALUE"""),"https://link.springer.com/journal/10530")</f>
        <v>https://link.springer.com/journal/10530</v>
      </c>
      <c r="I257" s="1" t="str">
        <f ca="1">IFERROR(__xludf.DUMMYFUNCTION("""COMPUTED_VALUE"""),"Springer")</f>
        <v>Springer</v>
      </c>
      <c r="J257" s="1">
        <f ca="1">IFERROR(__xludf.DUMMYFUNCTION("""COMPUTED_VALUE"""),2000)</f>
        <v>2000</v>
      </c>
      <c r="K257" s="1" t="str">
        <f ca="1">IFERROR(__xludf.DUMMYFUNCTION("""COMPUTED_VALUE"""),"Biomedical and Life Sciences")</f>
        <v>Biomedical and Life Sciences</v>
      </c>
      <c r="L257" s="1" t="str">
        <f ca="1">IFERROR(__xludf.DUMMYFUNCTION("""COMPUTED_VALUE"""),"〇")</f>
        <v>〇</v>
      </c>
      <c r="M257" s="1" t="str">
        <f ca="1">IFERROR(__xludf.DUMMYFUNCTION("""COMPUTED_VALUE"""),"〇")</f>
        <v>〇</v>
      </c>
      <c r="N257" s="1"/>
      <c r="O257" s="1"/>
      <c r="P257" s="1"/>
    </row>
    <row r="258" spans="1:16" ht="14.25" customHeight="1" x14ac:dyDescent="0.25">
      <c r="A258" s="1"/>
      <c r="B258" s="1">
        <f ca="1"/>
        <v>246</v>
      </c>
      <c r="C258" s="1">
        <f ca="1">IFERROR(__xludf.DUMMYFUNCTION("""COMPUTED_VALUE"""),2023)</f>
        <v>2023</v>
      </c>
      <c r="D258" s="1">
        <f ca="1">IFERROR(__xludf.DUMMYFUNCTION("""COMPUTED_VALUE"""),13752)</f>
        <v>13752</v>
      </c>
      <c r="E258" s="1" t="str">
        <f ca="1">IFERROR(__xludf.DUMMYFUNCTION("""COMPUTED_VALUE"""),"Biological Theory")</f>
        <v>Biological Theory</v>
      </c>
      <c r="F258" s="1" t="str">
        <f ca="1">IFERROR(__xludf.DUMMYFUNCTION("""COMPUTED_VALUE"""),"1555-5550")</f>
        <v>1555-5550</v>
      </c>
      <c r="G258" s="1" t="str">
        <f ca="1">IFERROR(__xludf.DUMMYFUNCTION("""COMPUTED_VALUE"""),"1555-5542")</f>
        <v>1555-5542</v>
      </c>
      <c r="H258" s="27" t="str">
        <f ca="1">IFERROR(__xludf.DUMMYFUNCTION("""COMPUTED_VALUE"""),"https://link.springer.com/journal/13752")</f>
        <v>https://link.springer.com/journal/13752</v>
      </c>
      <c r="I258" s="1" t="str">
        <f ca="1">IFERROR(__xludf.DUMMYFUNCTION("""COMPUTED_VALUE"""),"Springer")</f>
        <v>Springer</v>
      </c>
      <c r="J258" s="1">
        <f ca="1">IFERROR(__xludf.DUMMYFUNCTION("""COMPUTED_VALUE"""),2006)</f>
        <v>2006</v>
      </c>
      <c r="K258" s="1" t="str">
        <f ca="1">IFERROR(__xludf.DUMMYFUNCTION("""COMPUTED_VALUE"""),"Education")</f>
        <v>Education</v>
      </c>
      <c r="L258" s="1" t="str">
        <f ca="1">IFERROR(__xludf.DUMMYFUNCTION("""COMPUTED_VALUE"""),"〇")</f>
        <v>〇</v>
      </c>
      <c r="M258" s="1"/>
      <c r="N258" s="1" t="str">
        <f ca="1">IFERROR(__xludf.DUMMYFUNCTION("""COMPUTED_VALUE"""),"TO11")</f>
        <v>TO11</v>
      </c>
      <c r="O258" s="1"/>
      <c r="P258" s="1"/>
    </row>
    <row r="259" spans="1:16" ht="14.25" customHeight="1" x14ac:dyDescent="0.25">
      <c r="A259" s="1"/>
      <c r="B259" s="1">
        <f ca="1"/>
        <v>247</v>
      </c>
      <c r="C259" s="1">
        <f ca="1">IFERROR(__xludf.DUMMYFUNCTION("""COMPUTED_VALUE"""),2023)</f>
        <v>2023</v>
      </c>
      <c r="D259" s="1">
        <f ca="1">IFERROR(__xludf.DUMMYFUNCTION("""COMPUTED_VALUE"""),12011)</f>
        <v>12011</v>
      </c>
      <c r="E259" s="1" t="str">
        <f ca="1">IFERROR(__xludf.DUMMYFUNCTION("""COMPUTED_VALUE"""),"Biological Trace Element Research")</f>
        <v>Biological Trace Element Research</v>
      </c>
      <c r="F259" s="1" t="str">
        <f ca="1">IFERROR(__xludf.DUMMYFUNCTION("""COMPUTED_VALUE"""),"1559-0720")</f>
        <v>1559-0720</v>
      </c>
      <c r="G259" s="1"/>
      <c r="H259" s="27" t="str">
        <f ca="1">IFERROR(__xludf.DUMMYFUNCTION("""COMPUTED_VALUE"""),"https://link.springer.com/journal/12011")</f>
        <v>https://link.springer.com/journal/12011</v>
      </c>
      <c r="I259" s="1" t="str">
        <f ca="1">IFERROR(__xludf.DUMMYFUNCTION("""COMPUTED_VALUE"""),"Springer")</f>
        <v>Springer</v>
      </c>
      <c r="J259" s="1">
        <f ca="1">IFERROR(__xludf.DUMMYFUNCTION("""COMPUTED_VALUE"""),2000)</f>
        <v>2000</v>
      </c>
      <c r="K259" s="1" t="str">
        <f ca="1">IFERROR(__xludf.DUMMYFUNCTION("""COMPUTED_VALUE"""),"Biomedical and Life Sciences")</f>
        <v>Biomedical and Life Sciences</v>
      </c>
      <c r="L259" s="1"/>
      <c r="M259" s="1" t="str">
        <f ca="1">IFERROR(__xludf.DUMMYFUNCTION("""COMPUTED_VALUE"""),"〇")</f>
        <v>〇</v>
      </c>
      <c r="N259" s="1" t="str">
        <f ca="1">IFERROR(__xludf.DUMMYFUNCTION("""COMPUTED_VALUE"""),"TO7")</f>
        <v>TO7</v>
      </c>
      <c r="O259" s="1"/>
      <c r="P259" s="1"/>
    </row>
    <row r="260" spans="1:16" ht="14.25" customHeight="1" x14ac:dyDescent="0.25">
      <c r="A260" s="1"/>
      <c r="B260" s="1">
        <f ca="1"/>
        <v>248</v>
      </c>
      <c r="C260" s="1">
        <f ca="1">IFERROR(__xludf.DUMMYFUNCTION("""COMPUTED_VALUE"""),2023)</f>
        <v>2023</v>
      </c>
      <c r="D260" s="1">
        <f ca="1">IFERROR(__xludf.DUMMYFUNCTION("""COMPUTED_VALUE"""),10539)</f>
        <v>10539</v>
      </c>
      <c r="E260" s="1" t="str">
        <f ca="1">IFERROR(__xludf.DUMMYFUNCTION("""COMPUTED_VALUE"""),"Biology &amp; Philosophy")</f>
        <v>Biology &amp; Philosophy</v>
      </c>
      <c r="F260" s="1" t="str">
        <f ca="1">IFERROR(__xludf.DUMMYFUNCTION("""COMPUTED_VALUE"""),"1572-8404")</f>
        <v>1572-8404</v>
      </c>
      <c r="G260" s="1" t="str">
        <f ca="1">IFERROR(__xludf.DUMMYFUNCTION("""COMPUTED_VALUE"""),"0169-3867")</f>
        <v>0169-3867</v>
      </c>
      <c r="H260" s="27" t="str">
        <f ca="1">IFERROR(__xludf.DUMMYFUNCTION("""COMPUTED_VALUE"""),"https://link.springer.com/journal/10539")</f>
        <v>https://link.springer.com/journal/10539</v>
      </c>
      <c r="I260" s="1" t="str">
        <f ca="1">IFERROR(__xludf.DUMMYFUNCTION("""COMPUTED_VALUE"""),"Springer")</f>
        <v>Springer</v>
      </c>
      <c r="J260" s="1">
        <f ca="1">IFERROR(__xludf.DUMMYFUNCTION("""COMPUTED_VALUE"""),2000)</f>
        <v>2000</v>
      </c>
      <c r="K260" s="1" t="str">
        <f ca="1">IFERROR(__xludf.DUMMYFUNCTION("""COMPUTED_VALUE"""),"Education")</f>
        <v>Education</v>
      </c>
      <c r="L260" s="1" t="str">
        <f ca="1">IFERROR(__xludf.DUMMYFUNCTION("""COMPUTED_VALUE"""),"〇")</f>
        <v>〇</v>
      </c>
      <c r="M260" s="1" t="str">
        <f ca="1">IFERROR(__xludf.DUMMYFUNCTION("""COMPUTED_VALUE"""),"〇")</f>
        <v>〇</v>
      </c>
      <c r="N260" s="1"/>
      <c r="O260" s="1"/>
      <c r="P260" s="1"/>
    </row>
    <row r="261" spans="1:16" ht="14.25" customHeight="1" x14ac:dyDescent="0.25">
      <c r="A261" s="1"/>
      <c r="B261" s="1">
        <f ca="1"/>
        <v>249</v>
      </c>
      <c r="C261" s="1">
        <f ca="1">IFERROR(__xludf.DUMMYFUNCTION("""COMPUTED_VALUE"""),2023)</f>
        <v>2023</v>
      </c>
      <c r="D261" s="1">
        <f ca="1">IFERROR(__xludf.DUMMYFUNCTION("""COMPUTED_VALUE"""),374)</f>
        <v>374</v>
      </c>
      <c r="E261" s="1" t="str">
        <f ca="1">IFERROR(__xludf.DUMMYFUNCTION("""COMPUTED_VALUE"""),"Biology and Fertility of Soils")</f>
        <v>Biology and Fertility of Soils</v>
      </c>
      <c r="F261" s="1" t="str">
        <f ca="1">IFERROR(__xludf.DUMMYFUNCTION("""COMPUTED_VALUE"""),"1432-0789")</f>
        <v>1432-0789</v>
      </c>
      <c r="G261" s="1" t="str">
        <f ca="1">IFERROR(__xludf.DUMMYFUNCTION("""COMPUTED_VALUE"""),"0178-2762")</f>
        <v>0178-2762</v>
      </c>
      <c r="H261" s="27" t="str">
        <f ca="1">IFERROR(__xludf.DUMMYFUNCTION("""COMPUTED_VALUE"""),"https://link.springer.com/journal/374")</f>
        <v>https://link.springer.com/journal/374</v>
      </c>
      <c r="I261" s="1" t="str">
        <f ca="1">IFERROR(__xludf.DUMMYFUNCTION("""COMPUTED_VALUE"""),"Springer")</f>
        <v>Springer</v>
      </c>
      <c r="J261" s="1">
        <f ca="1">IFERROR(__xludf.DUMMYFUNCTION("""COMPUTED_VALUE"""),2000)</f>
        <v>2000</v>
      </c>
      <c r="K261" s="1" t="str">
        <f ca="1">IFERROR(__xludf.DUMMYFUNCTION("""COMPUTED_VALUE"""),"Biomedical and Life Sciences")</f>
        <v>Biomedical and Life Sciences</v>
      </c>
      <c r="L261" s="1" t="str">
        <f ca="1">IFERROR(__xludf.DUMMYFUNCTION("""COMPUTED_VALUE"""),"〇")</f>
        <v>〇</v>
      </c>
      <c r="M261" s="1" t="str">
        <f ca="1">IFERROR(__xludf.DUMMYFUNCTION("""COMPUTED_VALUE"""),"〇")</f>
        <v>〇</v>
      </c>
      <c r="N261" s="1"/>
      <c r="O261" s="1"/>
      <c r="P261" s="1"/>
    </row>
    <row r="262" spans="1:16" ht="14.25" customHeight="1" x14ac:dyDescent="0.25">
      <c r="A262" s="1"/>
      <c r="B262" s="1">
        <f ca="1"/>
        <v>250</v>
      </c>
      <c r="C262" s="1">
        <f ca="1">IFERROR(__xludf.DUMMYFUNCTION("""COMPUTED_VALUE"""),2023)</f>
        <v>2023</v>
      </c>
      <c r="D262" s="1">
        <f ca="1">IFERROR(__xludf.DUMMYFUNCTION("""COMPUTED_VALUE"""),10525)</f>
        <v>10525</v>
      </c>
      <c r="E262" s="1" t="str">
        <f ca="1">IFERROR(__xludf.DUMMYFUNCTION("""COMPUTED_VALUE"""),"Biology Bulletin")</f>
        <v>Biology Bulletin</v>
      </c>
      <c r="F262" s="1" t="str">
        <f ca="1">IFERROR(__xludf.DUMMYFUNCTION("""COMPUTED_VALUE"""),"1608-3059")</f>
        <v>1608-3059</v>
      </c>
      <c r="G262" s="1" t="str">
        <f ca="1">IFERROR(__xludf.DUMMYFUNCTION("""COMPUTED_VALUE"""),"1062-3590")</f>
        <v>1062-3590</v>
      </c>
      <c r="H262" s="27" t="str">
        <f ca="1">IFERROR(__xludf.DUMMYFUNCTION("""COMPUTED_VALUE"""),"https://link.springer.com/journal/10525")</f>
        <v>https://link.springer.com/journal/10525</v>
      </c>
      <c r="I262" s="1" t="str">
        <f ca="1">IFERROR(__xludf.DUMMYFUNCTION("""COMPUTED_VALUE"""),"Pleiades Publishing")</f>
        <v>Pleiades Publishing</v>
      </c>
      <c r="J262" s="1">
        <f ca="1">IFERROR(__xludf.DUMMYFUNCTION("""COMPUTED_VALUE"""),2000)</f>
        <v>2000</v>
      </c>
      <c r="K262" s="1" t="str">
        <f ca="1">IFERROR(__xludf.DUMMYFUNCTION("""COMPUTED_VALUE"""),"Biomedical and Life Sciences")</f>
        <v>Biomedical and Life Sciences</v>
      </c>
      <c r="L262" s="1" t="str">
        <f ca="1">IFERROR(__xludf.DUMMYFUNCTION("""COMPUTED_VALUE"""),"〇")</f>
        <v>〇</v>
      </c>
      <c r="M262" s="1" t="str">
        <f ca="1">IFERROR(__xludf.DUMMYFUNCTION("""COMPUTED_VALUE"""),"〇")</f>
        <v>〇</v>
      </c>
      <c r="N262" s="1"/>
      <c r="O262" s="1"/>
      <c r="P262" s="1"/>
    </row>
    <row r="263" spans="1:16" ht="14.25" customHeight="1" x14ac:dyDescent="0.25">
      <c r="A263" s="1"/>
      <c r="B263" s="1">
        <f ca="1"/>
        <v>251</v>
      </c>
      <c r="C263" s="1">
        <f ca="1">IFERROR(__xludf.DUMMYFUNCTION("""COMPUTED_VALUE"""),2023)</f>
        <v>2023</v>
      </c>
      <c r="D263" s="1">
        <f ca="1">IFERROR(__xludf.DUMMYFUNCTION("""COMPUTED_VALUE"""),13335)</f>
        <v>13335</v>
      </c>
      <c r="E263" s="1" t="str">
        <f ca="1">IFERROR(__xludf.DUMMYFUNCTION("""COMPUTED_VALUE"""),"Biology Bulletin Reviews")</f>
        <v>Biology Bulletin Reviews</v>
      </c>
      <c r="F263" s="1" t="str">
        <f ca="1">IFERROR(__xludf.DUMMYFUNCTION("""COMPUTED_VALUE"""),"2079-0872")</f>
        <v>2079-0872</v>
      </c>
      <c r="G263" s="1" t="str">
        <f ca="1">IFERROR(__xludf.DUMMYFUNCTION("""COMPUTED_VALUE"""),"2079-0864")</f>
        <v>2079-0864</v>
      </c>
      <c r="H263" s="27" t="str">
        <f ca="1">IFERROR(__xludf.DUMMYFUNCTION("""COMPUTED_VALUE"""),"https://link.springer.com/journal/13335")</f>
        <v>https://link.springer.com/journal/13335</v>
      </c>
      <c r="I263" s="1" t="str">
        <f ca="1">IFERROR(__xludf.DUMMYFUNCTION("""COMPUTED_VALUE"""),"Pleiades Publishing")</f>
        <v>Pleiades Publishing</v>
      </c>
      <c r="J263" s="1">
        <f ca="1">IFERROR(__xludf.DUMMYFUNCTION("""COMPUTED_VALUE"""),2011)</f>
        <v>2011</v>
      </c>
      <c r="K263" s="1" t="str">
        <f ca="1">IFERROR(__xludf.DUMMYFUNCTION("""COMPUTED_VALUE"""),"Biomedical and Life Sciences")</f>
        <v>Biomedical and Life Sciences</v>
      </c>
      <c r="L263" s="1" t="str">
        <f ca="1">IFERROR(__xludf.DUMMYFUNCTION("""COMPUTED_VALUE"""),"〇")</f>
        <v>〇</v>
      </c>
      <c r="M263" s="1"/>
      <c r="N263" s="1" t="str">
        <f ca="1">IFERROR(__xludf.DUMMYFUNCTION("""COMPUTED_VALUE"""),"SNS11")</f>
        <v>SNS11</v>
      </c>
      <c r="O263" s="1"/>
      <c r="P263" s="1"/>
    </row>
    <row r="264" spans="1:16" ht="14.25" customHeight="1" x14ac:dyDescent="0.25">
      <c r="A264" s="1"/>
      <c r="B264" s="1">
        <f ca="1"/>
        <v>252</v>
      </c>
      <c r="C264" s="1">
        <f ca="1">IFERROR(__xludf.DUMMYFUNCTION("""COMPUTED_VALUE"""),2023)</f>
        <v>2023</v>
      </c>
      <c r="D264" s="1">
        <f ca="1">IFERROR(__xludf.DUMMYFUNCTION("""COMPUTED_VALUE"""),13399)</f>
        <v>13399</v>
      </c>
      <c r="E264" s="1" t="str">
        <f ca="1">IFERROR(__xludf.DUMMYFUNCTION("""COMPUTED_VALUE"""),"Biomass Conversion and Biorefinery")</f>
        <v>Biomass Conversion and Biorefinery</v>
      </c>
      <c r="F264" s="1" t="str">
        <f ca="1">IFERROR(__xludf.DUMMYFUNCTION("""COMPUTED_VALUE"""),"2190-6823")</f>
        <v>2190-6823</v>
      </c>
      <c r="G264" s="1" t="str">
        <f ca="1">IFERROR(__xludf.DUMMYFUNCTION("""COMPUTED_VALUE"""),"2190-6815")</f>
        <v>2190-6815</v>
      </c>
      <c r="H264" s="27" t="str">
        <f ca="1">IFERROR(__xludf.DUMMYFUNCTION("""COMPUTED_VALUE"""),"https://link.springer.com/journal/13399")</f>
        <v>https://link.springer.com/journal/13399</v>
      </c>
      <c r="I264" s="1" t="str">
        <f ca="1">IFERROR(__xludf.DUMMYFUNCTION("""COMPUTED_VALUE"""),"Springer")</f>
        <v>Springer</v>
      </c>
      <c r="J264" s="1">
        <f ca="1">IFERROR(__xludf.DUMMYFUNCTION("""COMPUTED_VALUE"""),2011)</f>
        <v>2011</v>
      </c>
      <c r="K264" s="1" t="str">
        <f ca="1">IFERROR(__xludf.DUMMYFUNCTION("""COMPUTED_VALUE"""),"Energy")</f>
        <v>Energy</v>
      </c>
      <c r="L264" s="1" t="str">
        <f ca="1">IFERROR(__xludf.DUMMYFUNCTION("""COMPUTED_VALUE"""),"〇")</f>
        <v>〇</v>
      </c>
      <c r="M264" s="1"/>
      <c r="N264" s="1" t="str">
        <f ca="1">IFERROR(__xludf.DUMMYFUNCTION("""COMPUTED_VALUE"""),"SNS11")</f>
        <v>SNS11</v>
      </c>
      <c r="O264" s="1"/>
      <c r="P264" s="1"/>
    </row>
    <row r="265" spans="1:16" ht="14.25" customHeight="1" x14ac:dyDescent="0.25">
      <c r="A265" s="1"/>
      <c r="B265" s="1">
        <f ca="1"/>
        <v>253</v>
      </c>
      <c r="C265" s="1">
        <f ca="1">IFERROR(__xludf.DUMMYFUNCTION("""COMPUTED_VALUE"""),2023)</f>
        <v>2023</v>
      </c>
      <c r="D265" s="1">
        <f ca="1">IFERROR(__xludf.DUMMYFUNCTION("""COMPUTED_VALUE"""),10237)</f>
        <v>10237</v>
      </c>
      <c r="E265" s="1" t="str">
        <f ca="1">IFERROR(__xludf.DUMMYFUNCTION("""COMPUTED_VALUE"""),"Biomechanics and Modeling in Mechanobiology")</f>
        <v>Biomechanics and Modeling in Mechanobiology</v>
      </c>
      <c r="F265" s="1" t="str">
        <f ca="1">IFERROR(__xludf.DUMMYFUNCTION("""COMPUTED_VALUE"""),"1617-7940")</f>
        <v>1617-7940</v>
      </c>
      <c r="G265" s="1" t="str">
        <f ca="1">IFERROR(__xludf.DUMMYFUNCTION("""COMPUTED_VALUE"""),"1617-7959")</f>
        <v>1617-7959</v>
      </c>
      <c r="H265" s="27" t="str">
        <f ca="1">IFERROR(__xludf.DUMMYFUNCTION("""COMPUTED_VALUE"""),"https://link.springer.com/journal/10237")</f>
        <v>https://link.springer.com/journal/10237</v>
      </c>
      <c r="I265" s="1" t="str">
        <f ca="1">IFERROR(__xludf.DUMMYFUNCTION("""COMPUTED_VALUE"""),"Springer")</f>
        <v>Springer</v>
      </c>
      <c r="J265" s="1">
        <f ca="1">IFERROR(__xludf.DUMMYFUNCTION("""COMPUTED_VALUE"""),2002)</f>
        <v>2002</v>
      </c>
      <c r="K265" s="1" t="str">
        <f ca="1">IFERROR(__xludf.DUMMYFUNCTION("""COMPUTED_VALUE"""),"Engineering")</f>
        <v>Engineering</v>
      </c>
      <c r="L265" s="1" t="str">
        <f ca="1">IFERROR(__xludf.DUMMYFUNCTION("""COMPUTED_VALUE"""),"〇")</f>
        <v>〇</v>
      </c>
      <c r="M265" s="1" t="str">
        <f ca="1">IFERROR(__xludf.DUMMYFUNCTION("""COMPUTED_VALUE"""),"〇")</f>
        <v>〇</v>
      </c>
      <c r="N265" s="1"/>
      <c r="O265" s="1"/>
      <c r="P265" s="1"/>
    </row>
    <row r="266" spans="1:16" ht="14.25" customHeight="1" x14ac:dyDescent="0.25">
      <c r="A266" s="1"/>
      <c r="B266" s="1">
        <f ca="1"/>
        <v>254</v>
      </c>
      <c r="C266" s="1">
        <f ca="1">IFERROR(__xludf.DUMMYFUNCTION("""COMPUTED_VALUE"""),2023)</f>
        <v>2023</v>
      </c>
      <c r="D266" s="1">
        <f ca="1">IFERROR(__xludf.DUMMYFUNCTION("""COMPUTED_VALUE"""),10527)</f>
        <v>10527</v>
      </c>
      <c r="E266" s="1" t="str">
        <f ca="1">IFERROR(__xludf.DUMMYFUNCTION("""COMPUTED_VALUE"""),"Biomedical Engineering")</f>
        <v>Biomedical Engineering</v>
      </c>
      <c r="F266" s="1" t="str">
        <f ca="1">IFERROR(__xludf.DUMMYFUNCTION("""COMPUTED_VALUE"""),"1573-8256")</f>
        <v>1573-8256</v>
      </c>
      <c r="G266" s="1" t="str">
        <f ca="1">IFERROR(__xludf.DUMMYFUNCTION("""COMPUTED_VALUE"""),"0006-3398")</f>
        <v>0006-3398</v>
      </c>
      <c r="H266" s="27" t="str">
        <f ca="1">IFERROR(__xludf.DUMMYFUNCTION("""COMPUTED_VALUE"""),"https://link.springer.com/journal/10527")</f>
        <v>https://link.springer.com/journal/10527</v>
      </c>
      <c r="I266" s="1" t="str">
        <f ca="1">IFERROR(__xludf.DUMMYFUNCTION("""COMPUTED_VALUE"""),"Springer")</f>
        <v>Springer</v>
      </c>
      <c r="J266" s="1">
        <f ca="1">IFERROR(__xludf.DUMMYFUNCTION("""COMPUTED_VALUE"""),2000)</f>
        <v>2000</v>
      </c>
      <c r="K266" s="1" t="str">
        <f ca="1">IFERROR(__xludf.DUMMYFUNCTION("""COMPUTED_VALUE"""),"Biomedical and Life Sciences")</f>
        <v>Biomedical and Life Sciences</v>
      </c>
      <c r="L266" s="1" t="str">
        <f ca="1">IFERROR(__xludf.DUMMYFUNCTION("""COMPUTED_VALUE"""),"〇")</f>
        <v>〇</v>
      </c>
      <c r="M266" s="1" t="str">
        <f ca="1">IFERROR(__xludf.DUMMYFUNCTION("""COMPUTED_VALUE"""),"〇")</f>
        <v>〇</v>
      </c>
      <c r="N266" s="1"/>
      <c r="O266" s="1"/>
      <c r="P266" s="1"/>
    </row>
    <row r="267" spans="1:16" ht="14.25" customHeight="1" x14ac:dyDescent="0.25">
      <c r="A267" s="1"/>
      <c r="B267" s="1">
        <f ca="1"/>
        <v>255</v>
      </c>
      <c r="C267" s="1">
        <f ca="1">IFERROR(__xludf.DUMMYFUNCTION("""COMPUTED_VALUE"""),2023)</f>
        <v>2023</v>
      </c>
      <c r="D267" s="1">
        <f ca="1">IFERROR(__xludf.DUMMYFUNCTION("""COMPUTED_VALUE"""),43683)</f>
        <v>43683</v>
      </c>
      <c r="E267" s="1" t="str">
        <f ca="1">IFERROR(__xludf.DUMMYFUNCTION("""COMPUTED_VALUE"""),"Biomedical Engineering Education")</f>
        <v>Biomedical Engineering Education</v>
      </c>
      <c r="F267" s="1" t="str">
        <f ca="1">IFERROR(__xludf.DUMMYFUNCTION("""COMPUTED_VALUE"""),"2730-5945")</f>
        <v>2730-5945</v>
      </c>
      <c r="G267" s="1" t="str">
        <f ca="1">IFERROR(__xludf.DUMMYFUNCTION("""COMPUTED_VALUE"""),"2730-5937")</f>
        <v>2730-5937</v>
      </c>
      <c r="H267" s="27" t="str">
        <f ca="1">IFERROR(__xludf.DUMMYFUNCTION("""COMPUTED_VALUE"""),"https://link.springer.com/journal/43683")</f>
        <v>https://link.springer.com/journal/43683</v>
      </c>
      <c r="I267" s="1" t="str">
        <f ca="1">IFERROR(__xludf.DUMMYFUNCTION("""COMPUTED_VALUE"""),"Springer")</f>
        <v>Springer</v>
      </c>
      <c r="J267" s="1">
        <f ca="1">IFERROR(__xludf.DUMMYFUNCTION("""COMPUTED_VALUE"""),2021)</f>
        <v>2021</v>
      </c>
      <c r="K267" s="1" t="str">
        <f ca="1">IFERROR(__xludf.DUMMYFUNCTION("""COMPUTED_VALUE"""),"Biomedical and Life Sciences")</f>
        <v>Biomedical and Life Sciences</v>
      </c>
      <c r="L267" s="1" t="str">
        <f ca="1">IFERROR(__xludf.DUMMYFUNCTION("""COMPUTED_VALUE"""),"〇")</f>
        <v>〇</v>
      </c>
      <c r="M267" s="1"/>
      <c r="N267" s="1" t="str">
        <f ca="1">IFERROR(__xludf.DUMMYFUNCTION("""COMPUTED_VALUE"""),"SNS21")</f>
        <v>SNS21</v>
      </c>
      <c r="O267" s="1"/>
      <c r="P267" s="1"/>
    </row>
    <row r="268" spans="1:16" ht="14.25" customHeight="1" x14ac:dyDescent="0.25">
      <c r="A268" s="1"/>
      <c r="B268" s="1">
        <f ca="1"/>
        <v>256</v>
      </c>
      <c r="C268" s="1">
        <f ca="1">IFERROR(__xludf.DUMMYFUNCTION("""COMPUTED_VALUE"""),2023)</f>
        <v>2023</v>
      </c>
      <c r="D268" s="1">
        <f ca="1">IFERROR(__xludf.DUMMYFUNCTION("""COMPUTED_VALUE"""),13534)</f>
        <v>13534</v>
      </c>
      <c r="E268" s="1" t="str">
        <f ca="1">IFERROR(__xludf.DUMMYFUNCTION("""COMPUTED_VALUE"""),"Biomedical Engineering Letters")</f>
        <v>Biomedical Engineering Letters</v>
      </c>
      <c r="F268" s="1" t="str">
        <f ca="1">IFERROR(__xludf.DUMMYFUNCTION("""COMPUTED_VALUE"""),"2093-985X")</f>
        <v>2093-985X</v>
      </c>
      <c r="G268" s="1" t="str">
        <f ca="1">IFERROR(__xludf.DUMMYFUNCTION("""COMPUTED_VALUE"""),"2093-9868")</f>
        <v>2093-9868</v>
      </c>
      <c r="H268" s="27" t="str">
        <f ca="1">IFERROR(__xludf.DUMMYFUNCTION("""COMPUTED_VALUE"""),"https://link.springer.com/journal/13534")</f>
        <v>https://link.springer.com/journal/13534</v>
      </c>
      <c r="I268" s="1" t="str">
        <f ca="1">IFERROR(__xludf.DUMMYFUNCTION("""COMPUTED_VALUE"""),"The Korean Society of Medical and Biological Engineering, co-published with Springer")</f>
        <v>The Korean Society of Medical and Biological Engineering, co-published with Springer</v>
      </c>
      <c r="J268" s="1">
        <f ca="1">IFERROR(__xludf.DUMMYFUNCTION("""COMPUTED_VALUE"""),2011)</f>
        <v>2011</v>
      </c>
      <c r="K268" s="1" t="str">
        <f ca="1">IFERROR(__xludf.DUMMYFUNCTION("""COMPUTED_VALUE"""),"Engineering")</f>
        <v>Engineering</v>
      </c>
      <c r="L268" s="1" t="str">
        <f ca="1">IFERROR(__xludf.DUMMYFUNCTION("""COMPUTED_VALUE"""),"〇")</f>
        <v>〇</v>
      </c>
      <c r="M268" s="1"/>
      <c r="N268" s="1" t="str">
        <f ca="1">IFERROR(__xludf.DUMMYFUNCTION("""COMPUTED_VALUE"""),"SNS11")</f>
        <v>SNS11</v>
      </c>
      <c r="O268" s="1"/>
      <c r="P268" s="1"/>
    </row>
    <row r="269" spans="1:16" ht="14.25" customHeight="1" x14ac:dyDescent="0.25">
      <c r="A269" s="1"/>
      <c r="B269" s="1">
        <f ca="1"/>
        <v>257</v>
      </c>
      <c r="C269" s="1">
        <f ca="1">IFERROR(__xludf.DUMMYFUNCTION("""COMPUTED_VALUE"""),2023)</f>
        <v>2023</v>
      </c>
      <c r="D269" s="1">
        <f ca="1">IFERROR(__xludf.DUMMYFUNCTION("""COMPUTED_VALUE"""),44174)</f>
        <v>44174</v>
      </c>
      <c r="E269" s="1" t="str">
        <f ca="1">IFERROR(__xludf.DUMMYFUNCTION("""COMPUTED_VALUE"""),"Biomedical Materials &amp; Devices")</f>
        <v>Biomedical Materials &amp; Devices</v>
      </c>
      <c r="F269" s="1" t="str">
        <f ca="1">IFERROR(__xludf.DUMMYFUNCTION("""COMPUTED_VALUE"""),"2731-4820")</f>
        <v>2731-4820</v>
      </c>
      <c r="G269" s="1" t="str">
        <f ca="1">IFERROR(__xludf.DUMMYFUNCTION("""COMPUTED_VALUE"""),"2731-4812")</f>
        <v>2731-4812</v>
      </c>
      <c r="H269" s="27" t="str">
        <f ca="1">IFERROR(__xludf.DUMMYFUNCTION("""COMPUTED_VALUE"""),"https://link.springer.com/journal/44174")</f>
        <v>https://link.springer.com/journal/44174</v>
      </c>
      <c r="I269" s="1" t="str">
        <f ca="1">IFERROR(__xludf.DUMMYFUNCTION("""COMPUTED_VALUE"""),"Springer")</f>
        <v>Springer</v>
      </c>
      <c r="J269" s="1"/>
      <c r="K269" s="1" t="str">
        <f ca="1">IFERROR(__xludf.DUMMYFUNCTION("""COMPUTED_VALUE"""),"Chemistry and Materials Science")</f>
        <v>Chemistry and Materials Science</v>
      </c>
      <c r="L269" s="1" t="str">
        <f ca="1">IFERROR(__xludf.DUMMYFUNCTION("""COMPUTED_VALUE"""),"〇")</f>
        <v>〇</v>
      </c>
      <c r="M269" s="1"/>
      <c r="N269" s="1" t="str">
        <f ca="1">IFERROR(__xludf.DUMMYFUNCTION("""COMPUTED_VALUE"""),"SNS22")</f>
        <v>SNS22</v>
      </c>
      <c r="O269" s="1"/>
      <c r="P269" s="1"/>
    </row>
    <row r="270" spans="1:16" ht="14.25" customHeight="1" x14ac:dyDescent="0.25">
      <c r="A270" s="1"/>
      <c r="B270" s="1">
        <f ca="1"/>
        <v>258</v>
      </c>
      <c r="C270" s="1">
        <f ca="1">IFERROR(__xludf.DUMMYFUNCTION("""COMPUTED_VALUE"""),2023)</f>
        <v>2023</v>
      </c>
      <c r="D270" s="1">
        <f ca="1">IFERROR(__xludf.DUMMYFUNCTION("""COMPUTED_VALUE"""),10544)</f>
        <v>10544</v>
      </c>
      <c r="E270" s="1" t="str">
        <f ca="1">IFERROR(__xludf.DUMMYFUNCTION("""COMPUTED_VALUE"""),"Biomedical Microdevices")</f>
        <v>Biomedical Microdevices</v>
      </c>
      <c r="F270" s="1" t="str">
        <f ca="1">IFERROR(__xludf.DUMMYFUNCTION("""COMPUTED_VALUE"""),"1572-8781")</f>
        <v>1572-8781</v>
      </c>
      <c r="G270" s="1" t="str">
        <f ca="1">IFERROR(__xludf.DUMMYFUNCTION("""COMPUTED_VALUE"""),"1387-2176")</f>
        <v>1387-2176</v>
      </c>
      <c r="H270" s="27" t="str">
        <f ca="1">IFERROR(__xludf.DUMMYFUNCTION("""COMPUTED_VALUE"""),"https://link.springer.com/journal/10544")</f>
        <v>https://link.springer.com/journal/10544</v>
      </c>
      <c r="I270" s="1" t="str">
        <f ca="1">IFERROR(__xludf.DUMMYFUNCTION("""COMPUTED_VALUE"""),"Springer")</f>
        <v>Springer</v>
      </c>
      <c r="J270" s="1">
        <f ca="1">IFERROR(__xludf.DUMMYFUNCTION("""COMPUTED_VALUE"""),2000)</f>
        <v>2000</v>
      </c>
      <c r="K270" s="1" t="str">
        <f ca="1">IFERROR(__xludf.DUMMYFUNCTION("""COMPUTED_VALUE"""),"Engineering")</f>
        <v>Engineering</v>
      </c>
      <c r="L270" s="1" t="str">
        <f ca="1">IFERROR(__xludf.DUMMYFUNCTION("""COMPUTED_VALUE"""),"〇")</f>
        <v>〇</v>
      </c>
      <c r="M270" s="1" t="str">
        <f ca="1">IFERROR(__xludf.DUMMYFUNCTION("""COMPUTED_VALUE"""),"〇")</f>
        <v>〇</v>
      </c>
      <c r="N270" s="1"/>
      <c r="O270" s="1"/>
      <c r="P270" s="1"/>
    </row>
    <row r="271" spans="1:16" ht="14.25" customHeight="1" x14ac:dyDescent="0.25">
      <c r="A271" s="1"/>
      <c r="B271" s="1">
        <f ca="1"/>
        <v>259</v>
      </c>
      <c r="C271" s="1">
        <f ca="1">IFERROR(__xludf.DUMMYFUNCTION("""COMPUTED_VALUE"""),2023)</f>
        <v>2023</v>
      </c>
      <c r="D271" s="1">
        <f ca="1">IFERROR(__xludf.DUMMYFUNCTION("""COMPUTED_VALUE"""),10534)</f>
        <v>10534</v>
      </c>
      <c r="E271" s="1" t="str">
        <f ca="1">IFERROR(__xludf.DUMMYFUNCTION("""COMPUTED_VALUE"""),"BioMetals")</f>
        <v>BioMetals</v>
      </c>
      <c r="F271" s="1" t="str">
        <f ca="1">IFERROR(__xludf.DUMMYFUNCTION("""COMPUTED_VALUE"""),"1572-8773")</f>
        <v>1572-8773</v>
      </c>
      <c r="G271" s="1" t="str">
        <f ca="1">IFERROR(__xludf.DUMMYFUNCTION("""COMPUTED_VALUE"""),"0966-0844")</f>
        <v>0966-0844</v>
      </c>
      <c r="H271" s="27" t="str">
        <f ca="1">IFERROR(__xludf.DUMMYFUNCTION("""COMPUTED_VALUE"""),"https://link.springer.com/journal/10534")</f>
        <v>https://link.springer.com/journal/10534</v>
      </c>
      <c r="I271" s="1" t="str">
        <f ca="1">IFERROR(__xludf.DUMMYFUNCTION("""COMPUTED_VALUE"""),"Springer")</f>
        <v>Springer</v>
      </c>
      <c r="J271" s="1">
        <f ca="1">IFERROR(__xludf.DUMMYFUNCTION("""COMPUTED_VALUE"""),2000)</f>
        <v>2000</v>
      </c>
      <c r="K271" s="1" t="str">
        <f ca="1">IFERROR(__xludf.DUMMYFUNCTION("""COMPUTED_VALUE"""),"Biomedical and Life Sciences")</f>
        <v>Biomedical and Life Sciences</v>
      </c>
      <c r="L271" s="1" t="str">
        <f ca="1">IFERROR(__xludf.DUMMYFUNCTION("""COMPUTED_VALUE"""),"〇")</f>
        <v>〇</v>
      </c>
      <c r="M271" s="1" t="str">
        <f ca="1">IFERROR(__xludf.DUMMYFUNCTION("""COMPUTED_VALUE"""),"〇")</f>
        <v>〇</v>
      </c>
      <c r="N271" s="1"/>
      <c r="O271" s="1"/>
      <c r="P271" s="1"/>
    </row>
    <row r="272" spans="1:16" ht="14.25" customHeight="1" x14ac:dyDescent="0.25">
      <c r="A272" s="1"/>
      <c r="B272" s="1">
        <f ca="1"/>
        <v>260</v>
      </c>
      <c r="C272" s="1">
        <f ca="1">IFERROR(__xludf.DUMMYFUNCTION("""COMPUTED_VALUE"""),2023)</f>
        <v>2023</v>
      </c>
      <c r="D272" s="1">
        <f ca="1">IFERROR(__xludf.DUMMYFUNCTION("""COMPUTED_VALUE"""),12104)</f>
        <v>12104</v>
      </c>
      <c r="E272" s="1" t="str">
        <f ca="1">IFERROR(__xludf.DUMMYFUNCTION("""COMPUTED_VALUE"""),"Biomolecular NMR Assignments")</f>
        <v>Biomolecular NMR Assignments</v>
      </c>
      <c r="F272" s="1" t="str">
        <f ca="1">IFERROR(__xludf.DUMMYFUNCTION("""COMPUTED_VALUE"""),"1874-270X")</f>
        <v>1874-270X</v>
      </c>
      <c r="G272" s="1"/>
      <c r="H272" s="27" t="str">
        <f ca="1">IFERROR(__xludf.DUMMYFUNCTION("""COMPUTED_VALUE"""),"https://link.springer.com/journal/12104")</f>
        <v>https://link.springer.com/journal/12104</v>
      </c>
      <c r="I272" s="1" t="str">
        <f ca="1">IFERROR(__xludf.DUMMYFUNCTION("""COMPUTED_VALUE"""),"Springer")</f>
        <v>Springer</v>
      </c>
      <c r="J272" s="1">
        <f ca="1">IFERROR(__xludf.DUMMYFUNCTION("""COMPUTED_VALUE"""),2007)</f>
        <v>2007</v>
      </c>
      <c r="K272" s="1" t="str">
        <f ca="1">IFERROR(__xludf.DUMMYFUNCTION("""COMPUTED_VALUE"""),"Physics and Astronomy")</f>
        <v>Physics and Astronomy</v>
      </c>
      <c r="L272" s="1"/>
      <c r="M272" s="1" t="str">
        <f ca="1">IFERROR(__xludf.DUMMYFUNCTION("""COMPUTED_VALUE"""),"〇")</f>
        <v>〇</v>
      </c>
      <c r="N272" s="1" t="str">
        <f ca="1">IFERROR(__xludf.DUMMYFUNCTION("""COMPUTED_VALUE"""),"SNS7")</f>
        <v>SNS7</v>
      </c>
      <c r="O272" s="1"/>
      <c r="P272" s="1"/>
    </row>
    <row r="273" spans="1:16" ht="14.25" customHeight="1" x14ac:dyDescent="0.25">
      <c r="A273" s="1"/>
      <c r="B273" s="1">
        <f ca="1"/>
        <v>261</v>
      </c>
      <c r="C273" s="1">
        <f ca="1">IFERROR(__xludf.DUMMYFUNCTION("""COMPUTED_VALUE"""),2023)</f>
        <v>2023</v>
      </c>
      <c r="D273" s="1">
        <f ca="1">IFERROR(__xludf.DUMMYFUNCTION("""COMPUTED_VALUE"""),12668)</f>
        <v>12668</v>
      </c>
      <c r="E273" s="1" t="str">
        <f ca="1">IFERROR(__xludf.DUMMYFUNCTION("""COMPUTED_VALUE"""),"BioNanoScience")</f>
        <v>BioNanoScience</v>
      </c>
      <c r="F273" s="1" t="str">
        <f ca="1">IFERROR(__xludf.DUMMYFUNCTION("""COMPUTED_VALUE"""),"2191-1649")</f>
        <v>2191-1649</v>
      </c>
      <c r="G273" s="1" t="str">
        <f ca="1">IFERROR(__xludf.DUMMYFUNCTION("""COMPUTED_VALUE"""),"2191-1630")</f>
        <v>2191-1630</v>
      </c>
      <c r="H273" s="27" t="str">
        <f ca="1">IFERROR(__xludf.DUMMYFUNCTION("""COMPUTED_VALUE"""),"https://link.springer.com/journal/12668")</f>
        <v>https://link.springer.com/journal/12668</v>
      </c>
      <c r="I273" s="1" t="str">
        <f ca="1">IFERROR(__xludf.DUMMYFUNCTION("""COMPUTED_VALUE"""),"Springer")</f>
        <v>Springer</v>
      </c>
      <c r="J273" s="1">
        <f ca="1">IFERROR(__xludf.DUMMYFUNCTION("""COMPUTED_VALUE"""),2011)</f>
        <v>2011</v>
      </c>
      <c r="K273" s="1" t="str">
        <f ca="1">IFERROR(__xludf.DUMMYFUNCTION("""COMPUTED_VALUE"""),"Engineering")</f>
        <v>Engineering</v>
      </c>
      <c r="L273" s="1" t="str">
        <f ca="1">IFERROR(__xludf.DUMMYFUNCTION("""COMPUTED_VALUE"""),"〇")</f>
        <v>〇</v>
      </c>
      <c r="M273" s="1"/>
      <c r="N273" s="1" t="str">
        <f ca="1">IFERROR(__xludf.DUMMYFUNCTION("""COMPUTED_VALUE"""),"SNS11")</f>
        <v>SNS11</v>
      </c>
      <c r="O273" s="1"/>
      <c r="P273" s="1"/>
    </row>
    <row r="274" spans="1:16" ht="14.25" customHeight="1" x14ac:dyDescent="0.25">
      <c r="A274" s="1"/>
      <c r="B274" s="1">
        <f ca="1"/>
        <v>262</v>
      </c>
      <c r="C274" s="1">
        <f ca="1">IFERROR(__xludf.DUMMYFUNCTION("""COMPUTED_VALUE"""),2023)</f>
        <v>2023</v>
      </c>
      <c r="D274" s="1">
        <f ca="1">IFERROR(__xludf.DUMMYFUNCTION("""COMPUTED_VALUE"""),41247)</f>
        <v>41247</v>
      </c>
      <c r="E274" s="1" t="str">
        <f ca="1">IFERROR(__xludf.DUMMYFUNCTION("""COMPUTED_VALUE"""),"Biophysical Economics and Sustainability")</f>
        <v>Biophysical Economics and Sustainability</v>
      </c>
      <c r="F274" s="1" t="str">
        <f ca="1">IFERROR(__xludf.DUMMYFUNCTION("""COMPUTED_VALUE"""),"2730-7204")</f>
        <v>2730-7204</v>
      </c>
      <c r="G274" s="1" t="str">
        <f ca="1">IFERROR(__xludf.DUMMYFUNCTION("""COMPUTED_VALUE"""),"2730-7190")</f>
        <v>2730-7190</v>
      </c>
      <c r="H274" s="27" t="str">
        <f ca="1">IFERROR(__xludf.DUMMYFUNCTION("""COMPUTED_VALUE"""),"https://link.springer.com/journal/41247")</f>
        <v>https://link.springer.com/journal/41247</v>
      </c>
      <c r="I274" s="1" t="str">
        <f ca="1">IFERROR(__xludf.DUMMYFUNCTION("""COMPUTED_VALUE"""),"Springer")</f>
        <v>Springer</v>
      </c>
      <c r="J274" s="1">
        <f ca="1">IFERROR(__xludf.DUMMYFUNCTION("""COMPUTED_VALUE"""),2016)</f>
        <v>2016</v>
      </c>
      <c r="K274" s="1" t="str">
        <f ca="1">IFERROR(__xludf.DUMMYFUNCTION("""COMPUTED_VALUE"""),"Energy")</f>
        <v>Energy</v>
      </c>
      <c r="L274" s="1" t="str">
        <f ca="1">IFERROR(__xludf.DUMMYFUNCTION("""COMPUTED_VALUE"""),"〇")</f>
        <v>〇</v>
      </c>
      <c r="M274" s="1"/>
      <c r="N274" s="1" t="str">
        <f ca="1">IFERROR(__xludf.DUMMYFUNCTION("""COMPUTED_VALUE"""),"SNS16")</f>
        <v>SNS16</v>
      </c>
      <c r="O274" s="1"/>
      <c r="P274" s="1"/>
    </row>
    <row r="275" spans="1:16" ht="14.25" customHeight="1" x14ac:dyDescent="0.25">
      <c r="A275" s="1"/>
      <c r="B275" s="1">
        <f ca="1"/>
        <v>263</v>
      </c>
      <c r="C275" s="1">
        <f ca="1">IFERROR(__xludf.DUMMYFUNCTION("""COMPUTED_VALUE"""),2023)</f>
        <v>2023</v>
      </c>
      <c r="D275" s="1">
        <f ca="1">IFERROR(__xludf.DUMMYFUNCTION("""COMPUTED_VALUE"""),12551)</f>
        <v>12551</v>
      </c>
      <c r="E275" s="1" t="str">
        <f ca="1">IFERROR(__xludf.DUMMYFUNCTION("""COMPUTED_VALUE"""),"Biophysical Reviews")</f>
        <v>Biophysical Reviews</v>
      </c>
      <c r="F275" s="1" t="str">
        <f ca="1">IFERROR(__xludf.DUMMYFUNCTION("""COMPUTED_VALUE"""),"1867-2469")</f>
        <v>1867-2469</v>
      </c>
      <c r="G275" s="1"/>
      <c r="H275" s="27" t="str">
        <f ca="1">IFERROR(__xludf.DUMMYFUNCTION("""COMPUTED_VALUE"""),"https://link.springer.com/journal/12551")</f>
        <v>https://link.springer.com/journal/12551</v>
      </c>
      <c r="I275" s="1" t="str">
        <f ca="1">IFERROR(__xludf.DUMMYFUNCTION("""COMPUTED_VALUE"""),"Springer")</f>
        <v>Springer</v>
      </c>
      <c r="J275" s="1">
        <f ca="1">IFERROR(__xludf.DUMMYFUNCTION("""COMPUTED_VALUE"""),2009)</f>
        <v>2009</v>
      </c>
      <c r="K275" s="1" t="str">
        <f ca="1">IFERROR(__xludf.DUMMYFUNCTION("""COMPUTED_VALUE"""),"Biomedical and Life Sciences")</f>
        <v>Biomedical and Life Sciences</v>
      </c>
      <c r="L275" s="1"/>
      <c r="M275" s="1" t="str">
        <f ca="1">IFERROR(__xludf.DUMMYFUNCTION("""COMPUTED_VALUE"""),"〇")</f>
        <v>〇</v>
      </c>
      <c r="N275" s="1" t="str">
        <f ca="1">IFERROR(__xludf.DUMMYFUNCTION("""COMPUTED_VALUE"""),"SNS9")</f>
        <v>SNS9</v>
      </c>
      <c r="O275" s="1"/>
      <c r="P275" s="1"/>
    </row>
    <row r="276" spans="1:16" ht="14.25" customHeight="1" x14ac:dyDescent="0.25">
      <c r="A276" s="1"/>
      <c r="B276" s="1">
        <f ca="1"/>
        <v>264</v>
      </c>
      <c r="C276" s="1">
        <f ca="1">IFERROR(__xludf.DUMMYFUNCTION("""COMPUTED_VALUE"""),2023)</f>
        <v>2023</v>
      </c>
      <c r="D276" s="1">
        <f ca="1">IFERROR(__xludf.DUMMYFUNCTION("""COMPUTED_VALUE"""),11439)</f>
        <v>11439</v>
      </c>
      <c r="E276" s="1" t="str">
        <f ca="1">IFERROR(__xludf.DUMMYFUNCTION("""COMPUTED_VALUE"""),"Biophysics")</f>
        <v>Biophysics</v>
      </c>
      <c r="F276" s="1" t="str">
        <f ca="1">IFERROR(__xludf.DUMMYFUNCTION("""COMPUTED_VALUE"""),"1555-6654")</f>
        <v>1555-6654</v>
      </c>
      <c r="G276" s="1" t="str">
        <f ca="1">IFERROR(__xludf.DUMMYFUNCTION("""COMPUTED_VALUE"""),"0006-3509")</f>
        <v>0006-3509</v>
      </c>
      <c r="H276" s="27" t="str">
        <f ca="1">IFERROR(__xludf.DUMMYFUNCTION("""COMPUTED_VALUE"""),"https://link.springer.com/journal/11439")</f>
        <v>https://link.springer.com/journal/11439</v>
      </c>
      <c r="I276" s="1" t="str">
        <f ca="1">IFERROR(__xludf.DUMMYFUNCTION("""COMPUTED_VALUE"""),"Pleiades Publishing")</f>
        <v>Pleiades Publishing</v>
      </c>
      <c r="J276" s="1">
        <f ca="1">IFERROR(__xludf.DUMMYFUNCTION("""COMPUTED_VALUE"""),2006)</f>
        <v>2006</v>
      </c>
      <c r="K276" s="1" t="str">
        <f ca="1">IFERROR(__xludf.DUMMYFUNCTION("""COMPUTED_VALUE"""),"Physics and Astronomy")</f>
        <v>Physics and Astronomy</v>
      </c>
      <c r="L276" s="1" t="str">
        <f ca="1">IFERROR(__xludf.DUMMYFUNCTION("""COMPUTED_VALUE"""),"〇")</f>
        <v>〇</v>
      </c>
      <c r="M276" s="1" t="str">
        <f ca="1">IFERROR(__xludf.DUMMYFUNCTION("""COMPUTED_VALUE"""),"〇")</f>
        <v>〇</v>
      </c>
      <c r="N276" s="1"/>
      <c r="O276" s="1"/>
      <c r="P276" s="1"/>
    </row>
    <row r="277" spans="1:16" ht="14.25" customHeight="1" x14ac:dyDescent="0.25">
      <c r="A277" s="1"/>
      <c r="B277" s="1">
        <f ca="1"/>
        <v>265</v>
      </c>
      <c r="C277" s="1">
        <f ca="1">IFERROR(__xludf.DUMMYFUNCTION("""COMPUTED_VALUE"""),2023)</f>
        <v>2023</v>
      </c>
      <c r="D277" s="1">
        <f ca="1">IFERROR(__xludf.DUMMYFUNCTION("""COMPUTED_VALUE"""),449)</f>
        <v>449</v>
      </c>
      <c r="E277" s="1" t="str">
        <f ca="1">IFERROR(__xludf.DUMMYFUNCTION("""COMPUTED_VALUE"""),"Bioprocess and Biosystems Engineering")</f>
        <v>Bioprocess and Biosystems Engineering</v>
      </c>
      <c r="F277" s="1" t="str">
        <f ca="1">IFERROR(__xludf.DUMMYFUNCTION("""COMPUTED_VALUE"""),"1615-7605")</f>
        <v>1615-7605</v>
      </c>
      <c r="G277" s="1" t="str">
        <f ca="1">IFERROR(__xludf.DUMMYFUNCTION("""COMPUTED_VALUE"""),"1615-7591")</f>
        <v>1615-7591</v>
      </c>
      <c r="H277" s="27" t="str">
        <f ca="1">IFERROR(__xludf.DUMMYFUNCTION("""COMPUTED_VALUE"""),"https://link.springer.com/journal/449")</f>
        <v>https://link.springer.com/journal/449</v>
      </c>
      <c r="I277" s="1" t="str">
        <f ca="1">IFERROR(__xludf.DUMMYFUNCTION("""COMPUTED_VALUE"""),"Springer")</f>
        <v>Springer</v>
      </c>
      <c r="J277" s="1">
        <f ca="1">IFERROR(__xludf.DUMMYFUNCTION("""COMPUTED_VALUE"""),2000)</f>
        <v>2000</v>
      </c>
      <c r="K277" s="1" t="str">
        <f ca="1">IFERROR(__xludf.DUMMYFUNCTION("""COMPUTED_VALUE"""),"Chemistry and Materials Science")</f>
        <v>Chemistry and Materials Science</v>
      </c>
      <c r="L277" s="1" t="str">
        <f ca="1">IFERROR(__xludf.DUMMYFUNCTION("""COMPUTED_VALUE"""),"〇")</f>
        <v>〇</v>
      </c>
      <c r="M277" s="1" t="str">
        <f ca="1">IFERROR(__xludf.DUMMYFUNCTION("""COMPUTED_VALUE"""),"〇")</f>
        <v>〇</v>
      </c>
      <c r="N277" s="1"/>
      <c r="O277" s="1"/>
      <c r="P277" s="1"/>
    </row>
    <row r="278" spans="1:16" ht="14.25" customHeight="1" x14ac:dyDescent="0.25">
      <c r="A278" s="1"/>
      <c r="B278" s="1">
        <f ca="1"/>
        <v>266</v>
      </c>
      <c r="C278" s="1">
        <f ca="1">IFERROR(__xludf.DUMMYFUNCTION("""COMPUTED_VALUE"""),2023)</f>
        <v>2023</v>
      </c>
      <c r="D278" s="1">
        <f ca="1">IFERROR(__xludf.DUMMYFUNCTION("""COMPUTED_VALUE"""),12304)</f>
        <v>12304</v>
      </c>
      <c r="E278" s="1" t="str">
        <f ca="1">IFERROR(__xludf.DUMMYFUNCTION("""COMPUTED_VALUE"""),"Biosemiotics")</f>
        <v>Biosemiotics</v>
      </c>
      <c r="F278" s="1" t="str">
        <f ca="1">IFERROR(__xludf.DUMMYFUNCTION("""COMPUTED_VALUE"""),"1875-1350")</f>
        <v>1875-1350</v>
      </c>
      <c r="G278" s="1" t="str">
        <f ca="1">IFERROR(__xludf.DUMMYFUNCTION("""COMPUTED_VALUE"""),"1875-1342")</f>
        <v>1875-1342</v>
      </c>
      <c r="H278" s="27" t="str">
        <f ca="1">IFERROR(__xludf.DUMMYFUNCTION("""COMPUTED_VALUE"""),"https://link.springer.com/journal/12304")</f>
        <v>https://link.springer.com/journal/12304</v>
      </c>
      <c r="I278" s="1" t="str">
        <f ca="1">IFERROR(__xludf.DUMMYFUNCTION("""COMPUTED_VALUE"""),"Springer")</f>
        <v>Springer</v>
      </c>
      <c r="J278" s="1">
        <f ca="1">IFERROR(__xludf.DUMMYFUNCTION("""COMPUTED_VALUE"""),2008)</f>
        <v>2008</v>
      </c>
      <c r="K278" s="1" t="str">
        <f ca="1">IFERROR(__xludf.DUMMYFUNCTION("""COMPUTED_VALUE"""),"Biomedical and Life Sciences")</f>
        <v>Biomedical and Life Sciences</v>
      </c>
      <c r="L278" s="1" t="str">
        <f ca="1">IFERROR(__xludf.DUMMYFUNCTION("""COMPUTED_VALUE"""),"〇")</f>
        <v>〇</v>
      </c>
      <c r="M278" s="1" t="str">
        <f ca="1">IFERROR(__xludf.DUMMYFUNCTION("""COMPUTED_VALUE"""),"〇")</f>
        <v>〇</v>
      </c>
      <c r="N278" s="1" t="str">
        <f ca="1">IFERROR(__xludf.DUMMYFUNCTION("""COMPUTED_VALUE"""),"SNS8")</f>
        <v>SNS8</v>
      </c>
      <c r="O278" s="1"/>
      <c r="P278" s="1"/>
    </row>
    <row r="279" spans="1:16" ht="14.25" customHeight="1" x14ac:dyDescent="0.25">
      <c r="A279" s="1"/>
      <c r="B279" s="1">
        <f ca="1"/>
        <v>267</v>
      </c>
      <c r="C279" s="1">
        <f ca="1">IFERROR(__xludf.DUMMYFUNCTION("""COMPUTED_VALUE"""),2023)</f>
        <v>2023</v>
      </c>
      <c r="D279" s="1">
        <f ca="1">IFERROR(__xludf.DUMMYFUNCTION("""COMPUTED_VALUE"""),12268)</f>
        <v>12268</v>
      </c>
      <c r="E279" s="1" t="str">
        <f ca="1">IFERROR(__xludf.DUMMYFUNCTION("""COMPUTED_VALUE"""),"BIOspektrum")</f>
        <v>BIOspektrum</v>
      </c>
      <c r="F279" s="1" t="str">
        <f ca="1">IFERROR(__xludf.DUMMYFUNCTION("""COMPUTED_VALUE"""),"1868-6249")</f>
        <v>1868-6249</v>
      </c>
      <c r="G279" s="1" t="str">
        <f ca="1">IFERROR(__xludf.DUMMYFUNCTION("""COMPUTED_VALUE"""),"0947-0867")</f>
        <v>0947-0867</v>
      </c>
      <c r="H279" s="27" t="str">
        <f ca="1">IFERROR(__xludf.DUMMYFUNCTION("""COMPUTED_VALUE"""),"https://link.springer.com/journal/12268")</f>
        <v>https://link.springer.com/journal/12268</v>
      </c>
      <c r="I279" s="1" t="str">
        <f ca="1">IFERROR(__xludf.DUMMYFUNCTION("""COMPUTED_VALUE"""),"Springer Spektrum")</f>
        <v>Springer Spektrum</v>
      </c>
      <c r="J279" s="1">
        <f ca="1">IFERROR(__xludf.DUMMYFUNCTION("""COMPUTED_VALUE"""),2011)</f>
        <v>2011</v>
      </c>
      <c r="K279" s="1" t="str">
        <f ca="1">IFERROR(__xludf.DUMMYFUNCTION("""COMPUTED_VALUE"""),"Biomedical and Life Sciences")</f>
        <v>Biomedical and Life Sciences</v>
      </c>
      <c r="L279" s="1" t="str">
        <f ca="1">IFERROR(__xludf.DUMMYFUNCTION("""COMPUTED_VALUE"""),"〇")</f>
        <v>〇</v>
      </c>
      <c r="M279" s="1" t="str">
        <f ca="1">IFERROR(__xludf.DUMMYFUNCTION("""COMPUTED_VALUE"""),"〇")</f>
        <v>〇</v>
      </c>
      <c r="N279" s="1"/>
      <c r="O279" s="1"/>
      <c r="P279" s="1"/>
    </row>
    <row r="280" spans="1:16" ht="14.25" customHeight="1" x14ac:dyDescent="0.25">
      <c r="A280" s="1"/>
      <c r="B280" s="1">
        <f ca="1"/>
        <v>268</v>
      </c>
      <c r="C280" s="1">
        <f ca="1">IFERROR(__xludf.DUMMYFUNCTION("""COMPUTED_VALUE"""),2023)</f>
        <v>2023</v>
      </c>
      <c r="D280" s="1">
        <f ca="1">IFERROR(__xludf.DUMMYFUNCTION("""COMPUTED_VALUE"""),12257)</f>
        <v>12257</v>
      </c>
      <c r="E280" s="1" t="str">
        <f ca="1">IFERROR(__xludf.DUMMYFUNCTION("""COMPUTED_VALUE"""),"Biotechnology and Bioprocess Engineering")</f>
        <v>Biotechnology and Bioprocess Engineering</v>
      </c>
      <c r="F280" s="1" t="str">
        <f ca="1">IFERROR(__xludf.DUMMYFUNCTION("""COMPUTED_VALUE"""),"1976-3816")</f>
        <v>1976-3816</v>
      </c>
      <c r="G280" s="1" t="str">
        <f ca="1">IFERROR(__xludf.DUMMYFUNCTION("""COMPUTED_VALUE"""),"1226-8372")</f>
        <v>1226-8372</v>
      </c>
      <c r="H280" s="27" t="str">
        <f ca="1">IFERROR(__xludf.DUMMYFUNCTION("""COMPUTED_VALUE"""),"https://link.springer.com/journal/12257")</f>
        <v>https://link.springer.com/journal/12257</v>
      </c>
      <c r="I280" s="1" t="str">
        <f ca="1">IFERROR(__xludf.DUMMYFUNCTION("""COMPUTED_VALUE"""),"The Korean Society for Biotechnology and Bioengineering, co-published with Springer")</f>
        <v>The Korean Society for Biotechnology and Bioengineering, co-published with Springer</v>
      </c>
      <c r="J280" s="1">
        <f ca="1">IFERROR(__xludf.DUMMYFUNCTION("""COMPUTED_VALUE"""),2000)</f>
        <v>2000</v>
      </c>
      <c r="K280" s="1" t="str">
        <f ca="1">IFERROR(__xludf.DUMMYFUNCTION("""COMPUTED_VALUE"""),"Chemistry and Materials Science")</f>
        <v>Chemistry and Materials Science</v>
      </c>
      <c r="L280" s="1" t="str">
        <f ca="1">IFERROR(__xludf.DUMMYFUNCTION("""COMPUTED_VALUE"""),"〇")</f>
        <v>〇</v>
      </c>
      <c r="M280" s="1" t="str">
        <f ca="1">IFERROR(__xludf.DUMMYFUNCTION("""COMPUTED_VALUE"""),"〇")</f>
        <v>〇</v>
      </c>
      <c r="N280" s="1" t="str">
        <f ca="1">IFERROR(__xludf.DUMMYFUNCTION("""COMPUTED_VALUE"""),"TO8")</f>
        <v>TO8</v>
      </c>
      <c r="O280" s="1"/>
      <c r="P280" s="1"/>
    </row>
    <row r="281" spans="1:16" ht="14.25" customHeight="1" x14ac:dyDescent="0.25">
      <c r="A281" s="1"/>
      <c r="B281" s="1">
        <f ca="1"/>
        <v>269</v>
      </c>
      <c r="C281" s="1">
        <f ca="1">IFERROR(__xludf.DUMMYFUNCTION("""COMPUTED_VALUE"""),2023)</f>
        <v>2023</v>
      </c>
      <c r="D281" s="1">
        <f ca="1">IFERROR(__xludf.DUMMYFUNCTION("""COMPUTED_VALUE"""),10529)</f>
        <v>10529</v>
      </c>
      <c r="E281" s="1" t="str">
        <f ca="1">IFERROR(__xludf.DUMMYFUNCTION("""COMPUTED_VALUE"""),"Biotechnology Letters")</f>
        <v>Biotechnology Letters</v>
      </c>
      <c r="F281" s="1" t="str">
        <f ca="1">IFERROR(__xludf.DUMMYFUNCTION("""COMPUTED_VALUE"""),"1573-6776")</f>
        <v>1573-6776</v>
      </c>
      <c r="G281" s="1" t="str">
        <f ca="1">IFERROR(__xludf.DUMMYFUNCTION("""COMPUTED_VALUE"""),"0141-5492")</f>
        <v>0141-5492</v>
      </c>
      <c r="H281" s="27" t="str">
        <f ca="1">IFERROR(__xludf.DUMMYFUNCTION("""COMPUTED_VALUE"""),"https://link.springer.com/journal/10529")</f>
        <v>https://link.springer.com/journal/10529</v>
      </c>
      <c r="I281" s="1" t="str">
        <f ca="1">IFERROR(__xludf.DUMMYFUNCTION("""COMPUTED_VALUE"""),"Springer")</f>
        <v>Springer</v>
      </c>
      <c r="J281" s="1">
        <f ca="1">IFERROR(__xludf.DUMMYFUNCTION("""COMPUTED_VALUE"""),2000)</f>
        <v>2000</v>
      </c>
      <c r="K281" s="1" t="str">
        <f ca="1">IFERROR(__xludf.DUMMYFUNCTION("""COMPUTED_VALUE"""),"Biomedical and Life Sciences")</f>
        <v>Biomedical and Life Sciences</v>
      </c>
      <c r="L281" s="1" t="str">
        <f ca="1">IFERROR(__xludf.DUMMYFUNCTION("""COMPUTED_VALUE"""),"〇")</f>
        <v>〇</v>
      </c>
      <c r="M281" s="1" t="str">
        <f ca="1">IFERROR(__xludf.DUMMYFUNCTION("""COMPUTED_VALUE"""),"〇")</f>
        <v>〇</v>
      </c>
      <c r="N281" s="1"/>
      <c r="O281" s="1"/>
      <c r="P281" s="1"/>
    </row>
    <row r="282" spans="1:16" ht="14.25" customHeight="1" x14ac:dyDescent="0.25">
      <c r="A282" s="1"/>
      <c r="B282" s="1">
        <f ca="1"/>
        <v>270</v>
      </c>
      <c r="C282" s="1">
        <f ca="1">IFERROR(__xludf.DUMMYFUNCTION("""COMPUTED_VALUE"""),2023)</f>
        <v>2023</v>
      </c>
      <c r="D282" s="1">
        <f ca="1">IFERROR(__xludf.DUMMYFUNCTION("""COMPUTED_VALUE"""),10543)</f>
        <v>10543</v>
      </c>
      <c r="E282" s="1" t="str">
        <f ca="1">IFERROR(__xludf.DUMMYFUNCTION("""COMPUTED_VALUE"""),"BIT Numerical Mathematics")</f>
        <v>BIT Numerical Mathematics</v>
      </c>
      <c r="F282" s="1" t="str">
        <f ca="1">IFERROR(__xludf.DUMMYFUNCTION("""COMPUTED_VALUE"""),"1572-9125")</f>
        <v>1572-9125</v>
      </c>
      <c r="G282" s="1" t="str">
        <f ca="1">IFERROR(__xludf.DUMMYFUNCTION("""COMPUTED_VALUE"""),"0006-3835")</f>
        <v>0006-3835</v>
      </c>
      <c r="H282" s="27" t="str">
        <f ca="1">IFERROR(__xludf.DUMMYFUNCTION("""COMPUTED_VALUE"""),"https://link.springer.com/journal/10543")</f>
        <v>https://link.springer.com/journal/10543</v>
      </c>
      <c r="I282" s="1" t="str">
        <f ca="1">IFERROR(__xludf.DUMMYFUNCTION("""COMPUTED_VALUE"""),"Springer")</f>
        <v>Springer</v>
      </c>
      <c r="J282" s="1">
        <f ca="1">IFERROR(__xludf.DUMMYFUNCTION("""COMPUTED_VALUE"""),2000)</f>
        <v>2000</v>
      </c>
      <c r="K282" s="1" t="str">
        <f ca="1">IFERROR(__xludf.DUMMYFUNCTION("""COMPUTED_VALUE"""),"Mathematics and Statistics")</f>
        <v>Mathematics and Statistics</v>
      </c>
      <c r="L282" s="1" t="str">
        <f ca="1">IFERROR(__xludf.DUMMYFUNCTION("""COMPUTED_VALUE"""),"〇")</f>
        <v>〇</v>
      </c>
      <c r="M282" s="1" t="str">
        <f ca="1">IFERROR(__xludf.DUMMYFUNCTION("""COMPUTED_VALUE"""),"〇")</f>
        <v>〇</v>
      </c>
      <c r="N282" s="1"/>
      <c r="O282" s="1"/>
      <c r="P282" s="1"/>
    </row>
    <row r="283" spans="1:16" ht="14.25" customHeight="1" x14ac:dyDescent="0.25">
      <c r="A283" s="1"/>
      <c r="B283" s="1">
        <f ca="1"/>
        <v>271</v>
      </c>
      <c r="C283" s="1">
        <f ca="1">IFERROR(__xludf.DUMMYFUNCTION("""COMPUTED_VALUE"""),2023)</f>
        <v>2023</v>
      </c>
      <c r="D283" s="1">
        <f ca="1">IFERROR(__xludf.DUMMYFUNCTION("""COMPUTED_VALUE"""),40590)</f>
        <v>40590</v>
      </c>
      <c r="E283" s="1" t="str">
        <f ca="1">IFERROR(__xludf.DUMMYFUNCTION("""COMPUTED_VALUE"""),"Boletín de la Sociedad Matemática Mexicana")</f>
        <v>Boletín de la Sociedad Matemática Mexicana</v>
      </c>
      <c r="F283" s="1" t="str">
        <f ca="1">IFERROR(__xludf.DUMMYFUNCTION("""COMPUTED_VALUE"""),"2296-4495")</f>
        <v>2296-4495</v>
      </c>
      <c r="G283" s="1" t="str">
        <f ca="1">IFERROR(__xludf.DUMMYFUNCTION("""COMPUTED_VALUE"""),"1405-213X")</f>
        <v>1405-213X</v>
      </c>
      <c r="H283" s="27" t="str">
        <f ca="1">IFERROR(__xludf.DUMMYFUNCTION("""COMPUTED_VALUE"""),"https://link.springer.com/journal/40590")</f>
        <v>https://link.springer.com/journal/40590</v>
      </c>
      <c r="I283" s="1" t="str">
        <f ca="1">IFERROR(__xludf.DUMMYFUNCTION("""COMPUTED_VALUE"""),"Birkhäuser")</f>
        <v>Birkhäuser</v>
      </c>
      <c r="J283" s="1">
        <f ca="1">IFERROR(__xludf.DUMMYFUNCTION("""COMPUTED_VALUE"""),2014)</f>
        <v>2014</v>
      </c>
      <c r="K283" s="1" t="str">
        <f ca="1">IFERROR(__xludf.DUMMYFUNCTION("""COMPUTED_VALUE"""),"Mathematics and Statistics")</f>
        <v>Mathematics and Statistics</v>
      </c>
      <c r="L283" s="1" t="str">
        <f ca="1">IFERROR(__xludf.DUMMYFUNCTION("""COMPUTED_VALUE"""),"〇")</f>
        <v>〇</v>
      </c>
      <c r="M283" s="1"/>
      <c r="N283" s="1" t="str">
        <f ca="1">IFERROR(__xludf.DUMMYFUNCTION("""COMPUTED_VALUE"""),"TO14")</f>
        <v>TO14</v>
      </c>
      <c r="O283" s="1"/>
      <c r="P283" s="1"/>
    </row>
    <row r="284" spans="1:16" ht="14.25" customHeight="1" x14ac:dyDescent="0.25">
      <c r="A284" s="1"/>
      <c r="B284" s="1">
        <f ca="1"/>
        <v>272</v>
      </c>
      <c r="C284" s="1">
        <f ca="1">IFERROR(__xludf.DUMMYFUNCTION("""COMPUTED_VALUE"""),2023)</f>
        <v>2023</v>
      </c>
      <c r="D284" s="1">
        <f ca="1">IFERROR(__xludf.DUMMYFUNCTION("""COMPUTED_VALUE"""),40574)</f>
        <v>40574</v>
      </c>
      <c r="E284" s="1" t="str">
        <f ca="1">IFERROR(__xludf.DUMMYFUNCTION("""COMPUTED_VALUE"""),"Bollettino dell'Unione Matematica Italiana")</f>
        <v>Bollettino dell'Unione Matematica Italiana</v>
      </c>
      <c r="F284" s="1" t="str">
        <f ca="1">IFERROR(__xludf.DUMMYFUNCTION("""COMPUTED_VALUE"""),"2198-2759")</f>
        <v>2198-2759</v>
      </c>
      <c r="G284" s="1" t="str">
        <f ca="1">IFERROR(__xludf.DUMMYFUNCTION("""COMPUTED_VALUE"""),"1972-6724")</f>
        <v>1972-6724</v>
      </c>
      <c r="H284" s="27" t="str">
        <f ca="1">IFERROR(__xludf.DUMMYFUNCTION("""COMPUTED_VALUE"""),"https://link.springer.com/journal/40574")</f>
        <v>https://link.springer.com/journal/40574</v>
      </c>
      <c r="I284" s="1" t="str">
        <f ca="1">IFERROR(__xludf.DUMMYFUNCTION("""COMPUTED_VALUE"""),"Springer")</f>
        <v>Springer</v>
      </c>
      <c r="J284" s="1">
        <f ca="1">IFERROR(__xludf.DUMMYFUNCTION("""COMPUTED_VALUE"""),2014)</f>
        <v>2014</v>
      </c>
      <c r="K284" s="1" t="str">
        <f ca="1">IFERROR(__xludf.DUMMYFUNCTION("""COMPUTED_VALUE"""),"Mathematics and Statistics")</f>
        <v>Mathematics and Statistics</v>
      </c>
      <c r="L284" s="1" t="str">
        <f ca="1">IFERROR(__xludf.DUMMYFUNCTION("""COMPUTED_VALUE"""),"〇")</f>
        <v>〇</v>
      </c>
      <c r="M284" s="1"/>
      <c r="N284" s="1" t="str">
        <f ca="1">IFERROR(__xludf.DUMMYFUNCTION("""COMPUTED_VALUE"""),"TO14")</f>
        <v>TO14</v>
      </c>
      <c r="O284" s="1"/>
      <c r="P284" s="1"/>
    </row>
    <row r="285" spans="1:16" ht="14.25" customHeight="1" x14ac:dyDescent="0.25">
      <c r="A285" s="1"/>
      <c r="B285" s="1">
        <f ca="1"/>
        <v>273</v>
      </c>
      <c r="C285" s="1">
        <f ca="1">IFERROR(__xludf.DUMMYFUNCTION("""COMPUTED_VALUE"""),2023)</f>
        <v>2023</v>
      </c>
      <c r="D285" s="1">
        <f ca="1">IFERROR(__xludf.DUMMYFUNCTION("""COMPUTED_VALUE"""),10546)</f>
        <v>10546</v>
      </c>
      <c r="E285" s="1" t="str">
        <f ca="1">IFERROR(__xludf.DUMMYFUNCTION("""COMPUTED_VALUE"""),"Boundary-Layer Meteorology")</f>
        <v>Boundary-Layer Meteorology</v>
      </c>
      <c r="F285" s="1" t="str">
        <f ca="1">IFERROR(__xludf.DUMMYFUNCTION("""COMPUTED_VALUE"""),"1573-1472")</f>
        <v>1573-1472</v>
      </c>
      <c r="G285" s="1" t="str">
        <f ca="1">IFERROR(__xludf.DUMMYFUNCTION("""COMPUTED_VALUE"""),"0006-8314")</f>
        <v>0006-8314</v>
      </c>
      <c r="H285" s="27" t="str">
        <f ca="1">IFERROR(__xludf.DUMMYFUNCTION("""COMPUTED_VALUE"""),"https://link.springer.com/journal/10546")</f>
        <v>https://link.springer.com/journal/10546</v>
      </c>
      <c r="I285" s="1" t="str">
        <f ca="1">IFERROR(__xludf.DUMMYFUNCTION("""COMPUTED_VALUE"""),"Springer")</f>
        <v>Springer</v>
      </c>
      <c r="J285" s="1">
        <f ca="1">IFERROR(__xludf.DUMMYFUNCTION("""COMPUTED_VALUE"""),2000)</f>
        <v>2000</v>
      </c>
      <c r="K285" s="1" t="str">
        <f ca="1">IFERROR(__xludf.DUMMYFUNCTION("""COMPUTED_VALUE"""),"Earth and Environmental Science")</f>
        <v>Earth and Environmental Science</v>
      </c>
      <c r="L285" s="1" t="str">
        <f ca="1">IFERROR(__xludf.DUMMYFUNCTION("""COMPUTED_VALUE"""),"〇")</f>
        <v>〇</v>
      </c>
      <c r="M285" s="1" t="str">
        <f ca="1">IFERROR(__xludf.DUMMYFUNCTION("""COMPUTED_VALUE"""),"〇")</f>
        <v>〇</v>
      </c>
      <c r="N285" s="1"/>
      <c r="O285" s="1"/>
      <c r="P285" s="1"/>
    </row>
    <row r="286" spans="1:16" ht="14.25" customHeight="1" x14ac:dyDescent="0.25">
      <c r="A286" s="1"/>
      <c r="B286" s="1">
        <f ca="1"/>
        <v>274</v>
      </c>
      <c r="C286" s="1">
        <f ca="1">IFERROR(__xludf.DUMMYFUNCTION("""COMPUTED_VALUE"""),2023)</f>
        <v>2023</v>
      </c>
      <c r="D286" s="1">
        <f ca="1">IFERROR(__xludf.DUMMYFUNCTION("""COMPUTED_VALUE"""),11682)</f>
        <v>11682</v>
      </c>
      <c r="E286" s="1" t="str">
        <f ca="1">IFERROR(__xludf.DUMMYFUNCTION("""COMPUTED_VALUE"""),"Brain Imaging and Behavior")</f>
        <v>Brain Imaging and Behavior</v>
      </c>
      <c r="F286" s="1" t="str">
        <f ca="1">IFERROR(__xludf.DUMMYFUNCTION("""COMPUTED_VALUE"""),"1931-7565")</f>
        <v>1931-7565</v>
      </c>
      <c r="G286" s="1"/>
      <c r="H286" s="27" t="str">
        <f ca="1">IFERROR(__xludf.DUMMYFUNCTION("""COMPUTED_VALUE"""),"https://link.springer.com/journal/11682")</f>
        <v>https://link.springer.com/journal/11682</v>
      </c>
      <c r="I286" s="1" t="str">
        <f ca="1">IFERROR(__xludf.DUMMYFUNCTION("""COMPUTED_VALUE"""),"Springer")</f>
        <v>Springer</v>
      </c>
      <c r="J286" s="1">
        <f ca="1">IFERROR(__xludf.DUMMYFUNCTION("""COMPUTED_VALUE"""),2007)</f>
        <v>2007</v>
      </c>
      <c r="K286" s="1" t="str">
        <f ca="1">IFERROR(__xludf.DUMMYFUNCTION("""COMPUTED_VALUE"""),"Biomedical and Life Sciences")</f>
        <v>Biomedical and Life Sciences</v>
      </c>
      <c r="L286" s="1"/>
      <c r="M286" s="1" t="str">
        <f ca="1">IFERROR(__xludf.DUMMYFUNCTION("""COMPUTED_VALUE"""),"〇")</f>
        <v>〇</v>
      </c>
      <c r="N286" s="1" t="str">
        <f ca="1">IFERROR(__xludf.DUMMYFUNCTION("""COMPUTED_VALUE"""),"SNS7")</f>
        <v>SNS7</v>
      </c>
      <c r="O286" s="1"/>
      <c r="P286" s="1"/>
    </row>
    <row r="287" spans="1:16" ht="14.25" customHeight="1" x14ac:dyDescent="0.25">
      <c r="A287" s="1"/>
      <c r="B287" s="1">
        <f ca="1"/>
        <v>275</v>
      </c>
      <c r="C287" s="1">
        <f ca="1">IFERROR(__xludf.DUMMYFUNCTION("""COMPUTED_VALUE"""),2023)</f>
        <v>2023</v>
      </c>
      <c r="D287" s="1">
        <f ca="1">IFERROR(__xludf.DUMMYFUNCTION("""COMPUTED_VALUE"""),429)</f>
        <v>429</v>
      </c>
      <c r="E287" s="1" t="str">
        <f ca="1">IFERROR(__xludf.DUMMYFUNCTION("""COMPUTED_VALUE"""),"Brain Structure and Function")</f>
        <v>Brain Structure and Function</v>
      </c>
      <c r="F287" s="1" t="str">
        <f ca="1">IFERROR(__xludf.DUMMYFUNCTION("""COMPUTED_VALUE"""),"1863-2661")</f>
        <v>1863-2661</v>
      </c>
      <c r="G287" s="1"/>
      <c r="H287" s="27" t="str">
        <f ca="1">IFERROR(__xludf.DUMMYFUNCTION("""COMPUTED_VALUE"""),"https://link.springer.com/journal/429")</f>
        <v>https://link.springer.com/journal/429</v>
      </c>
      <c r="I287" s="1" t="str">
        <f ca="1">IFERROR(__xludf.DUMMYFUNCTION("""COMPUTED_VALUE"""),"Springer")</f>
        <v>Springer</v>
      </c>
      <c r="J287" s="1">
        <f ca="1">IFERROR(__xludf.DUMMYFUNCTION("""COMPUTED_VALUE"""),2000)</f>
        <v>2000</v>
      </c>
      <c r="K287" s="1" t="str">
        <f ca="1">IFERROR(__xludf.DUMMYFUNCTION("""COMPUTED_VALUE"""),"Biomedical and Life Sciences")</f>
        <v>Biomedical and Life Sciences</v>
      </c>
      <c r="L287" s="1"/>
      <c r="M287" s="1" t="str">
        <f ca="1">IFERROR(__xludf.DUMMYFUNCTION("""COMPUTED_VALUE"""),"〇")</f>
        <v>〇</v>
      </c>
      <c r="N287" s="1"/>
      <c r="O287" s="1"/>
      <c r="P287" s="1"/>
    </row>
    <row r="288" spans="1:16" ht="14.25" customHeight="1" x14ac:dyDescent="0.25">
      <c r="A288" s="1"/>
      <c r="B288" s="1">
        <f ca="1"/>
        <v>276</v>
      </c>
      <c r="C288" s="1">
        <f ca="1">IFERROR(__xludf.DUMMYFUNCTION("""COMPUTED_VALUE"""),2023)</f>
        <v>2023</v>
      </c>
      <c r="D288" s="1">
        <f ca="1">IFERROR(__xludf.DUMMYFUNCTION("""COMPUTED_VALUE"""),10548)</f>
        <v>10548</v>
      </c>
      <c r="E288" s="1" t="str">
        <f ca="1">IFERROR(__xludf.DUMMYFUNCTION("""COMPUTED_VALUE"""),"Brain Topography")</f>
        <v>Brain Topography</v>
      </c>
      <c r="F288" s="1" t="str">
        <f ca="1">IFERROR(__xludf.DUMMYFUNCTION("""COMPUTED_VALUE"""),"1573-6792")</f>
        <v>1573-6792</v>
      </c>
      <c r="G288" s="1" t="str">
        <f ca="1">IFERROR(__xludf.DUMMYFUNCTION("""COMPUTED_VALUE"""),"0896-0267")</f>
        <v>0896-0267</v>
      </c>
      <c r="H288" s="27" t="str">
        <f ca="1">IFERROR(__xludf.DUMMYFUNCTION("""COMPUTED_VALUE"""),"https://link.springer.com/journal/10548")</f>
        <v>https://link.springer.com/journal/10548</v>
      </c>
      <c r="I288" s="1" t="str">
        <f ca="1">IFERROR(__xludf.DUMMYFUNCTION("""COMPUTED_VALUE"""),"Springer")</f>
        <v>Springer</v>
      </c>
      <c r="J288" s="1">
        <f ca="1">IFERROR(__xludf.DUMMYFUNCTION("""COMPUTED_VALUE"""),2000)</f>
        <v>2000</v>
      </c>
      <c r="K288" s="1" t="str">
        <f ca="1">IFERROR(__xludf.DUMMYFUNCTION("""COMPUTED_VALUE"""),"Biomedical and Life Sciences")</f>
        <v>Biomedical and Life Sciences</v>
      </c>
      <c r="L288" s="1" t="str">
        <f ca="1">IFERROR(__xludf.DUMMYFUNCTION("""COMPUTED_VALUE"""),"〇")</f>
        <v>〇</v>
      </c>
      <c r="M288" s="1" t="str">
        <f ca="1">IFERROR(__xludf.DUMMYFUNCTION("""COMPUTED_VALUE"""),"〇")</f>
        <v>〇</v>
      </c>
      <c r="N288" s="1"/>
      <c r="O288" s="1"/>
      <c r="P288" s="1"/>
    </row>
    <row r="289" spans="1:16" ht="14.25" customHeight="1" x14ac:dyDescent="0.25">
      <c r="A289" s="1"/>
      <c r="B289" s="1">
        <f ca="1"/>
        <v>277</v>
      </c>
      <c r="C289" s="1">
        <f ca="1">IFERROR(__xludf.DUMMYFUNCTION("""COMPUTED_VALUE"""),2023)</f>
        <v>2023</v>
      </c>
      <c r="D289" s="1">
        <f ca="1">IFERROR(__xludf.DUMMYFUNCTION("""COMPUTED_VALUE"""),10014)</f>
        <v>10014</v>
      </c>
      <c r="E289" s="1" t="str">
        <f ca="1">IFERROR(__xludf.DUMMYFUNCTION("""COMPUTED_VALUE"""),"Brain Tumor Pathology")</f>
        <v>Brain Tumor Pathology</v>
      </c>
      <c r="F289" s="1" t="str">
        <f ca="1">IFERROR(__xludf.DUMMYFUNCTION("""COMPUTED_VALUE"""),"1861-387X")</f>
        <v>1861-387X</v>
      </c>
      <c r="G289" s="1" t="str">
        <f ca="1">IFERROR(__xludf.DUMMYFUNCTION("""COMPUTED_VALUE"""),"1433-7398")</f>
        <v>1433-7398</v>
      </c>
      <c r="H289" s="27" t="str">
        <f ca="1">IFERROR(__xludf.DUMMYFUNCTION("""COMPUTED_VALUE"""),"https://link.springer.com/journal/10014")</f>
        <v>https://link.springer.com/journal/10014</v>
      </c>
      <c r="I289" s="1" t="str">
        <f ca="1">IFERROR(__xludf.DUMMYFUNCTION("""COMPUTED_VALUE"""),"Springer")</f>
        <v>Springer</v>
      </c>
      <c r="J289" s="1">
        <f ca="1">IFERROR(__xludf.DUMMYFUNCTION("""COMPUTED_VALUE"""),2000)</f>
        <v>2000</v>
      </c>
      <c r="K289" s="1" t="str">
        <f ca="1">IFERROR(__xludf.DUMMYFUNCTION("""COMPUTED_VALUE"""),"Medicine")</f>
        <v>Medicine</v>
      </c>
      <c r="L289" s="1" t="str">
        <f ca="1">IFERROR(__xludf.DUMMYFUNCTION("""COMPUTED_VALUE"""),"〇")</f>
        <v>〇</v>
      </c>
      <c r="M289" s="1" t="str">
        <f ca="1">IFERROR(__xludf.DUMMYFUNCTION("""COMPUTED_VALUE"""),"〇")</f>
        <v>〇</v>
      </c>
      <c r="N289" s="1"/>
      <c r="O289" s="1"/>
      <c r="P289" s="1"/>
    </row>
    <row r="290" spans="1:16" ht="14.25" customHeight="1" x14ac:dyDescent="0.25">
      <c r="A290" s="1"/>
      <c r="B290" s="1">
        <f ca="1"/>
        <v>278</v>
      </c>
      <c r="C290" s="1">
        <f ca="1">IFERROR(__xludf.DUMMYFUNCTION("""COMPUTED_VALUE"""),2023)</f>
        <v>2023</v>
      </c>
      <c r="D290" s="1">
        <f ca="1">IFERROR(__xludf.DUMMYFUNCTION("""COMPUTED_VALUE"""),40415)</f>
        <v>40415</v>
      </c>
      <c r="E290" s="1" t="str">
        <f ca="1">IFERROR(__xludf.DUMMYFUNCTION("""COMPUTED_VALUE"""),"Brazilian Journal of Botany")</f>
        <v>Brazilian Journal of Botany</v>
      </c>
      <c r="F290" s="1" t="str">
        <f ca="1">IFERROR(__xludf.DUMMYFUNCTION("""COMPUTED_VALUE"""),"1806-9959")</f>
        <v>1806-9959</v>
      </c>
      <c r="G290" s="1"/>
      <c r="H290" s="27" t="str">
        <f ca="1">IFERROR(__xludf.DUMMYFUNCTION("""COMPUTED_VALUE"""),"https://link.springer.com/journal/40415")</f>
        <v>https://link.springer.com/journal/40415</v>
      </c>
      <c r="I290" s="1" t="str">
        <f ca="1">IFERROR(__xludf.DUMMYFUNCTION("""COMPUTED_VALUE"""),"Springer")</f>
        <v>Springer</v>
      </c>
      <c r="J290" s="1">
        <f ca="1">IFERROR(__xludf.DUMMYFUNCTION("""COMPUTED_VALUE"""),2013)</f>
        <v>2013</v>
      </c>
      <c r="K290" s="1" t="str">
        <f ca="1">IFERROR(__xludf.DUMMYFUNCTION("""COMPUTED_VALUE"""),"Biomedical and Life Sciences")</f>
        <v>Biomedical and Life Sciences</v>
      </c>
      <c r="L290" s="1"/>
      <c r="M290" s="1"/>
      <c r="N290" s="1" t="str">
        <f ca="1">IFERROR(__xludf.DUMMYFUNCTION("""COMPUTED_VALUE"""),"TO13")</f>
        <v>TO13</v>
      </c>
      <c r="O290" s="1"/>
      <c r="P290" s="1"/>
    </row>
    <row r="291" spans="1:16" ht="14.25" customHeight="1" x14ac:dyDescent="0.25">
      <c r="A291" s="1"/>
      <c r="B291" s="1">
        <f ca="1"/>
        <v>279</v>
      </c>
      <c r="C291" s="1">
        <f ca="1">IFERROR(__xludf.DUMMYFUNCTION("""COMPUTED_VALUE"""),2023)</f>
        <v>2023</v>
      </c>
      <c r="D291" s="1">
        <f ca="1">IFERROR(__xludf.DUMMYFUNCTION("""COMPUTED_VALUE"""),43153)</f>
        <v>43153</v>
      </c>
      <c r="E291" s="1" t="str">
        <f ca="1">IFERROR(__xludf.DUMMYFUNCTION("""COMPUTED_VALUE"""),"Brazilian Journal of Chemical Engineering")</f>
        <v>Brazilian Journal of Chemical Engineering</v>
      </c>
      <c r="F291" s="1" t="str">
        <f ca="1">IFERROR(__xludf.DUMMYFUNCTION("""COMPUTED_VALUE"""),"1678-4383")</f>
        <v>1678-4383</v>
      </c>
      <c r="G291" s="1" t="str">
        <f ca="1">IFERROR(__xludf.DUMMYFUNCTION("""COMPUTED_VALUE"""),"0104-6632")</f>
        <v>0104-6632</v>
      </c>
      <c r="H291" s="27" t="str">
        <f ca="1">IFERROR(__xludf.DUMMYFUNCTION("""COMPUTED_VALUE"""),"https://link.springer.com/journal/43153")</f>
        <v>https://link.springer.com/journal/43153</v>
      </c>
      <c r="I291" s="1" t="str">
        <f ca="1">IFERROR(__xludf.DUMMYFUNCTION("""COMPUTED_VALUE"""),"Springer")</f>
        <v>Springer</v>
      </c>
      <c r="J291" s="1">
        <f ca="1">IFERROR(__xludf.DUMMYFUNCTION("""COMPUTED_VALUE"""),2020)</f>
        <v>2020</v>
      </c>
      <c r="K291" s="1" t="str">
        <f ca="1">IFERROR(__xludf.DUMMYFUNCTION("""COMPUTED_VALUE"""),"Chemistry and Materials Science")</f>
        <v>Chemistry and Materials Science</v>
      </c>
      <c r="L291" s="1" t="str">
        <f ca="1">IFERROR(__xludf.DUMMYFUNCTION("""COMPUTED_VALUE"""),"〇")</f>
        <v>〇</v>
      </c>
      <c r="M291" s="1"/>
      <c r="N291" s="1" t="str">
        <f ca="1">IFERROR(__xludf.DUMMYFUNCTION("""COMPUTED_VALUE"""),"TO20")</f>
        <v>TO20</v>
      </c>
      <c r="O291" s="1"/>
      <c r="P291" s="1"/>
    </row>
    <row r="292" spans="1:16" ht="14.25" customHeight="1" x14ac:dyDescent="0.25">
      <c r="A292" s="1"/>
      <c r="B292" s="1">
        <f ca="1"/>
        <v>280</v>
      </c>
      <c r="C292" s="1">
        <f ca="1">IFERROR(__xludf.DUMMYFUNCTION("""COMPUTED_VALUE"""),2023)</f>
        <v>2023</v>
      </c>
      <c r="D292" s="1">
        <f ca="1">IFERROR(__xludf.DUMMYFUNCTION("""COMPUTED_VALUE"""),42770)</f>
        <v>42770</v>
      </c>
      <c r="E292" s="1" t="str">
        <f ca="1">IFERROR(__xludf.DUMMYFUNCTION("""COMPUTED_VALUE"""),"Brazilian Journal of Microbiology")</f>
        <v>Brazilian Journal of Microbiology</v>
      </c>
      <c r="F292" s="1" t="str">
        <f ca="1">IFERROR(__xludf.DUMMYFUNCTION("""COMPUTED_VALUE"""),"1678-4405")</f>
        <v>1678-4405</v>
      </c>
      <c r="G292" s="1"/>
      <c r="H292" s="27" t="str">
        <f ca="1">IFERROR(__xludf.DUMMYFUNCTION("""COMPUTED_VALUE"""),"https://link.springer.com/journal/42770")</f>
        <v>https://link.springer.com/journal/42770</v>
      </c>
      <c r="I292" s="1" t="str">
        <f ca="1">IFERROR(__xludf.DUMMYFUNCTION("""COMPUTED_VALUE"""),"Springer")</f>
        <v>Springer</v>
      </c>
      <c r="J292" s="1">
        <f ca="1">IFERROR(__xludf.DUMMYFUNCTION("""COMPUTED_VALUE"""),2019)</f>
        <v>2019</v>
      </c>
      <c r="K292" s="1" t="str">
        <f ca="1">IFERROR(__xludf.DUMMYFUNCTION("""COMPUTED_VALUE"""),"Biomedical and Life Sciences")</f>
        <v>Biomedical and Life Sciences</v>
      </c>
      <c r="L292" s="1"/>
      <c r="M292" s="1"/>
      <c r="N292" s="1" t="str">
        <f ca="1">IFERROR(__xludf.DUMMYFUNCTION("""COMPUTED_VALUE"""),"TO19")</f>
        <v>TO19</v>
      </c>
      <c r="O292" s="1"/>
      <c r="P292" s="1"/>
    </row>
    <row r="293" spans="1:16" ht="14.25" customHeight="1" x14ac:dyDescent="0.25">
      <c r="A293" s="1"/>
      <c r="B293" s="1">
        <f ca="1"/>
        <v>281</v>
      </c>
      <c r="C293" s="1">
        <f ca="1">IFERROR(__xludf.DUMMYFUNCTION("""COMPUTED_VALUE"""),2023)</f>
        <v>2023</v>
      </c>
      <c r="D293" s="1">
        <f ca="1">IFERROR(__xludf.DUMMYFUNCTION("""COMPUTED_VALUE"""),13538)</f>
        <v>13538</v>
      </c>
      <c r="E293" s="1" t="str">
        <f ca="1">IFERROR(__xludf.DUMMYFUNCTION("""COMPUTED_VALUE"""),"Brazilian Journal of Physics")</f>
        <v>Brazilian Journal of Physics</v>
      </c>
      <c r="F293" s="1" t="str">
        <f ca="1">IFERROR(__xludf.DUMMYFUNCTION("""COMPUTED_VALUE"""),"1678-4448")</f>
        <v>1678-4448</v>
      </c>
      <c r="G293" s="1" t="str">
        <f ca="1">IFERROR(__xludf.DUMMYFUNCTION("""COMPUTED_VALUE"""),"0103-9733")</f>
        <v>0103-9733</v>
      </c>
      <c r="H293" s="27" t="str">
        <f ca="1">IFERROR(__xludf.DUMMYFUNCTION("""COMPUTED_VALUE"""),"https://link.springer.com/journal/13538")</f>
        <v>https://link.springer.com/journal/13538</v>
      </c>
      <c r="I293" s="1" t="str">
        <f ca="1">IFERROR(__xludf.DUMMYFUNCTION("""COMPUTED_VALUE"""),"Springer")</f>
        <v>Springer</v>
      </c>
      <c r="J293" s="1">
        <f ca="1">IFERROR(__xludf.DUMMYFUNCTION("""COMPUTED_VALUE"""),2011)</f>
        <v>2011</v>
      </c>
      <c r="K293" s="1" t="str">
        <f ca="1">IFERROR(__xludf.DUMMYFUNCTION("""COMPUTED_VALUE"""),"Physics and Astronomy")</f>
        <v>Physics and Astronomy</v>
      </c>
      <c r="L293" s="1" t="str">
        <f ca="1">IFERROR(__xludf.DUMMYFUNCTION("""COMPUTED_VALUE"""),"〇")</f>
        <v>〇</v>
      </c>
      <c r="M293" s="1"/>
      <c r="N293" s="1" t="str">
        <f ca="1">IFERROR(__xludf.DUMMYFUNCTION("""COMPUTED_VALUE"""),"TO11")</f>
        <v>TO11</v>
      </c>
      <c r="O293" s="1"/>
      <c r="P293" s="1"/>
    </row>
    <row r="294" spans="1:16" ht="14.25" customHeight="1" x14ac:dyDescent="0.25">
      <c r="A294" s="1"/>
      <c r="B294" s="1">
        <f ca="1"/>
        <v>282</v>
      </c>
      <c r="C294" s="1">
        <f ca="1">IFERROR(__xludf.DUMMYFUNCTION("""COMPUTED_VALUE"""),2023)</f>
        <v>2023</v>
      </c>
      <c r="D294" s="1">
        <f ca="1">IFERROR(__xludf.DUMMYFUNCTION("""COMPUTED_VALUE"""),12282)</f>
        <v>12282</v>
      </c>
      <c r="E294" s="1" t="str">
        <f ca="1">IFERROR(__xludf.DUMMYFUNCTION("""COMPUTED_VALUE"""),"Breast Cancer")</f>
        <v>Breast Cancer</v>
      </c>
      <c r="F294" s="1" t="str">
        <f ca="1">IFERROR(__xludf.DUMMYFUNCTION("""COMPUTED_VALUE"""),"1880-4233")</f>
        <v>1880-4233</v>
      </c>
      <c r="G294" s="1" t="str">
        <f ca="1">IFERROR(__xludf.DUMMYFUNCTION("""COMPUTED_VALUE"""),"1340-6868")</f>
        <v>1340-6868</v>
      </c>
      <c r="H294" s="27" t="str">
        <f ca="1">IFERROR(__xludf.DUMMYFUNCTION("""COMPUTED_VALUE"""),"https://link.springer.com/journal/12282")</f>
        <v>https://link.springer.com/journal/12282</v>
      </c>
      <c r="I294" s="1" t="str">
        <f ca="1">IFERROR(__xludf.DUMMYFUNCTION("""COMPUTED_VALUE"""),"Springer")</f>
        <v>Springer</v>
      </c>
      <c r="J294" s="1">
        <f ca="1">IFERROR(__xludf.DUMMYFUNCTION("""COMPUTED_VALUE"""),2000)</f>
        <v>2000</v>
      </c>
      <c r="K294" s="1" t="str">
        <f ca="1">IFERROR(__xludf.DUMMYFUNCTION("""COMPUTED_VALUE"""),"Medicine")</f>
        <v>Medicine</v>
      </c>
      <c r="L294" s="1" t="str">
        <f ca="1">IFERROR(__xludf.DUMMYFUNCTION("""COMPUTED_VALUE"""),"〇")</f>
        <v>〇</v>
      </c>
      <c r="M294" s="1" t="str">
        <f ca="1">IFERROR(__xludf.DUMMYFUNCTION("""COMPUTED_VALUE"""),"〇")</f>
        <v>〇</v>
      </c>
      <c r="N294" s="1" t="str">
        <f ca="1">IFERROR(__xludf.DUMMYFUNCTION("""COMPUTED_VALUE"""),"TO8")</f>
        <v>TO8</v>
      </c>
      <c r="O294" s="1"/>
      <c r="P294" s="1"/>
    </row>
    <row r="295" spans="1:16" ht="14.25" customHeight="1" x14ac:dyDescent="0.25">
      <c r="A295" s="1"/>
      <c r="B295" s="1">
        <f ca="1"/>
        <v>283</v>
      </c>
      <c r="C295" s="1">
        <f ca="1">IFERROR(__xludf.DUMMYFUNCTION("""COMPUTED_VALUE"""),2023)</f>
        <v>2023</v>
      </c>
      <c r="D295" s="1">
        <f ca="1">IFERROR(__xludf.DUMMYFUNCTION("""COMPUTED_VALUE"""),10549)</f>
        <v>10549</v>
      </c>
      <c r="E295" s="1" t="str">
        <f ca="1">IFERROR(__xludf.DUMMYFUNCTION("""COMPUTED_VALUE"""),"Breast Cancer Research and Treatment")</f>
        <v>Breast Cancer Research and Treatment</v>
      </c>
      <c r="F295" s="1" t="str">
        <f ca="1">IFERROR(__xludf.DUMMYFUNCTION("""COMPUTED_VALUE"""),"1573-7217")</f>
        <v>1573-7217</v>
      </c>
      <c r="G295" s="1"/>
      <c r="H295" s="27" t="str">
        <f ca="1">IFERROR(__xludf.DUMMYFUNCTION("""COMPUTED_VALUE"""),"https://link.springer.com/journal/10549")</f>
        <v>https://link.springer.com/journal/10549</v>
      </c>
      <c r="I295" s="1" t="str">
        <f ca="1">IFERROR(__xludf.DUMMYFUNCTION("""COMPUTED_VALUE"""),"Springer")</f>
        <v>Springer</v>
      </c>
      <c r="J295" s="1">
        <f ca="1">IFERROR(__xludf.DUMMYFUNCTION("""COMPUTED_VALUE"""),2000)</f>
        <v>2000</v>
      </c>
      <c r="K295" s="1" t="str">
        <f ca="1">IFERROR(__xludf.DUMMYFUNCTION("""COMPUTED_VALUE"""),"Medicine")</f>
        <v>Medicine</v>
      </c>
      <c r="L295" s="1"/>
      <c r="M295" s="1" t="str">
        <f ca="1">IFERROR(__xludf.DUMMYFUNCTION("""COMPUTED_VALUE"""),"〇")</f>
        <v>〇</v>
      </c>
      <c r="N295" s="1"/>
      <c r="O295" s="1"/>
      <c r="P295" s="1"/>
    </row>
    <row r="296" spans="1:16" ht="14.25" customHeight="1" x14ac:dyDescent="0.25">
      <c r="A296" s="1"/>
      <c r="B296" s="1">
        <f ca="1"/>
        <v>284</v>
      </c>
      <c r="C296" s="1">
        <f ca="1">IFERROR(__xludf.DUMMYFUNCTION("""COMPUTED_VALUE"""),2023)</f>
        <v>2023</v>
      </c>
      <c r="D296" s="1">
        <f ca="1">IFERROR(__xludf.DUMMYFUNCTION("""COMPUTED_VALUE"""),12228)</f>
        <v>12228</v>
      </c>
      <c r="E296" s="1" t="str">
        <f ca="1">IFERROR(__xludf.DUMMYFUNCTION("""COMPUTED_VALUE"""),"Brittonia")</f>
        <v>Brittonia</v>
      </c>
      <c r="F296" s="1" t="str">
        <f ca="1">IFERROR(__xludf.DUMMYFUNCTION("""COMPUTED_VALUE"""),"1938-436X")</f>
        <v>1938-436X</v>
      </c>
      <c r="G296" s="1" t="str">
        <f ca="1">IFERROR(__xludf.DUMMYFUNCTION("""COMPUTED_VALUE"""),"0007-196X")</f>
        <v>0007-196X</v>
      </c>
      <c r="H296" s="27" t="str">
        <f ca="1">IFERROR(__xludf.DUMMYFUNCTION("""COMPUTED_VALUE"""),"https://link.springer.com/journal/12228")</f>
        <v>https://link.springer.com/journal/12228</v>
      </c>
      <c r="I296" s="1" t="str">
        <f ca="1">IFERROR(__xludf.DUMMYFUNCTION("""COMPUTED_VALUE"""),"Springer")</f>
        <v>Springer</v>
      </c>
      <c r="J296" s="1">
        <f ca="1">IFERROR(__xludf.DUMMYFUNCTION("""COMPUTED_VALUE"""),2000)</f>
        <v>2000</v>
      </c>
      <c r="K296" s="1" t="str">
        <f ca="1">IFERROR(__xludf.DUMMYFUNCTION("""COMPUTED_VALUE"""),"Biomedical and Life Sciences")</f>
        <v>Biomedical and Life Sciences</v>
      </c>
      <c r="L296" s="1" t="str">
        <f ca="1">IFERROR(__xludf.DUMMYFUNCTION("""COMPUTED_VALUE"""),"〇")</f>
        <v>〇</v>
      </c>
      <c r="M296" s="1" t="str">
        <f ca="1">IFERROR(__xludf.DUMMYFUNCTION("""COMPUTED_VALUE"""),"〇")</f>
        <v>〇</v>
      </c>
      <c r="N296" s="1" t="str">
        <f ca="1">IFERROR(__xludf.DUMMYFUNCTION("""COMPUTED_VALUE"""),"TO8")</f>
        <v>TO8</v>
      </c>
      <c r="O296" s="1"/>
      <c r="P296" s="1"/>
    </row>
    <row r="297" spans="1:16" ht="14.25" customHeight="1" x14ac:dyDescent="0.25">
      <c r="A297" s="1"/>
      <c r="B297" s="1">
        <f ca="1"/>
        <v>285</v>
      </c>
      <c r="C297" s="1">
        <f ca="1">IFERROR(__xludf.DUMMYFUNCTION("""COMPUTED_VALUE"""),2023)</f>
        <v>2023</v>
      </c>
      <c r="D297" s="1">
        <f ca="1">IFERROR(__xludf.DUMMYFUNCTION("""COMPUTED_VALUE"""),12273)</f>
        <v>12273</v>
      </c>
      <c r="E297" s="1" t="str">
        <f ca="1">IFERROR(__xludf.DUMMYFUNCTION("""COMPUTED_VALUE"""),"Building Simulation")</f>
        <v>Building Simulation</v>
      </c>
      <c r="F297" s="1" t="str">
        <f ca="1">IFERROR(__xludf.DUMMYFUNCTION("""COMPUTED_VALUE"""),"1996-8744")</f>
        <v>1996-8744</v>
      </c>
      <c r="G297" s="1" t="str">
        <f ca="1">IFERROR(__xludf.DUMMYFUNCTION("""COMPUTED_VALUE"""),"1996-3599")</f>
        <v>1996-3599</v>
      </c>
      <c r="H297" s="27" t="str">
        <f ca="1">IFERROR(__xludf.DUMMYFUNCTION("""COMPUTED_VALUE"""),"https://link.springer.com/journal/12273")</f>
        <v>https://link.springer.com/journal/12273</v>
      </c>
      <c r="I297" s="1" t="str">
        <f ca="1">IFERROR(__xludf.DUMMYFUNCTION("""COMPUTED_VALUE"""),"Tsinghua University Press, co-published with Springer")</f>
        <v>Tsinghua University Press, co-published with Springer</v>
      </c>
      <c r="J297" s="1">
        <f ca="1">IFERROR(__xludf.DUMMYFUNCTION("""COMPUTED_VALUE"""),2008)</f>
        <v>2008</v>
      </c>
      <c r="K297" s="1" t="str">
        <f ca="1">IFERROR(__xludf.DUMMYFUNCTION("""COMPUTED_VALUE"""),"Engineering")</f>
        <v>Engineering</v>
      </c>
      <c r="L297" s="1" t="str">
        <f ca="1">IFERROR(__xludf.DUMMYFUNCTION("""COMPUTED_VALUE"""),"〇")</f>
        <v>〇</v>
      </c>
      <c r="M297" s="1" t="str">
        <f ca="1">IFERROR(__xludf.DUMMYFUNCTION("""COMPUTED_VALUE"""),"〇")</f>
        <v>〇</v>
      </c>
      <c r="N297" s="1" t="str">
        <f ca="1">IFERROR(__xludf.DUMMYFUNCTION("""COMPUTED_VALUE"""),"SNS8")</f>
        <v>SNS8</v>
      </c>
      <c r="O297" s="1"/>
      <c r="P297" s="1"/>
    </row>
    <row r="298" spans="1:16" ht="14.25" customHeight="1" x14ac:dyDescent="0.25">
      <c r="A298" s="1"/>
      <c r="B298" s="1">
        <f ca="1"/>
        <v>286</v>
      </c>
      <c r="C298" s="1">
        <f ca="1">IFERROR(__xludf.DUMMYFUNCTION("""COMPUTED_VALUE"""),2023)</f>
        <v>2023</v>
      </c>
      <c r="D298" s="1">
        <f ca="1">IFERROR(__xludf.DUMMYFUNCTION("""COMPUTED_VALUE"""),42865)</f>
        <v>42865</v>
      </c>
      <c r="E298" s="1" t="str">
        <f ca="1">IFERROR(__xludf.DUMMYFUNCTION("""COMPUTED_VALUE"""),"Bulletin of Atmospheric Science and Technology")</f>
        <v>Bulletin of Atmospheric Science and Technology</v>
      </c>
      <c r="F298" s="1" t="str">
        <f ca="1">IFERROR(__xludf.DUMMYFUNCTION("""COMPUTED_VALUE"""),"2662-1509")</f>
        <v>2662-1509</v>
      </c>
      <c r="G298" s="1" t="str">
        <f ca="1">IFERROR(__xludf.DUMMYFUNCTION("""COMPUTED_VALUE"""),"2662-1495")</f>
        <v>2662-1495</v>
      </c>
      <c r="H298" s="27" t="str">
        <f ca="1">IFERROR(__xludf.DUMMYFUNCTION("""COMPUTED_VALUE"""),"https://link.springer.com/journal/42865")</f>
        <v>https://link.springer.com/journal/42865</v>
      </c>
      <c r="I298" s="1" t="str">
        <f ca="1">IFERROR(__xludf.DUMMYFUNCTION("""COMPUTED_VALUE"""),"Springer")</f>
        <v>Springer</v>
      </c>
      <c r="J298" s="1">
        <f ca="1">IFERROR(__xludf.DUMMYFUNCTION("""COMPUTED_VALUE"""),2020)</f>
        <v>2020</v>
      </c>
      <c r="K298" s="1" t="str">
        <f ca="1">IFERROR(__xludf.DUMMYFUNCTION("""COMPUTED_VALUE"""),"Earth and Environmental Science")</f>
        <v>Earth and Environmental Science</v>
      </c>
      <c r="L298" s="1" t="str">
        <f ca="1">IFERROR(__xludf.DUMMYFUNCTION("""COMPUTED_VALUE"""),"〇")</f>
        <v>〇</v>
      </c>
      <c r="M298" s="1"/>
      <c r="N298" s="1" t="str">
        <f ca="1">IFERROR(__xludf.DUMMYFUNCTION("""COMPUTED_VALUE"""),"SNS20")</f>
        <v>SNS20</v>
      </c>
      <c r="O298" s="1"/>
      <c r="P298" s="1"/>
    </row>
    <row r="299" spans="1:16" ht="14.25" customHeight="1" x14ac:dyDescent="0.25">
      <c r="A299" s="1"/>
      <c r="B299" s="1">
        <f ca="1"/>
        <v>287</v>
      </c>
      <c r="C299" s="1">
        <f ca="1">IFERROR(__xludf.DUMMYFUNCTION("""COMPUTED_VALUE"""),2023)</f>
        <v>2023</v>
      </c>
      <c r="D299" s="1">
        <f ca="1">IFERROR(__xludf.DUMMYFUNCTION("""COMPUTED_VALUE"""),10518)</f>
        <v>10518</v>
      </c>
      <c r="E299" s="1" t="str">
        <f ca="1">IFERROR(__xludf.DUMMYFUNCTION("""COMPUTED_VALUE"""),"Bulletin of Earthquake Engineering")</f>
        <v>Bulletin of Earthquake Engineering</v>
      </c>
      <c r="F299" s="1" t="str">
        <f ca="1">IFERROR(__xludf.DUMMYFUNCTION("""COMPUTED_VALUE"""),"1573-1456")</f>
        <v>1573-1456</v>
      </c>
      <c r="G299" s="1" t="str">
        <f ca="1">IFERROR(__xludf.DUMMYFUNCTION("""COMPUTED_VALUE"""),"1570-761X")</f>
        <v>1570-761X</v>
      </c>
      <c r="H299" s="27" t="str">
        <f ca="1">IFERROR(__xludf.DUMMYFUNCTION("""COMPUTED_VALUE"""),"https://link.springer.com/journal/10518")</f>
        <v>https://link.springer.com/journal/10518</v>
      </c>
      <c r="I299" s="1" t="str">
        <f ca="1">IFERROR(__xludf.DUMMYFUNCTION("""COMPUTED_VALUE"""),"Springer")</f>
        <v>Springer</v>
      </c>
      <c r="J299" s="1">
        <f ca="1">IFERROR(__xludf.DUMMYFUNCTION("""COMPUTED_VALUE"""),2003)</f>
        <v>2003</v>
      </c>
      <c r="K299" s="1" t="str">
        <f ca="1">IFERROR(__xludf.DUMMYFUNCTION("""COMPUTED_VALUE"""),"Earth and Environmental Science")</f>
        <v>Earth and Environmental Science</v>
      </c>
      <c r="L299" s="1" t="str">
        <f ca="1">IFERROR(__xludf.DUMMYFUNCTION("""COMPUTED_VALUE"""),"〇")</f>
        <v>〇</v>
      </c>
      <c r="M299" s="1" t="str">
        <f ca="1">IFERROR(__xludf.DUMMYFUNCTION("""COMPUTED_VALUE"""),"〇")</f>
        <v>〇</v>
      </c>
      <c r="N299" s="1"/>
      <c r="O299" s="1"/>
      <c r="P299" s="1"/>
    </row>
    <row r="300" spans="1:16" ht="14.25" customHeight="1" x14ac:dyDescent="0.25">
      <c r="A300" s="1"/>
      <c r="B300" s="1">
        <f ca="1"/>
        <v>288</v>
      </c>
      <c r="C300" s="1">
        <f ca="1">IFERROR(__xludf.DUMMYFUNCTION("""COMPUTED_VALUE"""),2023)</f>
        <v>2023</v>
      </c>
      <c r="D300" s="1">
        <f ca="1">IFERROR(__xludf.DUMMYFUNCTION("""COMPUTED_VALUE"""),10064)</f>
        <v>10064</v>
      </c>
      <c r="E300" s="1" t="str">
        <f ca="1">IFERROR(__xludf.DUMMYFUNCTION("""COMPUTED_VALUE"""),"Bulletin of Engineering Geology and the Environment")</f>
        <v>Bulletin of Engineering Geology and the Environment</v>
      </c>
      <c r="F300" s="1" t="str">
        <f ca="1">IFERROR(__xludf.DUMMYFUNCTION("""COMPUTED_VALUE"""),"1435-9537")</f>
        <v>1435-9537</v>
      </c>
      <c r="G300" s="1" t="str">
        <f ca="1">IFERROR(__xludf.DUMMYFUNCTION("""COMPUTED_VALUE"""),"1435-9529")</f>
        <v>1435-9529</v>
      </c>
      <c r="H300" s="27" t="str">
        <f ca="1">IFERROR(__xludf.DUMMYFUNCTION("""COMPUTED_VALUE"""),"https://link.springer.com/journal/10064")</f>
        <v>https://link.springer.com/journal/10064</v>
      </c>
      <c r="I300" s="1" t="str">
        <f ca="1">IFERROR(__xludf.DUMMYFUNCTION("""COMPUTED_VALUE"""),"Springer")</f>
        <v>Springer</v>
      </c>
      <c r="J300" s="1">
        <f ca="1">IFERROR(__xludf.DUMMYFUNCTION("""COMPUTED_VALUE"""),2000)</f>
        <v>2000</v>
      </c>
      <c r="K300" s="1" t="str">
        <f ca="1">IFERROR(__xludf.DUMMYFUNCTION("""COMPUTED_VALUE"""),"Earth and Environmental Science")</f>
        <v>Earth and Environmental Science</v>
      </c>
      <c r="L300" s="1" t="str">
        <f ca="1">IFERROR(__xludf.DUMMYFUNCTION("""COMPUTED_VALUE"""),"〇")</f>
        <v>〇</v>
      </c>
      <c r="M300" s="1" t="str">
        <f ca="1">IFERROR(__xludf.DUMMYFUNCTION("""COMPUTED_VALUE"""),"〇")</f>
        <v>〇</v>
      </c>
      <c r="N300" s="1"/>
      <c r="O300" s="1"/>
      <c r="P300" s="1"/>
    </row>
    <row r="301" spans="1:16" ht="14.25" customHeight="1" x14ac:dyDescent="0.25">
      <c r="A301" s="1"/>
      <c r="B301" s="1">
        <f ca="1"/>
        <v>289</v>
      </c>
      <c r="C301" s="1">
        <f ca="1">IFERROR(__xludf.DUMMYFUNCTION("""COMPUTED_VALUE"""),2023)</f>
        <v>2023</v>
      </c>
      <c r="D301" s="1">
        <f ca="1">IFERROR(__xludf.DUMMYFUNCTION("""COMPUTED_VALUE"""),128)</f>
        <v>128</v>
      </c>
      <c r="E301" s="1" t="str">
        <f ca="1">IFERROR(__xludf.DUMMYFUNCTION("""COMPUTED_VALUE"""),"Bulletin of Environmental Contamination and Toxicology")</f>
        <v>Bulletin of Environmental Contamination and Toxicology</v>
      </c>
      <c r="F301" s="1" t="str">
        <f ca="1">IFERROR(__xludf.DUMMYFUNCTION("""COMPUTED_VALUE"""),"1432-0800")</f>
        <v>1432-0800</v>
      </c>
      <c r="G301" s="1" t="str">
        <f ca="1">IFERROR(__xludf.DUMMYFUNCTION("""COMPUTED_VALUE"""),"0007-4861")</f>
        <v>0007-4861</v>
      </c>
      <c r="H301" s="27" t="str">
        <f ca="1">IFERROR(__xludf.DUMMYFUNCTION("""COMPUTED_VALUE"""),"https://link.springer.com/journal/128")</f>
        <v>https://link.springer.com/journal/128</v>
      </c>
      <c r="I301" s="1" t="str">
        <f ca="1">IFERROR(__xludf.DUMMYFUNCTION("""COMPUTED_VALUE"""),"Springer")</f>
        <v>Springer</v>
      </c>
      <c r="J301" s="1">
        <f ca="1">IFERROR(__xludf.DUMMYFUNCTION("""COMPUTED_VALUE"""),2000)</f>
        <v>2000</v>
      </c>
      <c r="K301" s="1" t="str">
        <f ca="1">IFERROR(__xludf.DUMMYFUNCTION("""COMPUTED_VALUE"""),"Earth and Environmental Science")</f>
        <v>Earth and Environmental Science</v>
      </c>
      <c r="L301" s="1" t="str">
        <f ca="1">IFERROR(__xludf.DUMMYFUNCTION("""COMPUTED_VALUE"""),"〇")</f>
        <v>〇</v>
      </c>
      <c r="M301" s="1" t="str">
        <f ca="1">IFERROR(__xludf.DUMMYFUNCTION("""COMPUTED_VALUE"""),"〇")</f>
        <v>〇</v>
      </c>
      <c r="N301" s="1"/>
      <c r="O301" s="1"/>
      <c r="P301" s="1"/>
    </row>
    <row r="302" spans="1:16" ht="14.25" customHeight="1" x14ac:dyDescent="0.25">
      <c r="A302" s="1"/>
      <c r="B302" s="1">
        <f ca="1"/>
        <v>290</v>
      </c>
      <c r="C302" s="1">
        <f ca="1">IFERROR(__xludf.DUMMYFUNCTION("""COMPUTED_VALUE"""),2023)</f>
        <v>2023</v>
      </c>
      <c r="D302" s="1">
        <f ca="1">IFERROR(__xludf.DUMMYFUNCTION("""COMPUTED_VALUE"""),10517)</f>
        <v>10517</v>
      </c>
      <c r="E302" s="1" t="str">
        <f ca="1">IFERROR(__xludf.DUMMYFUNCTION("""COMPUTED_VALUE"""),"Bulletin of Experimental Biology and Medicine")</f>
        <v>Bulletin of Experimental Biology and Medicine</v>
      </c>
      <c r="F302" s="1" t="str">
        <f ca="1">IFERROR(__xludf.DUMMYFUNCTION("""COMPUTED_VALUE"""),"1573-8221")</f>
        <v>1573-8221</v>
      </c>
      <c r="G302" s="1" t="str">
        <f ca="1">IFERROR(__xludf.DUMMYFUNCTION("""COMPUTED_VALUE"""),"0007-4888")</f>
        <v>0007-4888</v>
      </c>
      <c r="H302" s="27" t="str">
        <f ca="1">IFERROR(__xludf.DUMMYFUNCTION("""COMPUTED_VALUE"""),"https://link.springer.com/journal/10517")</f>
        <v>https://link.springer.com/journal/10517</v>
      </c>
      <c r="I302" s="1" t="str">
        <f ca="1">IFERROR(__xludf.DUMMYFUNCTION("""COMPUTED_VALUE"""),"Springer")</f>
        <v>Springer</v>
      </c>
      <c r="J302" s="1">
        <f ca="1">IFERROR(__xludf.DUMMYFUNCTION("""COMPUTED_VALUE"""),2000)</f>
        <v>2000</v>
      </c>
      <c r="K302" s="1" t="str">
        <f ca="1">IFERROR(__xludf.DUMMYFUNCTION("""COMPUTED_VALUE"""),"Biomedical and Life Sciences")</f>
        <v>Biomedical and Life Sciences</v>
      </c>
      <c r="L302" s="1" t="str">
        <f ca="1">IFERROR(__xludf.DUMMYFUNCTION("""COMPUTED_VALUE"""),"〇")</f>
        <v>〇</v>
      </c>
      <c r="M302" s="1" t="str">
        <f ca="1">IFERROR(__xludf.DUMMYFUNCTION("""COMPUTED_VALUE"""),"〇")</f>
        <v>〇</v>
      </c>
      <c r="N302" s="1"/>
      <c r="O302" s="1"/>
      <c r="P302" s="1"/>
    </row>
    <row r="303" spans="1:16" ht="14.25" customHeight="1" x14ac:dyDescent="0.25">
      <c r="A303" s="1"/>
      <c r="B303" s="1">
        <f ca="1"/>
        <v>291</v>
      </c>
      <c r="C303" s="1">
        <f ca="1">IFERROR(__xludf.DUMMYFUNCTION("""COMPUTED_VALUE"""),2023)</f>
        <v>2023</v>
      </c>
      <c r="D303" s="1">
        <f ca="1">IFERROR(__xludf.DUMMYFUNCTION("""COMPUTED_VALUE"""),12034)</f>
        <v>12034</v>
      </c>
      <c r="E303" s="1" t="str">
        <f ca="1">IFERROR(__xludf.DUMMYFUNCTION("""COMPUTED_VALUE"""),"Bulletin of Materials Science")</f>
        <v>Bulletin of Materials Science</v>
      </c>
      <c r="F303" s="1" t="str">
        <f ca="1">IFERROR(__xludf.DUMMYFUNCTION("""COMPUTED_VALUE"""),"0973-7669")</f>
        <v>0973-7669</v>
      </c>
      <c r="G303" s="1"/>
      <c r="H303" s="27" t="str">
        <f ca="1">IFERROR(__xludf.DUMMYFUNCTION("""COMPUTED_VALUE"""),"https://link.springer.com/journal/12034")</f>
        <v>https://link.springer.com/journal/12034</v>
      </c>
      <c r="I303" s="1" t="str">
        <f ca="1">IFERROR(__xludf.DUMMYFUNCTION("""COMPUTED_VALUE"""),"Springer")</f>
        <v>Springer</v>
      </c>
      <c r="J303" s="1">
        <f ca="1">IFERROR(__xludf.DUMMYFUNCTION("""COMPUTED_VALUE"""),2000)</f>
        <v>2000</v>
      </c>
      <c r="K303" s="1" t="str">
        <f ca="1">IFERROR(__xludf.DUMMYFUNCTION("""COMPUTED_VALUE"""),"Chemistry and Materials Science")</f>
        <v>Chemistry and Materials Science</v>
      </c>
      <c r="L303" s="1"/>
      <c r="M303" s="1" t="str">
        <f ca="1">IFERROR(__xludf.DUMMYFUNCTION("""COMPUTED_VALUE"""),"〇")</f>
        <v>〇</v>
      </c>
      <c r="N303" s="1" t="str">
        <f ca="1">IFERROR(__xludf.DUMMYFUNCTION("""COMPUTED_VALUE"""),"SNS7")</f>
        <v>SNS7</v>
      </c>
      <c r="O303" s="1"/>
      <c r="P303" s="1"/>
    </row>
    <row r="304" spans="1:16" ht="14.25" customHeight="1" x14ac:dyDescent="0.25">
      <c r="A304" s="1"/>
      <c r="B304" s="1">
        <f ca="1"/>
        <v>292</v>
      </c>
      <c r="C304" s="1">
        <f ca="1">IFERROR(__xludf.DUMMYFUNCTION("""COMPUTED_VALUE"""),2023)</f>
        <v>2023</v>
      </c>
      <c r="D304" s="1">
        <f ca="1">IFERROR(__xludf.DUMMYFUNCTION("""COMPUTED_VALUE"""),11538)</f>
        <v>11538</v>
      </c>
      <c r="E304" s="1" t="str">
        <f ca="1">IFERROR(__xludf.DUMMYFUNCTION("""COMPUTED_VALUE"""),"Bulletin of Mathematical Biology")</f>
        <v>Bulletin of Mathematical Biology</v>
      </c>
      <c r="F304" s="1" t="str">
        <f ca="1">IFERROR(__xludf.DUMMYFUNCTION("""COMPUTED_VALUE"""),"1522-9602")</f>
        <v>1522-9602</v>
      </c>
      <c r="G304" s="1" t="str">
        <f ca="1">IFERROR(__xludf.DUMMYFUNCTION("""COMPUTED_VALUE"""),"0092-8240")</f>
        <v>0092-8240</v>
      </c>
      <c r="H304" s="27" t="str">
        <f ca="1">IFERROR(__xludf.DUMMYFUNCTION("""COMPUTED_VALUE"""),"https://link.springer.com/journal/11538")</f>
        <v>https://link.springer.com/journal/11538</v>
      </c>
      <c r="I304" s="1" t="str">
        <f ca="1">IFERROR(__xludf.DUMMYFUNCTION("""COMPUTED_VALUE"""),"Springer")</f>
        <v>Springer</v>
      </c>
      <c r="J304" s="1">
        <f ca="1">IFERROR(__xludf.DUMMYFUNCTION("""COMPUTED_VALUE"""),2000)</f>
        <v>2000</v>
      </c>
      <c r="K304" s="1" t="str">
        <f ca="1">IFERROR(__xludf.DUMMYFUNCTION("""COMPUTED_VALUE"""),"Mathematics and Statistics")</f>
        <v>Mathematics and Statistics</v>
      </c>
      <c r="L304" s="1" t="str">
        <f ca="1">IFERROR(__xludf.DUMMYFUNCTION("""COMPUTED_VALUE"""),"〇")</f>
        <v>〇</v>
      </c>
      <c r="M304" s="1" t="str">
        <f ca="1">IFERROR(__xludf.DUMMYFUNCTION("""COMPUTED_VALUE"""),"〇")</f>
        <v>〇</v>
      </c>
      <c r="N304" s="1"/>
      <c r="O304" s="1"/>
      <c r="P304" s="1"/>
    </row>
    <row r="305" spans="1:16" ht="14.25" customHeight="1" x14ac:dyDescent="0.25">
      <c r="A305" s="1"/>
      <c r="B305" s="1">
        <f ca="1"/>
        <v>293</v>
      </c>
      <c r="C305" s="1">
        <f ca="1">IFERROR(__xludf.DUMMYFUNCTION("""COMPUTED_VALUE"""),2023)</f>
        <v>2023</v>
      </c>
      <c r="D305" s="1">
        <f ca="1">IFERROR(__xludf.DUMMYFUNCTION("""COMPUTED_VALUE"""),574)</f>
        <v>574</v>
      </c>
      <c r="E305" s="1" t="str">
        <f ca="1">IFERROR(__xludf.DUMMYFUNCTION("""COMPUTED_VALUE"""),"Bulletin of the Brazilian Mathematical Society, New Series")</f>
        <v>Bulletin of the Brazilian Mathematical Society, New Series</v>
      </c>
      <c r="F305" s="1" t="str">
        <f ca="1">IFERROR(__xludf.DUMMYFUNCTION("""COMPUTED_VALUE"""),"1678-7714")</f>
        <v>1678-7714</v>
      </c>
      <c r="G305" s="1" t="str">
        <f ca="1">IFERROR(__xludf.DUMMYFUNCTION("""COMPUTED_VALUE"""),"1678-7544")</f>
        <v>1678-7544</v>
      </c>
      <c r="H305" s="27" t="str">
        <f ca="1">IFERROR(__xludf.DUMMYFUNCTION("""COMPUTED_VALUE"""),"https://link.springer.com/journal/574")</f>
        <v>https://link.springer.com/journal/574</v>
      </c>
      <c r="I305" s="1" t="str">
        <f ca="1">IFERROR(__xludf.DUMMYFUNCTION("""COMPUTED_VALUE"""),"Springer")</f>
        <v>Springer</v>
      </c>
      <c r="J305" s="1">
        <f ca="1">IFERROR(__xludf.DUMMYFUNCTION("""COMPUTED_VALUE"""),2000)</f>
        <v>2000</v>
      </c>
      <c r="K305" s="1" t="str">
        <f ca="1">IFERROR(__xludf.DUMMYFUNCTION("""COMPUTED_VALUE"""),"Mathematics and Statistics")</f>
        <v>Mathematics and Statistics</v>
      </c>
      <c r="L305" s="1" t="str">
        <f ca="1">IFERROR(__xludf.DUMMYFUNCTION("""COMPUTED_VALUE"""),"〇")</f>
        <v>〇</v>
      </c>
      <c r="M305" s="1" t="str">
        <f ca="1">IFERROR(__xludf.DUMMYFUNCTION("""COMPUTED_VALUE"""),"〇")</f>
        <v>〇</v>
      </c>
      <c r="N305" s="1"/>
      <c r="O305" s="1"/>
      <c r="P305" s="1"/>
    </row>
    <row r="306" spans="1:16" ht="14.25" customHeight="1" x14ac:dyDescent="0.25">
      <c r="A306" s="1"/>
      <c r="B306" s="1">
        <f ca="1"/>
        <v>294</v>
      </c>
      <c r="C306" s="1">
        <f ca="1">IFERROR(__xludf.DUMMYFUNCTION("""COMPUTED_VALUE"""),2023)</f>
        <v>2023</v>
      </c>
      <c r="D306" s="1">
        <f ca="1">IFERROR(__xludf.DUMMYFUNCTION("""COMPUTED_VALUE"""),41980)</f>
        <v>41980</v>
      </c>
      <c r="E306" s="1" t="str">
        <f ca="1">IFERROR(__xludf.DUMMYFUNCTION("""COMPUTED_VALUE"""),"Bulletin of the Iranian Mathematical Society")</f>
        <v>Bulletin of the Iranian Mathematical Society</v>
      </c>
      <c r="F306" s="1" t="str">
        <f ca="1">IFERROR(__xludf.DUMMYFUNCTION("""COMPUTED_VALUE"""),"1735-8515")</f>
        <v>1735-8515</v>
      </c>
      <c r="G306" s="1"/>
      <c r="H306" s="27" t="str">
        <f ca="1">IFERROR(__xludf.DUMMYFUNCTION("""COMPUTED_VALUE"""),"https://link.springer.com/journal/41980")</f>
        <v>https://link.springer.com/journal/41980</v>
      </c>
      <c r="I306" s="1" t="str">
        <f ca="1">IFERROR(__xludf.DUMMYFUNCTION("""COMPUTED_VALUE"""),"Springer")</f>
        <v>Springer</v>
      </c>
      <c r="J306" s="1">
        <f ca="1">IFERROR(__xludf.DUMMYFUNCTION("""COMPUTED_VALUE"""),2018)</f>
        <v>2018</v>
      </c>
      <c r="K306" s="1" t="str">
        <f ca="1">IFERROR(__xludf.DUMMYFUNCTION("""COMPUTED_VALUE"""),"Mathematics and Statistics")</f>
        <v>Mathematics and Statistics</v>
      </c>
      <c r="L306" s="1"/>
      <c r="M306" s="1"/>
      <c r="N306" s="1" t="str">
        <f ca="1">IFERROR(__xludf.DUMMYFUNCTION("""COMPUTED_VALUE"""),"TO18")</f>
        <v>TO18</v>
      </c>
      <c r="O306" s="1"/>
      <c r="P306" s="1"/>
    </row>
    <row r="307" spans="1:16" ht="14.25" customHeight="1" x14ac:dyDescent="0.25">
      <c r="A307" s="1"/>
      <c r="B307" s="1">
        <f ca="1"/>
        <v>295</v>
      </c>
      <c r="C307" s="1">
        <f ca="1">IFERROR(__xludf.DUMMYFUNCTION("""COMPUTED_VALUE"""),2023)</f>
        <v>2023</v>
      </c>
      <c r="D307" s="1">
        <f ca="1">IFERROR(__xludf.DUMMYFUNCTION("""COMPUTED_VALUE"""),11953)</f>
        <v>11953</v>
      </c>
      <c r="E307" s="1" t="str">
        <f ca="1">IFERROR(__xludf.DUMMYFUNCTION("""COMPUTED_VALUE"""),"Bulletin of the Lebedev Physics Institute")</f>
        <v>Bulletin of the Lebedev Physics Institute</v>
      </c>
      <c r="F307" s="1" t="str">
        <f ca="1">IFERROR(__xludf.DUMMYFUNCTION("""COMPUTED_VALUE"""),"1934-838X")</f>
        <v>1934-838X</v>
      </c>
      <c r="G307" s="1" t="str">
        <f ca="1">IFERROR(__xludf.DUMMYFUNCTION("""COMPUTED_VALUE"""),"1068-3356")</f>
        <v>1068-3356</v>
      </c>
      <c r="H307" s="27" t="str">
        <f ca="1">IFERROR(__xludf.DUMMYFUNCTION("""COMPUTED_VALUE"""),"https://link.springer.com/journal/11953")</f>
        <v>https://link.springer.com/journal/11953</v>
      </c>
      <c r="I307" s="1" t="str">
        <f ca="1">IFERROR(__xludf.DUMMYFUNCTION("""COMPUTED_VALUE"""),"Pleiades Publishing")</f>
        <v>Pleiades Publishing</v>
      </c>
      <c r="J307" s="1">
        <f ca="1">IFERROR(__xludf.DUMMYFUNCTION("""COMPUTED_VALUE"""),2007)</f>
        <v>2007</v>
      </c>
      <c r="K307" s="1" t="str">
        <f ca="1">IFERROR(__xludf.DUMMYFUNCTION("""COMPUTED_VALUE"""),"Physics and Astronomy")</f>
        <v>Physics and Astronomy</v>
      </c>
      <c r="L307" s="1" t="str">
        <f ca="1">IFERROR(__xludf.DUMMYFUNCTION("""COMPUTED_VALUE"""),"〇")</f>
        <v>〇</v>
      </c>
      <c r="M307" s="1" t="str">
        <f ca="1">IFERROR(__xludf.DUMMYFUNCTION("""COMPUTED_VALUE"""),"〇")</f>
        <v>〇</v>
      </c>
      <c r="N307" s="1" t="str">
        <f ca="1">IFERROR(__xludf.DUMMYFUNCTION("""COMPUTED_VALUE"""),"TO7")</f>
        <v>TO7</v>
      </c>
      <c r="O307" s="1"/>
      <c r="P307" s="1"/>
    </row>
    <row r="308" spans="1:16" ht="14.25" customHeight="1" x14ac:dyDescent="0.25">
      <c r="A308" s="1"/>
      <c r="B308" s="1">
        <f ca="1"/>
        <v>296</v>
      </c>
      <c r="C308" s="1">
        <f ca="1">IFERROR(__xludf.DUMMYFUNCTION("""COMPUTED_VALUE"""),2023)</f>
        <v>2023</v>
      </c>
      <c r="D308" s="1">
        <f ca="1">IFERROR(__xludf.DUMMYFUNCTION("""COMPUTED_VALUE"""),40840)</f>
        <v>40840</v>
      </c>
      <c r="E308" s="1" t="str">
        <f ca="1">IFERROR(__xludf.DUMMYFUNCTION("""COMPUTED_VALUE"""),"Bulletin of the Malaysian Mathematical Sciences Society")</f>
        <v>Bulletin of the Malaysian Mathematical Sciences Society</v>
      </c>
      <c r="F308" s="1" t="str">
        <f ca="1">IFERROR(__xludf.DUMMYFUNCTION("""COMPUTED_VALUE"""),"2180-4206")</f>
        <v>2180-4206</v>
      </c>
      <c r="G308" s="1" t="str">
        <f ca="1">IFERROR(__xludf.DUMMYFUNCTION("""COMPUTED_VALUE"""),"0126-6705")</f>
        <v>0126-6705</v>
      </c>
      <c r="H308" s="27" t="str">
        <f ca="1">IFERROR(__xludf.DUMMYFUNCTION("""COMPUTED_VALUE"""),"https://link.springer.com/journal/40840")</f>
        <v>https://link.springer.com/journal/40840</v>
      </c>
      <c r="I308" s="1" t="str">
        <f ca="1">IFERROR(__xludf.DUMMYFUNCTION("""COMPUTED_VALUE"""),"Springer")</f>
        <v>Springer</v>
      </c>
      <c r="J308" s="1">
        <f ca="1">IFERROR(__xludf.DUMMYFUNCTION("""COMPUTED_VALUE"""),2015)</f>
        <v>2015</v>
      </c>
      <c r="K308" s="1" t="str">
        <f ca="1">IFERROR(__xludf.DUMMYFUNCTION("""COMPUTED_VALUE"""),"Mathematics and Statistics")</f>
        <v>Mathematics and Statistics</v>
      </c>
      <c r="L308" s="1" t="str">
        <f ca="1">IFERROR(__xludf.DUMMYFUNCTION("""COMPUTED_VALUE"""),"〇")</f>
        <v>〇</v>
      </c>
      <c r="M308" s="1"/>
      <c r="N308" s="1" t="str">
        <f ca="1">IFERROR(__xludf.DUMMYFUNCTION("""COMPUTED_VALUE"""),"TO15")</f>
        <v>TO15</v>
      </c>
      <c r="O308" s="1"/>
      <c r="P308" s="1"/>
    </row>
    <row r="309" spans="1:16" ht="14.25" customHeight="1" x14ac:dyDescent="0.25">
      <c r="A309" s="1"/>
      <c r="B309" s="1">
        <f ca="1"/>
        <v>297</v>
      </c>
      <c r="C309" s="1">
        <f ca="1">IFERROR(__xludf.DUMMYFUNCTION("""COMPUTED_VALUE"""),2023)</f>
        <v>2023</v>
      </c>
      <c r="D309" s="1">
        <f ca="1">IFERROR(__xludf.DUMMYFUNCTION("""COMPUTED_VALUE"""),11954)</f>
        <v>11954</v>
      </c>
      <c r="E309" s="1" t="str">
        <f ca="1">IFERROR(__xludf.DUMMYFUNCTION("""COMPUTED_VALUE"""),"Bulletin of the Russian Academy of Sciences: Physics")</f>
        <v>Bulletin of the Russian Academy of Sciences: Physics</v>
      </c>
      <c r="F309" s="1" t="str">
        <f ca="1">IFERROR(__xludf.DUMMYFUNCTION("""COMPUTED_VALUE"""),"1934-9432")</f>
        <v>1934-9432</v>
      </c>
      <c r="G309" s="1" t="str">
        <f ca="1">IFERROR(__xludf.DUMMYFUNCTION("""COMPUTED_VALUE"""),"1062-8738")</f>
        <v>1062-8738</v>
      </c>
      <c r="H309" s="27" t="str">
        <f ca="1">IFERROR(__xludf.DUMMYFUNCTION("""COMPUTED_VALUE"""),"https://link.springer.com/journal/11954")</f>
        <v>https://link.springer.com/journal/11954</v>
      </c>
      <c r="I309" s="1" t="str">
        <f ca="1">IFERROR(__xludf.DUMMYFUNCTION("""COMPUTED_VALUE"""),"Pleiades Publishing")</f>
        <v>Pleiades Publishing</v>
      </c>
      <c r="J309" s="1">
        <f ca="1">IFERROR(__xludf.DUMMYFUNCTION("""COMPUTED_VALUE"""),2007)</f>
        <v>2007</v>
      </c>
      <c r="K309" s="1" t="str">
        <f ca="1">IFERROR(__xludf.DUMMYFUNCTION("""COMPUTED_VALUE"""),"Physics and Astronomy")</f>
        <v>Physics and Astronomy</v>
      </c>
      <c r="L309" s="1" t="str">
        <f ca="1">IFERROR(__xludf.DUMMYFUNCTION("""COMPUTED_VALUE"""),"〇")</f>
        <v>〇</v>
      </c>
      <c r="M309" s="1" t="str">
        <f ca="1">IFERROR(__xludf.DUMMYFUNCTION("""COMPUTED_VALUE"""),"〇")</f>
        <v>〇</v>
      </c>
      <c r="N309" s="1" t="str">
        <f ca="1">IFERROR(__xludf.DUMMYFUNCTION("""COMPUTED_VALUE"""),"TO7")</f>
        <v>TO7</v>
      </c>
      <c r="O309" s="1"/>
      <c r="P309" s="1"/>
    </row>
    <row r="310" spans="1:16" ht="14.25" customHeight="1" x14ac:dyDescent="0.25">
      <c r="A310" s="1"/>
      <c r="B310" s="1">
        <f ca="1"/>
        <v>298</v>
      </c>
      <c r="C310" s="1">
        <f ca="1">IFERROR(__xludf.DUMMYFUNCTION("""COMPUTED_VALUE"""),2023)</f>
        <v>2023</v>
      </c>
      <c r="D310" s="1">
        <f ca="1">IFERROR(__xludf.DUMMYFUNCTION("""COMPUTED_VALUE"""),445)</f>
        <v>445</v>
      </c>
      <c r="E310" s="1" t="str">
        <f ca="1">IFERROR(__xludf.DUMMYFUNCTION("""COMPUTED_VALUE"""),"Bulletin of Volcanology")</f>
        <v>Bulletin of Volcanology</v>
      </c>
      <c r="F310" s="1" t="str">
        <f ca="1">IFERROR(__xludf.DUMMYFUNCTION("""COMPUTED_VALUE"""),"1432-0819")</f>
        <v>1432-0819</v>
      </c>
      <c r="G310" s="1"/>
      <c r="H310" s="27" t="str">
        <f ca="1">IFERROR(__xludf.DUMMYFUNCTION("""COMPUTED_VALUE"""),"https://link.springer.com/journal/445")</f>
        <v>https://link.springer.com/journal/445</v>
      </c>
      <c r="I310" s="1" t="str">
        <f ca="1">IFERROR(__xludf.DUMMYFUNCTION("""COMPUTED_VALUE"""),"Springer")</f>
        <v>Springer</v>
      </c>
      <c r="J310" s="1">
        <f ca="1">IFERROR(__xludf.DUMMYFUNCTION("""COMPUTED_VALUE"""),2000)</f>
        <v>2000</v>
      </c>
      <c r="K310" s="1" t="str">
        <f ca="1">IFERROR(__xludf.DUMMYFUNCTION("""COMPUTED_VALUE"""),"Earth and Environmental Science")</f>
        <v>Earth and Environmental Science</v>
      </c>
      <c r="L310" s="1"/>
      <c r="M310" s="1" t="str">
        <f ca="1">IFERROR(__xludf.DUMMYFUNCTION("""COMPUTED_VALUE"""),"〇")</f>
        <v>〇</v>
      </c>
      <c r="N310" s="1"/>
      <c r="O310" s="1"/>
      <c r="P310" s="1"/>
    </row>
    <row r="311" spans="1:16" ht="14.25" customHeight="1" x14ac:dyDescent="0.25">
      <c r="A311" s="1"/>
      <c r="B311" s="1">
        <f ca="1"/>
        <v>299</v>
      </c>
      <c r="C311" s="1">
        <f ca="1">IFERROR(__xludf.DUMMYFUNCTION("""COMPUTED_VALUE"""),2023)</f>
        <v>2023</v>
      </c>
      <c r="D311" s="1">
        <f ca="1">IFERROR(__xludf.DUMMYFUNCTION("""COMPUTED_VALUE"""),103)</f>
        <v>103</v>
      </c>
      <c r="E311" s="1" t="str">
        <f ca="1">IFERROR(__xludf.DUMMYFUNCTION("""COMPUTED_VALUE"""),"Bundesgesundheitsblatt - Gesundheitsforschung - Gesundheitsschutz")</f>
        <v>Bundesgesundheitsblatt - Gesundheitsforschung - Gesundheitsschutz</v>
      </c>
      <c r="F311" s="1" t="str">
        <f ca="1">IFERROR(__xludf.DUMMYFUNCTION("""COMPUTED_VALUE"""),"1437-1588")</f>
        <v>1437-1588</v>
      </c>
      <c r="G311" s="1" t="str">
        <f ca="1">IFERROR(__xludf.DUMMYFUNCTION("""COMPUTED_VALUE"""),"1436-9990")</f>
        <v>1436-9990</v>
      </c>
      <c r="H311" s="27" t="str">
        <f ca="1">IFERROR(__xludf.DUMMYFUNCTION("""COMPUTED_VALUE"""),"https://link.springer.com/journal/103")</f>
        <v>https://link.springer.com/journal/103</v>
      </c>
      <c r="I311" s="1" t="str">
        <f ca="1">IFERROR(__xludf.DUMMYFUNCTION("""COMPUTED_VALUE"""),"Springer")</f>
        <v>Springer</v>
      </c>
      <c r="J311" s="1">
        <f ca="1">IFERROR(__xludf.DUMMYFUNCTION("""COMPUTED_VALUE"""),2000)</f>
        <v>2000</v>
      </c>
      <c r="K311" s="1" t="str">
        <f ca="1">IFERROR(__xludf.DUMMYFUNCTION("""COMPUTED_VALUE"""),"Medicine")</f>
        <v>Medicine</v>
      </c>
      <c r="L311" s="1" t="str">
        <f ca="1">IFERROR(__xludf.DUMMYFUNCTION("""COMPUTED_VALUE"""),"〇")</f>
        <v>〇</v>
      </c>
      <c r="M311" s="1" t="str">
        <f ca="1">IFERROR(__xludf.DUMMYFUNCTION("""COMPUTED_VALUE"""),"〇")</f>
        <v>〇</v>
      </c>
      <c r="N311" s="1"/>
      <c r="O311" s="1"/>
      <c r="P311" s="1"/>
    </row>
    <row r="312" spans="1:16" ht="14.25" customHeight="1" x14ac:dyDescent="0.25">
      <c r="A312" s="1"/>
      <c r="B312" s="1">
        <f ca="1"/>
        <v>300</v>
      </c>
      <c r="C312" s="1">
        <f ca="1">IFERROR(__xludf.DUMMYFUNCTION("""COMPUTED_VALUE"""),2023)</f>
        <v>2023</v>
      </c>
      <c r="D312" s="1">
        <f ca="1">IFERROR(__xludf.DUMMYFUNCTION("""COMPUTED_VALUE"""),12599)</f>
        <v>12599</v>
      </c>
      <c r="E312" s="1" t="str">
        <f ca="1">IFERROR(__xludf.DUMMYFUNCTION("""COMPUTED_VALUE"""),"Business &amp; Information Systems Engineering")</f>
        <v>Business &amp; Information Systems Engineering</v>
      </c>
      <c r="F312" s="1" t="str">
        <f ca="1">IFERROR(__xludf.DUMMYFUNCTION("""COMPUTED_VALUE"""),"1867-0202")</f>
        <v>1867-0202</v>
      </c>
      <c r="G312" s="1" t="str">
        <f ca="1">IFERROR(__xludf.DUMMYFUNCTION("""COMPUTED_VALUE"""),"2363-7005")</f>
        <v>2363-7005</v>
      </c>
      <c r="H312" s="27" t="str">
        <f ca="1">IFERROR(__xludf.DUMMYFUNCTION("""COMPUTED_VALUE"""),"https://link.springer.com/journal/12599")</f>
        <v>https://link.springer.com/journal/12599</v>
      </c>
      <c r="I312" s="1" t="str">
        <f ca="1">IFERROR(__xludf.DUMMYFUNCTION("""COMPUTED_VALUE"""),"Springer Gabler")</f>
        <v>Springer Gabler</v>
      </c>
      <c r="J312" s="1">
        <f ca="1">IFERROR(__xludf.DUMMYFUNCTION("""COMPUTED_VALUE"""),2009)</f>
        <v>2009</v>
      </c>
      <c r="K312" s="1" t="str">
        <f ca="1">IFERROR(__xludf.DUMMYFUNCTION("""COMPUTED_VALUE"""),"Business and Management")</f>
        <v>Business and Management</v>
      </c>
      <c r="L312" s="1" t="str">
        <f ca="1">IFERROR(__xludf.DUMMYFUNCTION("""COMPUTED_VALUE"""),"〇")</f>
        <v>〇</v>
      </c>
      <c r="M312" s="1" t="str">
        <f ca="1">IFERROR(__xludf.DUMMYFUNCTION("""COMPUTED_VALUE"""),"〇")</f>
        <v>〇</v>
      </c>
      <c r="N312" s="1" t="str">
        <f ca="1">IFERROR(__xludf.DUMMYFUNCTION("""COMPUTED_VALUE"""),"SNS9")</f>
        <v>SNS9</v>
      </c>
      <c r="O312" s="1"/>
      <c r="P312" s="1"/>
    </row>
    <row r="313" spans="1:16" ht="14.25" customHeight="1" x14ac:dyDescent="0.25">
      <c r="A313" s="1"/>
      <c r="B313" s="1">
        <f ca="1"/>
        <v>301</v>
      </c>
      <c r="C313" s="1">
        <f ca="1">IFERROR(__xludf.DUMMYFUNCTION("""COMPUTED_VALUE"""),2023)</f>
        <v>2023</v>
      </c>
      <c r="D313" s="1">
        <f ca="1">IFERROR(__xludf.DUMMYFUNCTION("""COMPUTED_VALUE"""),223)</f>
        <v>223</v>
      </c>
      <c r="E313" s="1" t="str">
        <f ca="1">IFERROR(__xludf.DUMMYFUNCTION("""COMPUTED_VALUE"""),"Calcified Tissue International")</f>
        <v>Calcified Tissue International</v>
      </c>
      <c r="F313" s="1" t="str">
        <f ca="1">IFERROR(__xludf.DUMMYFUNCTION("""COMPUTED_VALUE"""),"1432-0827")</f>
        <v>1432-0827</v>
      </c>
      <c r="G313" s="1"/>
      <c r="H313" s="27" t="str">
        <f ca="1">IFERROR(__xludf.DUMMYFUNCTION("""COMPUTED_VALUE"""),"https://link.springer.com/journal/223")</f>
        <v>https://link.springer.com/journal/223</v>
      </c>
      <c r="I313" s="1" t="str">
        <f ca="1">IFERROR(__xludf.DUMMYFUNCTION("""COMPUTED_VALUE"""),"Springer")</f>
        <v>Springer</v>
      </c>
      <c r="J313" s="1">
        <f ca="1">IFERROR(__xludf.DUMMYFUNCTION("""COMPUTED_VALUE"""),2000)</f>
        <v>2000</v>
      </c>
      <c r="K313" s="1" t="str">
        <f ca="1">IFERROR(__xludf.DUMMYFUNCTION("""COMPUTED_VALUE"""),"Biomedical and Life Sciences")</f>
        <v>Biomedical and Life Sciences</v>
      </c>
      <c r="L313" s="1"/>
      <c r="M313" s="1" t="str">
        <f ca="1">IFERROR(__xludf.DUMMYFUNCTION("""COMPUTED_VALUE"""),"〇")</f>
        <v>〇</v>
      </c>
      <c r="N313" s="1"/>
      <c r="O313" s="1"/>
      <c r="P313" s="1"/>
    </row>
    <row r="314" spans="1:16" ht="14.25" customHeight="1" x14ac:dyDescent="0.25">
      <c r="A314" s="1"/>
      <c r="B314" s="1">
        <f ca="1"/>
        <v>302</v>
      </c>
      <c r="C314" s="1">
        <f ca="1">IFERROR(__xludf.DUMMYFUNCTION("""COMPUTED_VALUE"""),2023)</f>
        <v>2023</v>
      </c>
      <c r="D314" s="1">
        <f ca="1">IFERROR(__xludf.DUMMYFUNCTION("""COMPUTED_VALUE"""),10092)</f>
        <v>10092</v>
      </c>
      <c r="E314" s="1" t="str">
        <f ca="1">IFERROR(__xludf.DUMMYFUNCTION("""COMPUTED_VALUE"""),"Calcolo")</f>
        <v>Calcolo</v>
      </c>
      <c r="F314" s="1" t="str">
        <f ca="1">IFERROR(__xludf.DUMMYFUNCTION("""COMPUTED_VALUE"""),"1126-5434")</f>
        <v>1126-5434</v>
      </c>
      <c r="G314" s="1" t="str">
        <f ca="1">IFERROR(__xludf.DUMMYFUNCTION("""COMPUTED_VALUE"""),"0008-0624")</f>
        <v>0008-0624</v>
      </c>
      <c r="H314" s="27" t="str">
        <f ca="1">IFERROR(__xludf.DUMMYFUNCTION("""COMPUTED_VALUE"""),"https://link.springer.com/journal/10092")</f>
        <v>https://link.springer.com/journal/10092</v>
      </c>
      <c r="I314" s="1" t="str">
        <f ca="1">IFERROR(__xludf.DUMMYFUNCTION("""COMPUTED_VALUE"""),"Springer")</f>
        <v>Springer</v>
      </c>
      <c r="J314" s="1">
        <f ca="1">IFERROR(__xludf.DUMMYFUNCTION("""COMPUTED_VALUE"""),2000)</f>
        <v>2000</v>
      </c>
      <c r="K314" s="1" t="str">
        <f ca="1">IFERROR(__xludf.DUMMYFUNCTION("""COMPUTED_VALUE"""),"Mathematics and Statistics")</f>
        <v>Mathematics and Statistics</v>
      </c>
      <c r="L314" s="1" t="str">
        <f ca="1">IFERROR(__xludf.DUMMYFUNCTION("""COMPUTED_VALUE"""),"〇")</f>
        <v>〇</v>
      </c>
      <c r="M314" s="1" t="str">
        <f ca="1">IFERROR(__xludf.DUMMYFUNCTION("""COMPUTED_VALUE"""),"〇")</f>
        <v>〇</v>
      </c>
      <c r="N314" s="1"/>
      <c r="O314" s="1"/>
      <c r="P314" s="1"/>
    </row>
    <row r="315" spans="1:16" ht="14.25" customHeight="1" x14ac:dyDescent="0.25">
      <c r="A315" s="1"/>
      <c r="B315" s="1">
        <f ca="1"/>
        <v>303</v>
      </c>
      <c r="C315" s="1">
        <f ca="1">IFERROR(__xludf.DUMMYFUNCTION("""COMPUTED_VALUE"""),2023)</f>
        <v>2023</v>
      </c>
      <c r="D315" s="1">
        <f ca="1">IFERROR(__xludf.DUMMYFUNCTION("""COMPUTED_VALUE"""),526)</f>
        <v>526</v>
      </c>
      <c r="E315" s="1" t="str">
        <f ca="1">IFERROR(__xludf.DUMMYFUNCTION("""COMPUTED_VALUE"""),"Calculus of Variations and Partial Differential Equations")</f>
        <v>Calculus of Variations and Partial Differential Equations</v>
      </c>
      <c r="F315" s="1" t="str">
        <f ca="1">IFERROR(__xludf.DUMMYFUNCTION("""COMPUTED_VALUE"""),"1432-0835")</f>
        <v>1432-0835</v>
      </c>
      <c r="G315" s="1" t="str">
        <f ca="1">IFERROR(__xludf.DUMMYFUNCTION("""COMPUTED_VALUE"""),"0944-2669")</f>
        <v>0944-2669</v>
      </c>
      <c r="H315" s="27" t="str">
        <f ca="1">IFERROR(__xludf.DUMMYFUNCTION("""COMPUTED_VALUE"""),"https://link.springer.com/journal/526")</f>
        <v>https://link.springer.com/journal/526</v>
      </c>
      <c r="I315" s="1" t="str">
        <f ca="1">IFERROR(__xludf.DUMMYFUNCTION("""COMPUTED_VALUE"""),"Springer")</f>
        <v>Springer</v>
      </c>
      <c r="J315" s="1">
        <f ca="1">IFERROR(__xludf.DUMMYFUNCTION("""COMPUTED_VALUE"""),2000)</f>
        <v>2000</v>
      </c>
      <c r="K315" s="1" t="str">
        <f ca="1">IFERROR(__xludf.DUMMYFUNCTION("""COMPUTED_VALUE"""),"Mathematics and Statistics")</f>
        <v>Mathematics and Statistics</v>
      </c>
      <c r="L315" s="1" t="str">
        <f ca="1">IFERROR(__xludf.DUMMYFUNCTION("""COMPUTED_VALUE"""),"〇")</f>
        <v>〇</v>
      </c>
      <c r="M315" s="1" t="str">
        <f ca="1">IFERROR(__xludf.DUMMYFUNCTION("""COMPUTED_VALUE"""),"〇")</f>
        <v>〇</v>
      </c>
      <c r="N315" s="1"/>
      <c r="O315" s="1"/>
      <c r="P315" s="1"/>
    </row>
    <row r="316" spans="1:16" ht="14.25" customHeight="1" x14ac:dyDescent="0.25">
      <c r="A316" s="1"/>
      <c r="B316" s="1">
        <f ca="1"/>
        <v>304</v>
      </c>
      <c r="C316" s="1">
        <f ca="1">IFERROR(__xludf.DUMMYFUNCTION("""COMPUTED_VALUE"""),2023)</f>
        <v>2023</v>
      </c>
      <c r="D316" s="1">
        <f ca="1">IFERROR(__xludf.DUMMYFUNCTION("""COMPUTED_VALUE"""),12630)</f>
        <v>12630</v>
      </c>
      <c r="E316" s="1" t="str">
        <f ca="1">IFERROR(__xludf.DUMMYFUNCTION("""COMPUTED_VALUE"""),"Canadian Journal of Anesthesia/Journal canadien d'anesthésie")</f>
        <v>Canadian Journal of Anesthesia/Journal canadien d'anesthésie</v>
      </c>
      <c r="F316" s="1" t="str">
        <f ca="1">IFERROR(__xludf.DUMMYFUNCTION("""COMPUTED_VALUE"""),"1496-8975")</f>
        <v>1496-8975</v>
      </c>
      <c r="G316" s="1" t="str">
        <f ca="1">IFERROR(__xludf.DUMMYFUNCTION("""COMPUTED_VALUE"""),"0832-610X")</f>
        <v>0832-610X</v>
      </c>
      <c r="H316" s="27" t="str">
        <f ca="1">IFERROR(__xludf.DUMMYFUNCTION("""COMPUTED_VALUE"""),"https://link.springer.com/journal/12630")</f>
        <v>https://link.springer.com/journal/12630</v>
      </c>
      <c r="I316" s="1" t="str">
        <f ca="1">IFERROR(__xludf.DUMMYFUNCTION("""COMPUTED_VALUE"""),"Springer")</f>
        <v>Springer</v>
      </c>
      <c r="J316" s="1">
        <f ca="1">IFERROR(__xludf.DUMMYFUNCTION("""COMPUTED_VALUE"""),2000)</f>
        <v>2000</v>
      </c>
      <c r="K316" s="1" t="str">
        <f ca="1">IFERROR(__xludf.DUMMYFUNCTION("""COMPUTED_VALUE"""),"Medicine")</f>
        <v>Medicine</v>
      </c>
      <c r="L316" s="1" t="str">
        <f ca="1">IFERROR(__xludf.DUMMYFUNCTION("""COMPUTED_VALUE"""),"〇")</f>
        <v>〇</v>
      </c>
      <c r="M316" s="1"/>
      <c r="N316" s="1" t="str">
        <f ca="1">IFERROR(__xludf.DUMMYFUNCTION("""COMPUTED_VALUE"""),"TO9")</f>
        <v>TO9</v>
      </c>
      <c r="O316" s="1"/>
      <c r="P316" s="1"/>
    </row>
    <row r="317" spans="1:16" ht="14.25" customHeight="1" x14ac:dyDescent="0.25">
      <c r="A317" s="1"/>
      <c r="B317" s="1">
        <f ca="1"/>
        <v>305</v>
      </c>
      <c r="C317" s="1">
        <f ca="1">IFERROR(__xludf.DUMMYFUNCTION("""COMPUTED_VALUE"""),2023)</f>
        <v>2023</v>
      </c>
      <c r="D317" s="1">
        <f ca="1">IFERROR(__xludf.DUMMYFUNCTION("""COMPUTED_VALUE"""),41997)</f>
        <v>41997</v>
      </c>
      <c r="E317" s="1" t="str">
        <f ca="1">IFERROR(__xludf.DUMMYFUNCTION("""COMPUTED_VALUE"""),"Canadian Journal of Public Health")</f>
        <v>Canadian Journal of Public Health</v>
      </c>
      <c r="F317" s="1" t="str">
        <f ca="1">IFERROR(__xludf.DUMMYFUNCTION("""COMPUTED_VALUE"""),"1920-7476")</f>
        <v>1920-7476</v>
      </c>
      <c r="G317" s="1"/>
      <c r="H317" s="27" t="str">
        <f ca="1">IFERROR(__xludf.DUMMYFUNCTION("""COMPUTED_VALUE"""),"https://link.springer.com/journal/41997")</f>
        <v>https://link.springer.com/journal/41997</v>
      </c>
      <c r="I317" s="1" t="str">
        <f ca="1">IFERROR(__xludf.DUMMYFUNCTION("""COMPUTED_VALUE"""),"Springer")</f>
        <v>Springer</v>
      </c>
      <c r="J317" s="1">
        <f ca="1">IFERROR(__xludf.DUMMYFUNCTION("""COMPUTED_VALUE"""),2000)</f>
        <v>2000</v>
      </c>
      <c r="K317" s="1" t="str">
        <f ca="1">IFERROR(__xludf.DUMMYFUNCTION("""COMPUTED_VALUE"""),"Medicine")</f>
        <v>Medicine</v>
      </c>
      <c r="L317" s="1"/>
      <c r="M317" s="1"/>
      <c r="N317" s="1" t="str">
        <f ca="1">IFERROR(__xludf.DUMMYFUNCTION("""COMPUTED_VALUE"""),"TO18")</f>
        <v>TO18</v>
      </c>
      <c r="O317" s="1"/>
      <c r="P317" s="1"/>
    </row>
    <row r="318" spans="1:16" ht="14.25" customHeight="1" x14ac:dyDescent="0.25">
      <c r="A318" s="1"/>
      <c r="B318" s="1">
        <f ca="1"/>
        <v>306</v>
      </c>
      <c r="C318" s="1">
        <f ca="1">IFERROR(__xludf.DUMMYFUNCTION("""COMPUTED_VALUE"""),2023)</f>
        <v>2023</v>
      </c>
      <c r="D318" s="1">
        <f ca="1">IFERROR(__xludf.DUMMYFUNCTION("""COMPUTED_VALUE"""),42330)</f>
        <v>42330</v>
      </c>
      <c r="E318" s="1" t="str">
        <f ca="1">IFERROR(__xludf.DUMMYFUNCTION("""COMPUTED_VALUE"""),"Canadian Journal of Science, Mathematics and Technology Education")</f>
        <v>Canadian Journal of Science, Mathematics and Technology Education</v>
      </c>
      <c r="F318" s="1" t="str">
        <f ca="1">IFERROR(__xludf.DUMMYFUNCTION("""COMPUTED_VALUE"""),"1942-4051")</f>
        <v>1942-4051</v>
      </c>
      <c r="G318" s="1" t="str">
        <f ca="1">IFERROR(__xludf.DUMMYFUNCTION("""COMPUTED_VALUE"""),"1492-6156")</f>
        <v>1492-6156</v>
      </c>
      <c r="H318" s="27" t="str">
        <f ca="1">IFERROR(__xludf.DUMMYFUNCTION("""COMPUTED_VALUE"""),"https://link.springer.com/journal/42330")</f>
        <v>https://link.springer.com/journal/42330</v>
      </c>
      <c r="I318" s="1" t="str">
        <f ca="1">IFERROR(__xludf.DUMMYFUNCTION("""COMPUTED_VALUE"""),"Springer")</f>
        <v>Springer</v>
      </c>
      <c r="J318" s="1">
        <f ca="1">IFERROR(__xludf.DUMMYFUNCTION("""COMPUTED_VALUE"""),2001)</f>
        <v>2001</v>
      </c>
      <c r="K318" s="1" t="str">
        <f ca="1">IFERROR(__xludf.DUMMYFUNCTION("""COMPUTED_VALUE"""),"Education")</f>
        <v>Education</v>
      </c>
      <c r="L318" s="1" t="str">
        <f ca="1">IFERROR(__xludf.DUMMYFUNCTION("""COMPUTED_VALUE"""),"〇")</f>
        <v>〇</v>
      </c>
      <c r="M318" s="1"/>
      <c r="N318" s="1" t="str">
        <f ca="1">IFERROR(__xludf.DUMMYFUNCTION("""COMPUTED_VALUE"""),"TO18")</f>
        <v>TO18</v>
      </c>
      <c r="O318" s="1"/>
      <c r="P318" s="1"/>
    </row>
    <row r="319" spans="1:16" ht="14.25" customHeight="1" x14ac:dyDescent="0.25">
      <c r="A319" s="1"/>
      <c r="B319" s="1">
        <f ca="1"/>
        <v>307</v>
      </c>
      <c r="C319" s="1">
        <f ca="1">IFERROR(__xludf.DUMMYFUNCTION("""COMPUTED_VALUE"""),2023)</f>
        <v>2023</v>
      </c>
      <c r="D319" s="1">
        <f ca="1">IFERROR(__xludf.DUMMYFUNCTION("""COMPUTED_VALUE"""),42650)</f>
        <v>42650</v>
      </c>
      <c r="E319" s="1" t="str">
        <f ca="1">IFERROR(__xludf.DUMMYFUNCTION("""COMPUTED_VALUE"""),"Canadian Studies in Population")</f>
        <v>Canadian Studies in Population</v>
      </c>
      <c r="F319" s="1" t="str">
        <f ca="1">IFERROR(__xludf.DUMMYFUNCTION("""COMPUTED_VALUE"""),"1927-629X")</f>
        <v>1927-629X</v>
      </c>
      <c r="G319" s="1" t="str">
        <f ca="1">IFERROR(__xludf.DUMMYFUNCTION("""COMPUTED_VALUE"""),"0380-1489")</f>
        <v>0380-1489</v>
      </c>
      <c r="H319" s="27" t="str">
        <f ca="1">IFERROR(__xludf.DUMMYFUNCTION("""COMPUTED_VALUE"""),"https://link.springer.com/journal/42650")</f>
        <v>https://link.springer.com/journal/42650</v>
      </c>
      <c r="I319" s="1" t="str">
        <f ca="1">IFERROR(__xludf.DUMMYFUNCTION("""COMPUTED_VALUE"""),"Springer")</f>
        <v>Springer</v>
      </c>
      <c r="J319" s="1">
        <f ca="1">IFERROR(__xludf.DUMMYFUNCTION("""COMPUTED_VALUE"""),2019)</f>
        <v>2019</v>
      </c>
      <c r="K319" s="1" t="str">
        <f ca="1">IFERROR(__xludf.DUMMYFUNCTION("""COMPUTED_VALUE"""),"Social Sciences")</f>
        <v>Social Sciences</v>
      </c>
      <c r="L319" s="1" t="str">
        <f ca="1">IFERROR(__xludf.DUMMYFUNCTION("""COMPUTED_VALUE"""),"〇")</f>
        <v>〇</v>
      </c>
      <c r="M319" s="1"/>
      <c r="N319" s="1" t="str">
        <f ca="1">IFERROR(__xludf.DUMMYFUNCTION("""COMPUTED_VALUE"""),"TO19")</f>
        <v>TO19</v>
      </c>
      <c r="O319" s="1"/>
      <c r="P319" s="1"/>
    </row>
    <row r="320" spans="1:16" ht="14.25" customHeight="1" x14ac:dyDescent="0.25">
      <c r="A320" s="1"/>
      <c r="B320" s="1">
        <f ca="1"/>
        <v>308</v>
      </c>
      <c r="C320" s="1">
        <f ca="1">IFERROR(__xludf.DUMMYFUNCTION("""COMPUTED_VALUE"""),2023)</f>
        <v>2023</v>
      </c>
      <c r="D320" s="1">
        <f ca="1">IFERROR(__xludf.DUMMYFUNCTION("""COMPUTED_VALUE"""),10555)</f>
        <v>10555</v>
      </c>
      <c r="E320" s="1" t="str">
        <f ca="1">IFERROR(__xludf.DUMMYFUNCTION("""COMPUTED_VALUE"""),"Cancer and Metastasis Reviews")</f>
        <v>Cancer and Metastasis Reviews</v>
      </c>
      <c r="F320" s="1" t="str">
        <f ca="1">IFERROR(__xludf.DUMMYFUNCTION("""COMPUTED_VALUE"""),"1573-7233")</f>
        <v>1573-7233</v>
      </c>
      <c r="G320" s="1" t="str">
        <f ca="1">IFERROR(__xludf.DUMMYFUNCTION("""COMPUTED_VALUE"""),"0167-7659")</f>
        <v>0167-7659</v>
      </c>
      <c r="H320" s="27" t="str">
        <f ca="1">IFERROR(__xludf.DUMMYFUNCTION("""COMPUTED_VALUE"""),"https://link.springer.com/journal/10555")</f>
        <v>https://link.springer.com/journal/10555</v>
      </c>
      <c r="I320" s="1" t="str">
        <f ca="1">IFERROR(__xludf.DUMMYFUNCTION("""COMPUTED_VALUE"""),"Springer")</f>
        <v>Springer</v>
      </c>
      <c r="J320" s="1">
        <f ca="1">IFERROR(__xludf.DUMMYFUNCTION("""COMPUTED_VALUE"""),2000)</f>
        <v>2000</v>
      </c>
      <c r="K320" s="1" t="str">
        <f ca="1">IFERROR(__xludf.DUMMYFUNCTION("""COMPUTED_VALUE"""),"Biomedical and Life Sciences")</f>
        <v>Biomedical and Life Sciences</v>
      </c>
      <c r="L320" s="1" t="str">
        <f ca="1">IFERROR(__xludf.DUMMYFUNCTION("""COMPUTED_VALUE"""),"〇")</f>
        <v>〇</v>
      </c>
      <c r="M320" s="1" t="str">
        <f ca="1">IFERROR(__xludf.DUMMYFUNCTION("""COMPUTED_VALUE"""),"〇")</f>
        <v>〇</v>
      </c>
      <c r="N320" s="1"/>
      <c r="O320" s="1"/>
      <c r="P320" s="1"/>
    </row>
    <row r="321" spans="1:16" ht="14.25" customHeight="1" x14ac:dyDescent="0.25">
      <c r="A321" s="1"/>
      <c r="B321" s="1">
        <f ca="1"/>
        <v>309</v>
      </c>
      <c r="C321" s="1">
        <f ca="1">IFERROR(__xludf.DUMMYFUNCTION("""COMPUTED_VALUE"""),2023)</f>
        <v>2023</v>
      </c>
      <c r="D321" s="1">
        <f ca="1">IFERROR(__xludf.DUMMYFUNCTION("""COMPUTED_VALUE"""),10552)</f>
        <v>10552</v>
      </c>
      <c r="E321" s="1" t="str">
        <f ca="1">IFERROR(__xludf.DUMMYFUNCTION("""COMPUTED_VALUE"""),"Cancer Causes &amp; Control")</f>
        <v>Cancer Causes &amp; Control</v>
      </c>
      <c r="F321" s="1" t="str">
        <f ca="1">IFERROR(__xludf.DUMMYFUNCTION("""COMPUTED_VALUE"""),"1573-7225")</f>
        <v>1573-7225</v>
      </c>
      <c r="G321" s="1" t="str">
        <f ca="1">IFERROR(__xludf.DUMMYFUNCTION("""COMPUTED_VALUE"""),"0957-5243")</f>
        <v>0957-5243</v>
      </c>
      <c r="H321" s="27" t="str">
        <f ca="1">IFERROR(__xludf.DUMMYFUNCTION("""COMPUTED_VALUE"""),"https://link.springer.com/journal/10552")</f>
        <v>https://link.springer.com/journal/10552</v>
      </c>
      <c r="I321" s="1" t="str">
        <f ca="1">IFERROR(__xludf.DUMMYFUNCTION("""COMPUTED_VALUE"""),"Springer")</f>
        <v>Springer</v>
      </c>
      <c r="J321" s="1">
        <f ca="1">IFERROR(__xludf.DUMMYFUNCTION("""COMPUTED_VALUE"""),2000)</f>
        <v>2000</v>
      </c>
      <c r="K321" s="1" t="str">
        <f ca="1">IFERROR(__xludf.DUMMYFUNCTION("""COMPUTED_VALUE"""),"Biomedical and Life Sciences")</f>
        <v>Biomedical and Life Sciences</v>
      </c>
      <c r="L321" s="1" t="str">
        <f ca="1">IFERROR(__xludf.DUMMYFUNCTION("""COMPUTED_VALUE"""),"〇")</f>
        <v>〇</v>
      </c>
      <c r="M321" s="1" t="str">
        <f ca="1">IFERROR(__xludf.DUMMYFUNCTION("""COMPUTED_VALUE"""),"〇")</f>
        <v>〇</v>
      </c>
      <c r="N321" s="1"/>
      <c r="O321" s="1"/>
      <c r="P321" s="1"/>
    </row>
    <row r="322" spans="1:16" ht="14.25" customHeight="1" x14ac:dyDescent="0.25">
      <c r="A322" s="1"/>
      <c r="B322" s="1">
        <f ca="1"/>
        <v>310</v>
      </c>
      <c r="C322" s="1">
        <f ca="1">IFERROR(__xludf.DUMMYFUNCTION("""COMPUTED_VALUE"""),2023)</f>
        <v>2023</v>
      </c>
      <c r="D322" s="1">
        <f ca="1">IFERROR(__xludf.DUMMYFUNCTION("""COMPUTED_VALUE"""),280)</f>
        <v>280</v>
      </c>
      <c r="E322" s="1" t="str">
        <f ca="1">IFERROR(__xludf.DUMMYFUNCTION("""COMPUTED_VALUE"""),"Cancer Chemotherapy and Pharmacology")</f>
        <v>Cancer Chemotherapy and Pharmacology</v>
      </c>
      <c r="F322" s="1" t="str">
        <f ca="1">IFERROR(__xludf.DUMMYFUNCTION("""COMPUTED_VALUE"""),"1432-0843")</f>
        <v>1432-0843</v>
      </c>
      <c r="G322" s="1"/>
      <c r="H322" s="27" t="str">
        <f ca="1">IFERROR(__xludf.DUMMYFUNCTION("""COMPUTED_VALUE"""),"https://link.springer.com/journal/280")</f>
        <v>https://link.springer.com/journal/280</v>
      </c>
      <c r="I322" s="1" t="str">
        <f ca="1">IFERROR(__xludf.DUMMYFUNCTION("""COMPUTED_VALUE"""),"Springer")</f>
        <v>Springer</v>
      </c>
      <c r="J322" s="1">
        <f ca="1">IFERROR(__xludf.DUMMYFUNCTION("""COMPUTED_VALUE"""),2000)</f>
        <v>2000</v>
      </c>
      <c r="K322" s="1" t="str">
        <f ca="1">IFERROR(__xludf.DUMMYFUNCTION("""COMPUTED_VALUE"""),"Medicine")</f>
        <v>Medicine</v>
      </c>
      <c r="L322" s="1"/>
      <c r="M322" s="1" t="str">
        <f ca="1">IFERROR(__xludf.DUMMYFUNCTION("""COMPUTED_VALUE"""),"〇")</f>
        <v>〇</v>
      </c>
      <c r="N322" s="1"/>
      <c r="O322" s="1"/>
      <c r="P322" s="1"/>
    </row>
    <row r="323" spans="1:16" ht="14.25" customHeight="1" x14ac:dyDescent="0.25">
      <c r="A323" s="1"/>
      <c r="B323" s="1">
        <f ca="1"/>
        <v>311</v>
      </c>
      <c r="C323" s="1">
        <f ca="1">IFERROR(__xludf.DUMMYFUNCTION("""COMPUTED_VALUE"""),2023)</f>
        <v>2023</v>
      </c>
      <c r="D323" s="1">
        <f ca="1">IFERROR(__xludf.DUMMYFUNCTION("""COMPUTED_VALUE"""),262)</f>
        <v>262</v>
      </c>
      <c r="E323" s="1" t="str">
        <f ca="1">IFERROR(__xludf.DUMMYFUNCTION("""COMPUTED_VALUE"""),"Cancer Immunology, Immunotherapy")</f>
        <v>Cancer Immunology, Immunotherapy</v>
      </c>
      <c r="F323" s="1" t="str">
        <f ca="1">IFERROR(__xludf.DUMMYFUNCTION("""COMPUTED_VALUE"""),"1432-0851")</f>
        <v>1432-0851</v>
      </c>
      <c r="G323" s="1"/>
      <c r="H323" s="27" t="str">
        <f ca="1">IFERROR(__xludf.DUMMYFUNCTION("""COMPUTED_VALUE"""),"https://link.springer.com/journal/262")</f>
        <v>https://link.springer.com/journal/262</v>
      </c>
      <c r="I323" s="1" t="str">
        <f ca="1">IFERROR(__xludf.DUMMYFUNCTION("""COMPUTED_VALUE"""),"Springer")</f>
        <v>Springer</v>
      </c>
      <c r="J323" s="1">
        <f ca="1">IFERROR(__xludf.DUMMYFUNCTION("""COMPUTED_VALUE"""),2000)</f>
        <v>2000</v>
      </c>
      <c r="K323" s="1" t="str">
        <f ca="1">IFERROR(__xludf.DUMMYFUNCTION("""COMPUTED_VALUE"""),"Medicine")</f>
        <v>Medicine</v>
      </c>
      <c r="L323" s="1"/>
      <c r="M323" s="1" t="str">
        <f ca="1">IFERROR(__xludf.DUMMYFUNCTION("""COMPUTED_VALUE"""),"〇")</f>
        <v>〇</v>
      </c>
      <c r="N323" s="1"/>
      <c r="O323" s="1"/>
      <c r="P323" s="1"/>
    </row>
    <row r="324" spans="1:16" ht="14.25" customHeight="1" x14ac:dyDescent="0.25">
      <c r="A324" s="1"/>
      <c r="B324" s="1">
        <f ca="1"/>
        <v>312</v>
      </c>
      <c r="C324" s="1">
        <f ca="1">IFERROR(__xludf.DUMMYFUNCTION("""COMPUTED_VALUE"""),2023)</f>
        <v>2023</v>
      </c>
      <c r="D324" s="1">
        <f ca="1">IFERROR(__xludf.DUMMYFUNCTION("""COMPUTED_VALUE"""),42823)</f>
        <v>42823</v>
      </c>
      <c r="E324" s="1" t="str">
        <f ca="1">IFERROR(__xludf.DUMMYFUNCTION("""COMPUTED_VALUE"""),"Carbon Letters")</f>
        <v>Carbon Letters</v>
      </c>
      <c r="F324" s="1" t="str">
        <f ca="1">IFERROR(__xludf.DUMMYFUNCTION("""COMPUTED_VALUE"""),"2233-4998")</f>
        <v>2233-4998</v>
      </c>
      <c r="G324" s="1" t="str">
        <f ca="1">IFERROR(__xludf.DUMMYFUNCTION("""COMPUTED_VALUE"""),"1976-4251")</f>
        <v>1976-4251</v>
      </c>
      <c r="H324" s="27" t="str">
        <f ca="1">IFERROR(__xludf.DUMMYFUNCTION("""COMPUTED_VALUE"""),"https://link.springer.com/journal/42823")</f>
        <v>https://link.springer.com/journal/42823</v>
      </c>
      <c r="I324" s="1" t="str">
        <f ca="1">IFERROR(__xludf.DUMMYFUNCTION("""COMPUTED_VALUE"""),"Springer")</f>
        <v>Springer</v>
      </c>
      <c r="J324" s="1">
        <f ca="1">IFERROR(__xludf.DUMMYFUNCTION("""COMPUTED_VALUE"""),2019)</f>
        <v>2019</v>
      </c>
      <c r="K324" s="1" t="str">
        <f ca="1">IFERROR(__xludf.DUMMYFUNCTION("""COMPUTED_VALUE"""),"Chemistry and Materials Science")</f>
        <v>Chemistry and Materials Science</v>
      </c>
      <c r="L324" s="1" t="str">
        <f ca="1">IFERROR(__xludf.DUMMYFUNCTION("""COMPUTED_VALUE"""),"〇")</f>
        <v>〇</v>
      </c>
      <c r="M324" s="1"/>
      <c r="N324" s="1" t="str">
        <f ca="1">IFERROR(__xludf.DUMMYFUNCTION("""COMPUTED_VALUE"""),"TO19")</f>
        <v>TO19</v>
      </c>
      <c r="O324" s="1"/>
      <c r="P324" s="1"/>
    </row>
    <row r="325" spans="1:16" ht="14.25" customHeight="1" x14ac:dyDescent="0.25">
      <c r="A325" s="1"/>
      <c r="B325" s="1">
        <f ca="1"/>
        <v>313</v>
      </c>
      <c r="C325" s="1">
        <f ca="1">IFERROR(__xludf.DUMMYFUNCTION("""COMPUTED_VALUE"""),2023)</f>
        <v>2023</v>
      </c>
      <c r="D325" s="1">
        <f ca="1">IFERROR(__xludf.DUMMYFUNCTION("""COMPUTED_VALUE"""),13146)</f>
        <v>13146</v>
      </c>
      <c r="E325" s="1" t="str">
        <f ca="1">IFERROR(__xludf.DUMMYFUNCTION("""COMPUTED_VALUE"""),"Carbonates and Evaporites")</f>
        <v>Carbonates and Evaporites</v>
      </c>
      <c r="F325" s="1" t="str">
        <f ca="1">IFERROR(__xludf.DUMMYFUNCTION("""COMPUTED_VALUE"""),"1878-5212")</f>
        <v>1878-5212</v>
      </c>
      <c r="G325" s="1" t="str">
        <f ca="1">IFERROR(__xludf.DUMMYFUNCTION("""COMPUTED_VALUE"""),"0891-2556")</f>
        <v>0891-2556</v>
      </c>
      <c r="H325" s="27" t="str">
        <f ca="1">IFERROR(__xludf.DUMMYFUNCTION("""COMPUTED_VALUE"""),"https://link.springer.com/journal/13146")</f>
        <v>https://link.springer.com/journal/13146</v>
      </c>
      <c r="I325" s="1" t="str">
        <f ca="1">IFERROR(__xludf.DUMMYFUNCTION("""COMPUTED_VALUE"""),"Springer")</f>
        <v>Springer</v>
      </c>
      <c r="J325" s="1">
        <f ca="1">IFERROR(__xludf.DUMMYFUNCTION("""COMPUTED_VALUE"""),2000)</f>
        <v>2000</v>
      </c>
      <c r="K325" s="1" t="str">
        <f ca="1">IFERROR(__xludf.DUMMYFUNCTION("""COMPUTED_VALUE"""),"Earth and Environmental Science")</f>
        <v>Earth and Environmental Science</v>
      </c>
      <c r="L325" s="1" t="str">
        <f ca="1">IFERROR(__xludf.DUMMYFUNCTION("""COMPUTED_VALUE"""),"〇")</f>
        <v>〇</v>
      </c>
      <c r="M325" s="1"/>
      <c r="N325" s="1" t="str">
        <f ca="1">IFERROR(__xludf.DUMMYFUNCTION("""COMPUTED_VALUE"""),"TO10")</f>
        <v>TO10</v>
      </c>
      <c r="O325" s="1"/>
      <c r="P325" s="1"/>
    </row>
    <row r="326" spans="1:16" ht="14.25" customHeight="1" x14ac:dyDescent="0.25">
      <c r="A326" s="1"/>
      <c r="B326" s="1">
        <f ca="1"/>
        <v>314</v>
      </c>
      <c r="C326" s="1">
        <f ca="1">IFERROR(__xludf.DUMMYFUNCTION("""COMPUTED_VALUE"""),2023)</f>
        <v>2023</v>
      </c>
      <c r="D326" s="1">
        <f ca="1">IFERROR(__xludf.DUMMYFUNCTION("""COMPUTED_VALUE"""),15027)</f>
        <v>15027</v>
      </c>
      <c r="E326" s="1" t="str">
        <f ca="1">IFERROR(__xludf.DUMMYFUNCTION("""COMPUTED_VALUE"""),"CardioVasc")</f>
        <v>CardioVasc</v>
      </c>
      <c r="F326" s="1" t="str">
        <f ca="1">IFERROR(__xludf.DUMMYFUNCTION("""COMPUTED_VALUE"""),"1618-3851")</f>
        <v>1618-3851</v>
      </c>
      <c r="G326" s="1" t="str">
        <f ca="1">IFERROR(__xludf.DUMMYFUNCTION("""COMPUTED_VALUE"""),"1617-4933")</f>
        <v>1617-4933</v>
      </c>
      <c r="H326" s="27" t="str">
        <f ca="1">IFERROR(__xludf.DUMMYFUNCTION("""COMPUTED_VALUE"""),"https://link.springer.com/journal/15027")</f>
        <v>https://link.springer.com/journal/15027</v>
      </c>
      <c r="I326" s="1" t="str">
        <f ca="1">IFERROR(__xludf.DUMMYFUNCTION("""COMPUTED_VALUE"""),"SpringerMedizin")</f>
        <v>SpringerMedizin</v>
      </c>
      <c r="J326" s="1">
        <f ca="1">IFERROR(__xludf.DUMMYFUNCTION("""COMPUTED_VALUE"""),2009)</f>
        <v>2009</v>
      </c>
      <c r="K326" s="1" t="str">
        <f ca="1">IFERROR(__xludf.DUMMYFUNCTION("""COMPUTED_VALUE"""),"Medicine")</f>
        <v>Medicine</v>
      </c>
      <c r="L326" s="1" t="str">
        <f ca="1">IFERROR(__xludf.DUMMYFUNCTION("""COMPUTED_VALUE"""),"〇")</f>
        <v>〇</v>
      </c>
      <c r="M326" s="1"/>
      <c r="N326" s="1"/>
      <c r="O326" s="1"/>
      <c r="P326" s="1"/>
    </row>
    <row r="327" spans="1:16" ht="14.25" customHeight="1" x14ac:dyDescent="0.25">
      <c r="A327" s="1"/>
      <c r="B327" s="1">
        <f ca="1"/>
        <v>315</v>
      </c>
      <c r="C327" s="1">
        <f ca="1">IFERROR(__xludf.DUMMYFUNCTION("""COMPUTED_VALUE"""),2023)</f>
        <v>2023</v>
      </c>
      <c r="D327" s="1">
        <f ca="1">IFERROR(__xludf.DUMMYFUNCTION("""COMPUTED_VALUE"""),270)</f>
        <v>270</v>
      </c>
      <c r="E327" s="1" t="str">
        <f ca="1">IFERROR(__xludf.DUMMYFUNCTION("""COMPUTED_VALUE"""),"CardioVascular and Interventional Radiology")</f>
        <v>CardioVascular and Interventional Radiology</v>
      </c>
      <c r="F327" s="1" t="str">
        <f ca="1">IFERROR(__xludf.DUMMYFUNCTION("""COMPUTED_VALUE"""),"1432-086X")</f>
        <v>1432-086X</v>
      </c>
      <c r="G327" s="1" t="str">
        <f ca="1">IFERROR(__xludf.DUMMYFUNCTION("""COMPUTED_VALUE"""),"0174-1551")</f>
        <v>0174-1551</v>
      </c>
      <c r="H327" s="27" t="str">
        <f ca="1">IFERROR(__xludf.DUMMYFUNCTION("""COMPUTED_VALUE"""),"https://link.springer.com/journal/270")</f>
        <v>https://link.springer.com/journal/270</v>
      </c>
      <c r="I327" s="1" t="str">
        <f ca="1">IFERROR(__xludf.DUMMYFUNCTION("""COMPUTED_VALUE"""),"Springer")</f>
        <v>Springer</v>
      </c>
      <c r="J327" s="1">
        <f ca="1">IFERROR(__xludf.DUMMYFUNCTION("""COMPUTED_VALUE"""),2000)</f>
        <v>2000</v>
      </c>
      <c r="K327" s="1" t="str">
        <f ca="1">IFERROR(__xludf.DUMMYFUNCTION("""COMPUTED_VALUE"""),"Medicine")</f>
        <v>Medicine</v>
      </c>
      <c r="L327" s="1" t="str">
        <f ca="1">IFERROR(__xludf.DUMMYFUNCTION("""COMPUTED_VALUE"""),"〇")</f>
        <v>〇</v>
      </c>
      <c r="M327" s="1" t="str">
        <f ca="1">IFERROR(__xludf.DUMMYFUNCTION("""COMPUTED_VALUE"""),"〇")</f>
        <v>〇</v>
      </c>
      <c r="N327" s="1"/>
      <c r="O327" s="1"/>
      <c r="P327" s="1"/>
    </row>
    <row r="328" spans="1:16" ht="14.25" customHeight="1" x14ac:dyDescent="0.25">
      <c r="A328" s="1"/>
      <c r="B328" s="1">
        <f ca="1"/>
        <v>316</v>
      </c>
      <c r="C328" s="1">
        <f ca="1">IFERROR(__xludf.DUMMYFUNCTION("""COMPUTED_VALUE"""),2023)</f>
        <v>2023</v>
      </c>
      <c r="D328" s="1">
        <f ca="1">IFERROR(__xludf.DUMMYFUNCTION("""COMPUTED_VALUE"""),10557)</f>
        <v>10557</v>
      </c>
      <c r="E328" s="1" t="str">
        <f ca="1">IFERROR(__xludf.DUMMYFUNCTION("""COMPUTED_VALUE"""),"Cardiovascular Drugs and Therapy")</f>
        <v>Cardiovascular Drugs and Therapy</v>
      </c>
      <c r="F328" s="1" t="str">
        <f ca="1">IFERROR(__xludf.DUMMYFUNCTION("""COMPUTED_VALUE"""),"1573-7241")</f>
        <v>1573-7241</v>
      </c>
      <c r="G328" s="1" t="str">
        <f ca="1">IFERROR(__xludf.DUMMYFUNCTION("""COMPUTED_VALUE"""),"0920-3206")</f>
        <v>0920-3206</v>
      </c>
      <c r="H328" s="27" t="str">
        <f ca="1">IFERROR(__xludf.DUMMYFUNCTION("""COMPUTED_VALUE"""),"https://link.springer.com/journal/10557")</f>
        <v>https://link.springer.com/journal/10557</v>
      </c>
      <c r="I328" s="1" t="str">
        <f ca="1">IFERROR(__xludf.DUMMYFUNCTION("""COMPUTED_VALUE"""),"Springer")</f>
        <v>Springer</v>
      </c>
      <c r="J328" s="1">
        <f ca="1">IFERROR(__xludf.DUMMYFUNCTION("""COMPUTED_VALUE"""),2000)</f>
        <v>2000</v>
      </c>
      <c r="K328" s="1" t="str">
        <f ca="1">IFERROR(__xludf.DUMMYFUNCTION("""COMPUTED_VALUE"""),"Medicine")</f>
        <v>Medicine</v>
      </c>
      <c r="L328" s="1" t="str">
        <f ca="1">IFERROR(__xludf.DUMMYFUNCTION("""COMPUTED_VALUE"""),"〇")</f>
        <v>〇</v>
      </c>
      <c r="M328" s="1" t="str">
        <f ca="1">IFERROR(__xludf.DUMMYFUNCTION("""COMPUTED_VALUE"""),"〇")</f>
        <v>〇</v>
      </c>
      <c r="N328" s="1"/>
      <c r="O328" s="1"/>
      <c r="P328" s="1"/>
    </row>
    <row r="329" spans="1:16" ht="14.25" customHeight="1" x14ac:dyDescent="0.25">
      <c r="A329" s="1"/>
      <c r="B329" s="1">
        <f ca="1"/>
        <v>317</v>
      </c>
      <c r="C329" s="1">
        <f ca="1">IFERROR(__xludf.DUMMYFUNCTION("""COMPUTED_VALUE"""),2023)</f>
        <v>2023</v>
      </c>
      <c r="D329" s="1">
        <f ca="1">IFERROR(__xludf.DUMMYFUNCTION("""COMPUTED_VALUE"""),13239)</f>
        <v>13239</v>
      </c>
      <c r="E329" s="1" t="str">
        <f ca="1">IFERROR(__xludf.DUMMYFUNCTION("""COMPUTED_VALUE"""),"Cardiovascular Engineering and Technology")</f>
        <v>Cardiovascular Engineering and Technology</v>
      </c>
      <c r="F329" s="1" t="str">
        <f ca="1">IFERROR(__xludf.DUMMYFUNCTION("""COMPUTED_VALUE"""),"1869-4098")</f>
        <v>1869-4098</v>
      </c>
      <c r="G329" s="1"/>
      <c r="H329" s="27" t="str">
        <f ca="1">IFERROR(__xludf.DUMMYFUNCTION("""COMPUTED_VALUE"""),"https://link.springer.com/journal/13239")</f>
        <v>https://link.springer.com/journal/13239</v>
      </c>
      <c r="I329" s="1" t="str">
        <f ca="1">IFERROR(__xludf.DUMMYFUNCTION("""COMPUTED_VALUE"""),"Springer")</f>
        <v>Springer</v>
      </c>
      <c r="J329" s="1">
        <f ca="1">IFERROR(__xludf.DUMMYFUNCTION("""COMPUTED_VALUE"""),2010)</f>
        <v>2010</v>
      </c>
      <c r="K329" s="1" t="str">
        <f ca="1">IFERROR(__xludf.DUMMYFUNCTION("""COMPUTED_VALUE"""),"Biomedical and Life Sciences")</f>
        <v>Biomedical and Life Sciences</v>
      </c>
      <c r="L329" s="1"/>
      <c r="M329" s="1" t="str">
        <f ca="1">IFERROR(__xludf.DUMMYFUNCTION("""COMPUTED_VALUE"""),"〇")</f>
        <v>〇</v>
      </c>
      <c r="N329" s="1" t="str">
        <f ca="1">IFERROR(__xludf.DUMMYFUNCTION("""COMPUTED_VALUE"""),"SNS10")</f>
        <v>SNS10</v>
      </c>
      <c r="O329" s="1"/>
      <c r="P329" s="1"/>
    </row>
    <row r="330" spans="1:16" ht="14.25" customHeight="1" x14ac:dyDescent="0.25">
      <c r="A330" s="1"/>
      <c r="B330" s="1">
        <f ca="1"/>
        <v>318</v>
      </c>
      <c r="C330" s="1">
        <f ca="1">IFERROR(__xludf.DUMMYFUNCTION("""COMPUTED_VALUE"""),2023)</f>
        <v>2023</v>
      </c>
      <c r="D330" s="1">
        <f ca="1">IFERROR(__xludf.DUMMYFUNCTION("""COMPUTED_VALUE"""),12928)</f>
        <v>12928</v>
      </c>
      <c r="E330" s="1" t="str">
        <f ca="1">IFERROR(__xludf.DUMMYFUNCTION("""COMPUTED_VALUE"""),"Cardiovascular Intervention and Therapeutics")</f>
        <v>Cardiovascular Intervention and Therapeutics</v>
      </c>
      <c r="F330" s="1" t="str">
        <f ca="1">IFERROR(__xludf.DUMMYFUNCTION("""COMPUTED_VALUE"""),"1868-4297")</f>
        <v>1868-4297</v>
      </c>
      <c r="G330" s="1" t="str">
        <f ca="1">IFERROR(__xludf.DUMMYFUNCTION("""COMPUTED_VALUE"""),"1868-4300")</f>
        <v>1868-4300</v>
      </c>
      <c r="H330" s="27" t="str">
        <f ca="1">IFERROR(__xludf.DUMMYFUNCTION("""COMPUTED_VALUE"""),"https://link.springer.com/journal/12928")</f>
        <v>https://link.springer.com/journal/12928</v>
      </c>
      <c r="I330" s="1" t="str">
        <f ca="1">IFERROR(__xludf.DUMMYFUNCTION("""COMPUTED_VALUE"""),"Springer")</f>
        <v>Springer</v>
      </c>
      <c r="J330" s="1">
        <f ca="1">IFERROR(__xludf.DUMMYFUNCTION("""COMPUTED_VALUE"""),2010)</f>
        <v>2010</v>
      </c>
      <c r="K330" s="1" t="str">
        <f ca="1">IFERROR(__xludf.DUMMYFUNCTION("""COMPUTED_VALUE"""),"Medicine")</f>
        <v>Medicine</v>
      </c>
      <c r="L330" s="1" t="str">
        <f ca="1">IFERROR(__xludf.DUMMYFUNCTION("""COMPUTED_VALUE"""),"〇")</f>
        <v>〇</v>
      </c>
      <c r="M330" s="1"/>
      <c r="N330" s="1" t="str">
        <f ca="1">IFERROR(__xludf.DUMMYFUNCTION("""COMPUTED_VALUE"""),"TO10")</f>
        <v>TO10</v>
      </c>
      <c r="O330" s="1"/>
      <c r="P330" s="1"/>
    </row>
    <row r="331" spans="1:16" ht="14.25" customHeight="1" x14ac:dyDescent="0.25">
      <c r="A331" s="1"/>
      <c r="B331" s="1">
        <f ca="1"/>
        <v>319</v>
      </c>
      <c r="C331" s="1">
        <f ca="1">IFERROR(__xludf.DUMMYFUNCTION("""COMPUTED_VALUE"""),2023)</f>
        <v>2023</v>
      </c>
      <c r="D331" s="1">
        <f ca="1">IFERROR(__xludf.DUMMYFUNCTION("""COMPUTED_VALUE"""),12012)</f>
        <v>12012</v>
      </c>
      <c r="E331" s="1" t="str">
        <f ca="1">IFERROR(__xludf.DUMMYFUNCTION("""COMPUTED_VALUE"""),"Cardiovascular Toxicology")</f>
        <v>Cardiovascular Toxicology</v>
      </c>
      <c r="F331" s="1" t="str">
        <f ca="1">IFERROR(__xludf.DUMMYFUNCTION("""COMPUTED_VALUE"""),"1559-0259")</f>
        <v>1559-0259</v>
      </c>
      <c r="G331" s="1"/>
      <c r="H331" s="27" t="str">
        <f ca="1">IFERROR(__xludf.DUMMYFUNCTION("""COMPUTED_VALUE"""),"https://link.springer.com/journal/12012")</f>
        <v>https://link.springer.com/journal/12012</v>
      </c>
      <c r="I331" s="1" t="str">
        <f ca="1">IFERROR(__xludf.DUMMYFUNCTION("""COMPUTED_VALUE"""),"Springer")</f>
        <v>Springer</v>
      </c>
      <c r="J331" s="1">
        <f ca="1">IFERROR(__xludf.DUMMYFUNCTION("""COMPUTED_VALUE"""),2001)</f>
        <v>2001</v>
      </c>
      <c r="K331" s="1" t="str">
        <f ca="1">IFERROR(__xludf.DUMMYFUNCTION("""COMPUTED_VALUE"""),"Biomedical and Life Sciences")</f>
        <v>Biomedical and Life Sciences</v>
      </c>
      <c r="L331" s="1"/>
      <c r="M331" s="1" t="str">
        <f ca="1">IFERROR(__xludf.DUMMYFUNCTION("""COMPUTED_VALUE"""),"〇")</f>
        <v>〇</v>
      </c>
      <c r="N331" s="1" t="str">
        <f ca="1">IFERROR(__xludf.DUMMYFUNCTION("""COMPUTED_VALUE"""),"TO7")</f>
        <v>TO7</v>
      </c>
      <c r="O331" s="1"/>
      <c r="P331" s="1"/>
    </row>
    <row r="332" spans="1:16" ht="14.25" customHeight="1" x14ac:dyDescent="0.25">
      <c r="A332" s="1"/>
      <c r="B332" s="1">
        <f ca="1"/>
        <v>320</v>
      </c>
      <c r="C332" s="1">
        <f ca="1">IFERROR(__xludf.DUMMYFUNCTION("""COMPUTED_VALUE"""),2023)</f>
        <v>2023</v>
      </c>
      <c r="D332" s="1">
        <f ca="1">IFERROR(__xludf.DUMMYFUNCTION("""COMPUTED_VALUE"""),12604)</f>
        <v>12604</v>
      </c>
      <c r="E332" s="1" t="str">
        <f ca="1">IFERROR(__xludf.DUMMYFUNCTION("""COMPUTED_VALUE"""),"Catalysis in Industry")</f>
        <v>Catalysis in Industry</v>
      </c>
      <c r="F332" s="1" t="str">
        <f ca="1">IFERROR(__xludf.DUMMYFUNCTION("""COMPUTED_VALUE"""),"2070-0555")</f>
        <v>2070-0555</v>
      </c>
      <c r="G332" s="1" t="str">
        <f ca="1">IFERROR(__xludf.DUMMYFUNCTION("""COMPUTED_VALUE"""),"2070-0504")</f>
        <v>2070-0504</v>
      </c>
      <c r="H332" s="27" t="str">
        <f ca="1">IFERROR(__xludf.DUMMYFUNCTION("""COMPUTED_VALUE"""),"https://link.springer.com/journal/12604")</f>
        <v>https://link.springer.com/journal/12604</v>
      </c>
      <c r="I332" s="1" t="str">
        <f ca="1">IFERROR(__xludf.DUMMYFUNCTION("""COMPUTED_VALUE"""),"Pleiades Publishing")</f>
        <v>Pleiades Publishing</v>
      </c>
      <c r="J332" s="1">
        <f ca="1">IFERROR(__xludf.DUMMYFUNCTION("""COMPUTED_VALUE"""),2009)</f>
        <v>2009</v>
      </c>
      <c r="K332" s="1" t="str">
        <f ca="1">IFERROR(__xludf.DUMMYFUNCTION("""COMPUTED_VALUE"""),"Chemistry and Materials Science")</f>
        <v>Chemistry and Materials Science</v>
      </c>
      <c r="L332" s="1" t="str">
        <f ca="1">IFERROR(__xludf.DUMMYFUNCTION("""COMPUTED_VALUE"""),"〇")</f>
        <v>〇</v>
      </c>
      <c r="M332" s="1" t="str">
        <f ca="1">IFERROR(__xludf.DUMMYFUNCTION("""COMPUTED_VALUE"""),"〇")</f>
        <v>〇</v>
      </c>
      <c r="N332" s="1" t="str">
        <f ca="1">IFERROR(__xludf.DUMMYFUNCTION("""COMPUTED_VALUE"""),"SNS9")</f>
        <v>SNS9</v>
      </c>
      <c r="O332" s="1"/>
      <c r="P332" s="1"/>
    </row>
    <row r="333" spans="1:16" ht="14.25" customHeight="1" x14ac:dyDescent="0.25">
      <c r="A333" s="1"/>
      <c r="B333" s="1">
        <f ca="1"/>
        <v>321</v>
      </c>
      <c r="C333" s="1">
        <f ca="1">IFERROR(__xludf.DUMMYFUNCTION("""COMPUTED_VALUE"""),2023)</f>
        <v>2023</v>
      </c>
      <c r="D333" s="1">
        <f ca="1">IFERROR(__xludf.DUMMYFUNCTION("""COMPUTED_VALUE"""),10562)</f>
        <v>10562</v>
      </c>
      <c r="E333" s="1" t="str">
        <f ca="1">IFERROR(__xludf.DUMMYFUNCTION("""COMPUTED_VALUE"""),"Catalysis Letters")</f>
        <v>Catalysis Letters</v>
      </c>
      <c r="F333" s="1" t="str">
        <f ca="1">IFERROR(__xludf.DUMMYFUNCTION("""COMPUTED_VALUE"""),"1572-879X")</f>
        <v>1572-879X</v>
      </c>
      <c r="G333" s="1" t="str">
        <f ca="1">IFERROR(__xludf.DUMMYFUNCTION("""COMPUTED_VALUE"""),"1011-372X")</f>
        <v>1011-372X</v>
      </c>
      <c r="H333" s="27" t="str">
        <f ca="1">IFERROR(__xludf.DUMMYFUNCTION("""COMPUTED_VALUE"""),"https://link.springer.com/journal/10562")</f>
        <v>https://link.springer.com/journal/10562</v>
      </c>
      <c r="I333" s="1" t="str">
        <f ca="1">IFERROR(__xludf.DUMMYFUNCTION("""COMPUTED_VALUE"""),"Springer")</f>
        <v>Springer</v>
      </c>
      <c r="J333" s="1">
        <f ca="1">IFERROR(__xludf.DUMMYFUNCTION("""COMPUTED_VALUE"""),2000)</f>
        <v>2000</v>
      </c>
      <c r="K333" s="1" t="str">
        <f ca="1">IFERROR(__xludf.DUMMYFUNCTION("""COMPUTED_VALUE"""),"Chemistry and Materials Science")</f>
        <v>Chemistry and Materials Science</v>
      </c>
      <c r="L333" s="1" t="str">
        <f ca="1">IFERROR(__xludf.DUMMYFUNCTION("""COMPUTED_VALUE"""),"〇")</f>
        <v>〇</v>
      </c>
      <c r="M333" s="1" t="str">
        <f ca="1">IFERROR(__xludf.DUMMYFUNCTION("""COMPUTED_VALUE"""),"〇")</f>
        <v>〇</v>
      </c>
      <c r="N333" s="1"/>
      <c r="O333" s="1"/>
      <c r="P333" s="1"/>
    </row>
    <row r="334" spans="1:16" ht="14.25" customHeight="1" x14ac:dyDescent="0.25">
      <c r="A334" s="1"/>
      <c r="B334" s="1">
        <f ca="1"/>
        <v>322</v>
      </c>
      <c r="C334" s="1">
        <f ca="1">IFERROR(__xludf.DUMMYFUNCTION("""COMPUTED_VALUE"""),2023)</f>
        <v>2023</v>
      </c>
      <c r="D334" s="1">
        <f ca="1">IFERROR(__xludf.DUMMYFUNCTION("""COMPUTED_VALUE"""),10563)</f>
        <v>10563</v>
      </c>
      <c r="E334" s="1" t="str">
        <f ca="1">IFERROR(__xludf.DUMMYFUNCTION("""COMPUTED_VALUE"""),"Catalysis Surveys from Asia")</f>
        <v>Catalysis Surveys from Asia</v>
      </c>
      <c r="F334" s="1" t="str">
        <f ca="1">IFERROR(__xludf.DUMMYFUNCTION("""COMPUTED_VALUE"""),"1574-9266")</f>
        <v>1574-9266</v>
      </c>
      <c r="G334" s="1" t="str">
        <f ca="1">IFERROR(__xludf.DUMMYFUNCTION("""COMPUTED_VALUE"""),"1571-1013")</f>
        <v>1571-1013</v>
      </c>
      <c r="H334" s="27" t="str">
        <f ca="1">IFERROR(__xludf.DUMMYFUNCTION("""COMPUTED_VALUE"""),"https://link.springer.com/journal/10563")</f>
        <v>https://link.springer.com/journal/10563</v>
      </c>
      <c r="I334" s="1" t="str">
        <f ca="1">IFERROR(__xludf.DUMMYFUNCTION("""COMPUTED_VALUE"""),"Springer")</f>
        <v>Springer</v>
      </c>
      <c r="J334" s="1">
        <f ca="1">IFERROR(__xludf.DUMMYFUNCTION("""COMPUTED_VALUE"""),2000)</f>
        <v>2000</v>
      </c>
      <c r="K334" s="1" t="str">
        <f ca="1">IFERROR(__xludf.DUMMYFUNCTION("""COMPUTED_VALUE"""),"Chemistry and Materials Science")</f>
        <v>Chemistry and Materials Science</v>
      </c>
      <c r="L334" s="1" t="str">
        <f ca="1">IFERROR(__xludf.DUMMYFUNCTION("""COMPUTED_VALUE"""),"〇")</f>
        <v>〇</v>
      </c>
      <c r="M334" s="1" t="str">
        <f ca="1">IFERROR(__xludf.DUMMYFUNCTION("""COMPUTED_VALUE"""),"〇")</f>
        <v>〇</v>
      </c>
      <c r="N334" s="1"/>
      <c r="O334" s="1"/>
      <c r="P334" s="1"/>
    </row>
    <row r="335" spans="1:16" ht="14.25" customHeight="1" x14ac:dyDescent="0.25">
      <c r="A335" s="1"/>
      <c r="B335" s="1">
        <f ca="1"/>
        <v>323</v>
      </c>
      <c r="C335" s="1">
        <f ca="1">IFERROR(__xludf.DUMMYFUNCTION("""COMPUTED_VALUE"""),2023)</f>
        <v>2023</v>
      </c>
      <c r="D335" s="1">
        <f ca="1">IFERROR(__xludf.DUMMYFUNCTION("""COMPUTED_VALUE"""),42514)</f>
        <v>42514</v>
      </c>
      <c r="E335" s="1" t="str">
        <f ca="1">IFERROR(__xludf.DUMMYFUNCTION("""COMPUTED_VALUE"""),"CCF Transactions on High Performance Computing")</f>
        <v>CCF Transactions on High Performance Computing</v>
      </c>
      <c r="F335" s="1" t="str">
        <f ca="1">IFERROR(__xludf.DUMMYFUNCTION("""COMPUTED_VALUE"""),"2524-4930")</f>
        <v>2524-4930</v>
      </c>
      <c r="G335" s="1" t="str">
        <f ca="1">IFERROR(__xludf.DUMMYFUNCTION("""COMPUTED_VALUE"""),"2524-4922")</f>
        <v>2524-4922</v>
      </c>
      <c r="H335" s="27" t="str">
        <f ca="1">IFERROR(__xludf.DUMMYFUNCTION("""COMPUTED_VALUE"""),"https://link.springer.com/journal/42514")</f>
        <v>https://link.springer.com/journal/42514</v>
      </c>
      <c r="I335" s="1" t="str">
        <f ca="1">IFERROR(__xludf.DUMMYFUNCTION("""COMPUTED_VALUE"""),"Springer")</f>
        <v>Springer</v>
      </c>
      <c r="J335" s="1">
        <f ca="1">IFERROR(__xludf.DUMMYFUNCTION("""COMPUTED_VALUE"""),2019)</f>
        <v>2019</v>
      </c>
      <c r="K335" s="1" t="str">
        <f ca="1">IFERROR(__xludf.DUMMYFUNCTION("""COMPUTED_VALUE"""),"Computer Science")</f>
        <v>Computer Science</v>
      </c>
      <c r="L335" s="1" t="str">
        <f ca="1">IFERROR(__xludf.DUMMYFUNCTION("""COMPUTED_VALUE"""),"〇")</f>
        <v>〇</v>
      </c>
      <c r="M335" s="1"/>
      <c r="N335" s="1" t="str">
        <f ca="1">IFERROR(__xludf.DUMMYFUNCTION("""COMPUTED_VALUE"""),"SNS19")</f>
        <v>SNS19</v>
      </c>
      <c r="O335" s="1"/>
      <c r="P335" s="1"/>
    </row>
    <row r="336" spans="1:16" ht="14.25" customHeight="1" x14ac:dyDescent="0.25">
      <c r="A336" s="1"/>
      <c r="B336" s="1">
        <f ca="1"/>
        <v>324</v>
      </c>
      <c r="C336" s="1">
        <f ca="1">IFERROR(__xludf.DUMMYFUNCTION("""COMPUTED_VALUE"""),2023)</f>
        <v>2023</v>
      </c>
      <c r="D336" s="1">
        <f ca="1">IFERROR(__xludf.DUMMYFUNCTION("""COMPUTED_VALUE"""),42486)</f>
        <v>42486</v>
      </c>
      <c r="E336" s="1" t="str">
        <f ca="1">IFERROR(__xludf.DUMMYFUNCTION("""COMPUTED_VALUE"""),"CCF Transactions on Pervasive Computing and Interaction")</f>
        <v>CCF Transactions on Pervasive Computing and Interaction</v>
      </c>
      <c r="F336" s="1" t="str">
        <f ca="1">IFERROR(__xludf.DUMMYFUNCTION("""COMPUTED_VALUE"""),"2524-5228")</f>
        <v>2524-5228</v>
      </c>
      <c r="G336" s="1" t="str">
        <f ca="1">IFERROR(__xludf.DUMMYFUNCTION("""COMPUTED_VALUE"""),"2524-521X")</f>
        <v>2524-521X</v>
      </c>
      <c r="H336" s="27" t="str">
        <f ca="1">IFERROR(__xludf.DUMMYFUNCTION("""COMPUTED_VALUE"""),"https://link.springer.com/journal/42486")</f>
        <v>https://link.springer.com/journal/42486</v>
      </c>
      <c r="I336" s="1" t="str">
        <f ca="1">IFERROR(__xludf.DUMMYFUNCTION("""COMPUTED_VALUE"""),"Springer")</f>
        <v>Springer</v>
      </c>
      <c r="J336" s="1">
        <f ca="1">IFERROR(__xludf.DUMMYFUNCTION("""COMPUTED_VALUE"""),2019)</f>
        <v>2019</v>
      </c>
      <c r="K336" s="1" t="str">
        <f ca="1">IFERROR(__xludf.DUMMYFUNCTION("""COMPUTED_VALUE"""),"Computer Science")</f>
        <v>Computer Science</v>
      </c>
      <c r="L336" s="1" t="str">
        <f ca="1">IFERROR(__xludf.DUMMYFUNCTION("""COMPUTED_VALUE"""),"〇")</f>
        <v>〇</v>
      </c>
      <c r="M336" s="1"/>
      <c r="N336" s="1" t="str">
        <f ca="1">IFERROR(__xludf.DUMMYFUNCTION("""COMPUTED_VALUE"""),"SNS19")</f>
        <v>SNS19</v>
      </c>
      <c r="O336" s="1"/>
      <c r="P336" s="1"/>
    </row>
    <row r="337" spans="1:16" ht="14.25" customHeight="1" x14ac:dyDescent="0.25">
      <c r="A337" s="1"/>
      <c r="B337" s="1">
        <f ca="1"/>
        <v>325</v>
      </c>
      <c r="C337" s="1">
        <f ca="1">IFERROR(__xludf.DUMMYFUNCTION("""COMPUTED_VALUE"""),2023)</f>
        <v>2023</v>
      </c>
      <c r="D337" s="1">
        <f ca="1">IFERROR(__xludf.DUMMYFUNCTION("""COMPUTED_VALUE"""),13272)</f>
        <v>13272</v>
      </c>
      <c r="E337" s="1" t="str">
        <f ca="1">IFERROR(__xludf.DUMMYFUNCTION("""COMPUTED_VALUE"""),"CEAS Aeronautical Journal")</f>
        <v>CEAS Aeronautical Journal</v>
      </c>
      <c r="F337" s="1" t="str">
        <f ca="1">IFERROR(__xludf.DUMMYFUNCTION("""COMPUTED_VALUE"""),"1869-5590")</f>
        <v>1869-5590</v>
      </c>
      <c r="G337" s="1" t="str">
        <f ca="1">IFERROR(__xludf.DUMMYFUNCTION("""COMPUTED_VALUE"""),"1869-5582")</f>
        <v>1869-5582</v>
      </c>
      <c r="H337" s="27" t="str">
        <f ca="1">IFERROR(__xludf.DUMMYFUNCTION("""COMPUTED_VALUE"""),"https://link.springer.com/journal/13272")</f>
        <v>https://link.springer.com/journal/13272</v>
      </c>
      <c r="I337" s="1" t="str">
        <f ca="1">IFERROR(__xludf.DUMMYFUNCTION("""COMPUTED_VALUE"""),"Springer")</f>
        <v>Springer</v>
      </c>
      <c r="J337" s="1">
        <f ca="1">IFERROR(__xludf.DUMMYFUNCTION("""COMPUTED_VALUE"""),2011)</f>
        <v>2011</v>
      </c>
      <c r="K337" s="1" t="str">
        <f ca="1">IFERROR(__xludf.DUMMYFUNCTION("""COMPUTED_VALUE"""),"Engineering")</f>
        <v>Engineering</v>
      </c>
      <c r="L337" s="1" t="str">
        <f ca="1">IFERROR(__xludf.DUMMYFUNCTION("""COMPUTED_VALUE"""),"〇")</f>
        <v>〇</v>
      </c>
      <c r="M337" s="1" t="str">
        <f ca="1">IFERROR(__xludf.DUMMYFUNCTION("""COMPUTED_VALUE"""),"〇")</f>
        <v>〇</v>
      </c>
      <c r="N337" s="1" t="str">
        <f ca="1">IFERROR(__xludf.DUMMYFUNCTION("""COMPUTED_VALUE"""),"SNS10")</f>
        <v>SNS10</v>
      </c>
      <c r="O337" s="1"/>
      <c r="P337" s="1"/>
    </row>
    <row r="338" spans="1:16" ht="14.25" customHeight="1" x14ac:dyDescent="0.25">
      <c r="A338" s="1"/>
      <c r="B338" s="1">
        <f ca="1"/>
        <v>326</v>
      </c>
      <c r="C338" s="1">
        <f ca="1">IFERROR(__xludf.DUMMYFUNCTION("""COMPUTED_VALUE"""),2023)</f>
        <v>2023</v>
      </c>
      <c r="D338" s="1">
        <f ca="1">IFERROR(__xludf.DUMMYFUNCTION("""COMPUTED_VALUE"""),12567)</f>
        <v>12567</v>
      </c>
      <c r="E338" s="1" t="str">
        <f ca="1">IFERROR(__xludf.DUMMYFUNCTION("""COMPUTED_VALUE"""),"CEAS Space Journal")</f>
        <v>CEAS Space Journal</v>
      </c>
      <c r="F338" s="1" t="str">
        <f ca="1">IFERROR(__xludf.DUMMYFUNCTION("""COMPUTED_VALUE"""),"1868-2510")</f>
        <v>1868-2510</v>
      </c>
      <c r="G338" s="1" t="str">
        <f ca="1">IFERROR(__xludf.DUMMYFUNCTION("""COMPUTED_VALUE"""),"1868-2502")</f>
        <v>1868-2502</v>
      </c>
      <c r="H338" s="27" t="str">
        <f ca="1">IFERROR(__xludf.DUMMYFUNCTION("""COMPUTED_VALUE"""),"https://link.springer.com/journal/12567")</f>
        <v>https://link.springer.com/journal/12567</v>
      </c>
      <c r="I338" s="1" t="str">
        <f ca="1">IFERROR(__xludf.DUMMYFUNCTION("""COMPUTED_VALUE"""),"Springer")</f>
        <v>Springer</v>
      </c>
      <c r="J338" s="1">
        <f ca="1">IFERROR(__xludf.DUMMYFUNCTION("""COMPUTED_VALUE"""),2011)</f>
        <v>2011</v>
      </c>
      <c r="K338" s="1" t="str">
        <f ca="1">IFERROR(__xludf.DUMMYFUNCTION("""COMPUTED_VALUE"""),"Engineering")</f>
        <v>Engineering</v>
      </c>
      <c r="L338" s="1" t="str">
        <f ca="1">IFERROR(__xludf.DUMMYFUNCTION("""COMPUTED_VALUE"""),"〇")</f>
        <v>〇</v>
      </c>
      <c r="M338" s="1" t="str">
        <f ca="1">IFERROR(__xludf.DUMMYFUNCTION("""COMPUTED_VALUE"""),"〇")</f>
        <v>〇</v>
      </c>
      <c r="N338" s="1" t="str">
        <f ca="1">IFERROR(__xludf.DUMMYFUNCTION("""COMPUTED_VALUE"""),"SNS9")</f>
        <v>SNS9</v>
      </c>
      <c r="O338" s="1"/>
      <c r="P338" s="1"/>
    </row>
    <row r="339" spans="1:16" ht="14.25" customHeight="1" x14ac:dyDescent="0.25">
      <c r="A339" s="1"/>
      <c r="B339" s="1">
        <f ca="1"/>
        <v>327</v>
      </c>
      <c r="C339" s="1">
        <f ca="1">IFERROR(__xludf.DUMMYFUNCTION("""COMPUTED_VALUE"""),2023)</f>
        <v>2023</v>
      </c>
      <c r="D339" s="1">
        <f ca="1">IFERROR(__xludf.DUMMYFUNCTION("""COMPUTED_VALUE"""),10569)</f>
        <v>10569</v>
      </c>
      <c r="E339" s="1" t="str">
        <f ca="1">IFERROR(__xludf.DUMMYFUNCTION("""COMPUTED_VALUE"""),"Celestial Mechanics and Dynamical Astronomy")</f>
        <v>Celestial Mechanics and Dynamical Astronomy</v>
      </c>
      <c r="F339" s="1" t="str">
        <f ca="1">IFERROR(__xludf.DUMMYFUNCTION("""COMPUTED_VALUE"""),"1572-9478")</f>
        <v>1572-9478</v>
      </c>
      <c r="G339" s="1"/>
      <c r="H339" s="27" t="str">
        <f ca="1">IFERROR(__xludf.DUMMYFUNCTION("""COMPUTED_VALUE"""),"https://link.springer.com/journal/10569")</f>
        <v>https://link.springer.com/journal/10569</v>
      </c>
      <c r="I339" s="1" t="str">
        <f ca="1">IFERROR(__xludf.DUMMYFUNCTION("""COMPUTED_VALUE"""),"Springer")</f>
        <v>Springer</v>
      </c>
      <c r="J339" s="1">
        <f ca="1">IFERROR(__xludf.DUMMYFUNCTION("""COMPUTED_VALUE"""),2000)</f>
        <v>2000</v>
      </c>
      <c r="K339" s="1" t="str">
        <f ca="1">IFERROR(__xludf.DUMMYFUNCTION("""COMPUTED_VALUE"""),"Physics and Astronomy")</f>
        <v>Physics and Astronomy</v>
      </c>
      <c r="L339" s="1"/>
      <c r="M339" s="1" t="str">
        <f ca="1">IFERROR(__xludf.DUMMYFUNCTION("""COMPUTED_VALUE"""),"〇")</f>
        <v>〇</v>
      </c>
      <c r="N339" s="1"/>
      <c r="O339" s="1"/>
      <c r="P339" s="1"/>
    </row>
    <row r="340" spans="1:16" ht="14.25" customHeight="1" x14ac:dyDescent="0.25">
      <c r="A340" s="1"/>
      <c r="B340" s="1">
        <f ca="1"/>
        <v>328</v>
      </c>
      <c r="C340" s="1">
        <f ca="1">IFERROR(__xludf.DUMMYFUNCTION("""COMPUTED_VALUE"""),2023)</f>
        <v>2023</v>
      </c>
      <c r="D340" s="1">
        <f ca="1">IFERROR(__xludf.DUMMYFUNCTION("""COMPUTED_VALUE"""),10561)</f>
        <v>10561</v>
      </c>
      <c r="E340" s="1" t="str">
        <f ca="1">IFERROR(__xludf.DUMMYFUNCTION("""COMPUTED_VALUE"""),"Cell and Tissue Banking")</f>
        <v>Cell and Tissue Banking</v>
      </c>
      <c r="F340" s="1" t="str">
        <f ca="1">IFERROR(__xludf.DUMMYFUNCTION("""COMPUTED_VALUE"""),"1573-6814")</f>
        <v>1573-6814</v>
      </c>
      <c r="G340" s="1" t="str">
        <f ca="1">IFERROR(__xludf.DUMMYFUNCTION("""COMPUTED_VALUE"""),"1389-9333")</f>
        <v>1389-9333</v>
      </c>
      <c r="H340" s="27" t="str">
        <f ca="1">IFERROR(__xludf.DUMMYFUNCTION("""COMPUTED_VALUE"""),"https://link.springer.com/journal/10561")</f>
        <v>https://link.springer.com/journal/10561</v>
      </c>
      <c r="I340" s="1" t="str">
        <f ca="1">IFERROR(__xludf.DUMMYFUNCTION("""COMPUTED_VALUE"""),"Springer")</f>
        <v>Springer</v>
      </c>
      <c r="J340" s="1">
        <f ca="1">IFERROR(__xludf.DUMMYFUNCTION("""COMPUTED_VALUE"""),2000)</f>
        <v>2000</v>
      </c>
      <c r="K340" s="1" t="str">
        <f ca="1">IFERROR(__xludf.DUMMYFUNCTION("""COMPUTED_VALUE"""),"Biomedical and Life Sciences")</f>
        <v>Biomedical and Life Sciences</v>
      </c>
      <c r="L340" s="1" t="str">
        <f ca="1">IFERROR(__xludf.DUMMYFUNCTION("""COMPUTED_VALUE"""),"〇")</f>
        <v>〇</v>
      </c>
      <c r="M340" s="1" t="str">
        <f ca="1">IFERROR(__xludf.DUMMYFUNCTION("""COMPUTED_VALUE"""),"〇")</f>
        <v>〇</v>
      </c>
      <c r="N340" s="1"/>
      <c r="O340" s="1"/>
      <c r="P340" s="1"/>
    </row>
    <row r="341" spans="1:16" ht="14.25" customHeight="1" x14ac:dyDescent="0.25">
      <c r="A341" s="1"/>
      <c r="B341" s="1">
        <f ca="1"/>
        <v>329</v>
      </c>
      <c r="C341" s="1">
        <f ca="1">IFERROR(__xludf.DUMMYFUNCTION("""COMPUTED_VALUE"""),2023)</f>
        <v>2023</v>
      </c>
      <c r="D341" s="1">
        <f ca="1">IFERROR(__xludf.DUMMYFUNCTION("""COMPUTED_VALUE"""),11821)</f>
        <v>11821</v>
      </c>
      <c r="E341" s="1" t="str">
        <f ca="1">IFERROR(__xludf.DUMMYFUNCTION("""COMPUTED_VALUE"""),"Cell and Tissue Biology")</f>
        <v>Cell and Tissue Biology</v>
      </c>
      <c r="F341" s="1" t="str">
        <f ca="1">IFERROR(__xludf.DUMMYFUNCTION("""COMPUTED_VALUE"""),"1990-5203")</f>
        <v>1990-5203</v>
      </c>
      <c r="G341" s="1" t="str">
        <f ca="1">IFERROR(__xludf.DUMMYFUNCTION("""COMPUTED_VALUE"""),"1990-519X")</f>
        <v>1990-519X</v>
      </c>
      <c r="H341" s="27" t="str">
        <f ca="1">IFERROR(__xludf.DUMMYFUNCTION("""COMPUTED_VALUE"""),"https://link.springer.com/journal/11821")</f>
        <v>https://link.springer.com/journal/11821</v>
      </c>
      <c r="I341" s="1" t="str">
        <f ca="1">IFERROR(__xludf.DUMMYFUNCTION("""COMPUTED_VALUE"""),"Pleiades Publishing")</f>
        <v>Pleiades Publishing</v>
      </c>
      <c r="J341" s="1">
        <f ca="1">IFERROR(__xludf.DUMMYFUNCTION("""COMPUTED_VALUE"""),2007)</f>
        <v>2007</v>
      </c>
      <c r="K341" s="1" t="str">
        <f ca="1">IFERROR(__xludf.DUMMYFUNCTION("""COMPUTED_VALUE"""),"Biomedical and Life Sciences")</f>
        <v>Biomedical and Life Sciences</v>
      </c>
      <c r="L341" s="1" t="str">
        <f ca="1">IFERROR(__xludf.DUMMYFUNCTION("""COMPUTED_VALUE"""),"〇")</f>
        <v>〇</v>
      </c>
      <c r="M341" s="1" t="str">
        <f ca="1">IFERROR(__xludf.DUMMYFUNCTION("""COMPUTED_VALUE"""),"〇")</f>
        <v>〇</v>
      </c>
      <c r="N341" s="1" t="str">
        <f ca="1">IFERROR(__xludf.DUMMYFUNCTION("""COMPUTED_VALUE"""),"SNS7")</f>
        <v>SNS7</v>
      </c>
      <c r="O341" s="1"/>
      <c r="P341" s="1"/>
    </row>
    <row r="342" spans="1:16" ht="14.25" customHeight="1" x14ac:dyDescent="0.25">
      <c r="A342" s="1"/>
      <c r="B342" s="1">
        <f ca="1"/>
        <v>330</v>
      </c>
      <c r="C342" s="1">
        <f ca="1">IFERROR(__xludf.DUMMYFUNCTION("""COMPUTED_VALUE"""),2023)</f>
        <v>2023</v>
      </c>
      <c r="D342" s="1">
        <f ca="1">IFERROR(__xludf.DUMMYFUNCTION("""COMPUTED_VALUE"""),441)</f>
        <v>441</v>
      </c>
      <c r="E342" s="1" t="str">
        <f ca="1">IFERROR(__xludf.DUMMYFUNCTION("""COMPUTED_VALUE"""),"Cell and Tissue Research")</f>
        <v>Cell and Tissue Research</v>
      </c>
      <c r="F342" s="1" t="str">
        <f ca="1">IFERROR(__xludf.DUMMYFUNCTION("""COMPUTED_VALUE"""),"1432-0878")</f>
        <v>1432-0878</v>
      </c>
      <c r="G342" s="1" t="str">
        <f ca="1">IFERROR(__xludf.DUMMYFUNCTION("""COMPUTED_VALUE"""),"0302-766X")</f>
        <v>0302-766X</v>
      </c>
      <c r="H342" s="27" t="str">
        <f ca="1">IFERROR(__xludf.DUMMYFUNCTION("""COMPUTED_VALUE"""),"https://link.springer.com/journal/441")</f>
        <v>https://link.springer.com/journal/441</v>
      </c>
      <c r="I342" s="1" t="str">
        <f ca="1">IFERROR(__xludf.DUMMYFUNCTION("""COMPUTED_VALUE"""),"Springer")</f>
        <v>Springer</v>
      </c>
      <c r="J342" s="1">
        <f ca="1">IFERROR(__xludf.DUMMYFUNCTION("""COMPUTED_VALUE"""),2000)</f>
        <v>2000</v>
      </c>
      <c r="K342" s="1" t="str">
        <f ca="1">IFERROR(__xludf.DUMMYFUNCTION("""COMPUTED_VALUE"""),"Biomedical and Life Sciences")</f>
        <v>Biomedical and Life Sciences</v>
      </c>
      <c r="L342" s="1" t="str">
        <f ca="1">IFERROR(__xludf.DUMMYFUNCTION("""COMPUTED_VALUE"""),"〇")</f>
        <v>〇</v>
      </c>
      <c r="M342" s="1" t="str">
        <f ca="1">IFERROR(__xludf.DUMMYFUNCTION("""COMPUTED_VALUE"""),"〇")</f>
        <v>〇</v>
      </c>
      <c r="N342" s="1"/>
      <c r="O342" s="1"/>
      <c r="P342" s="1"/>
    </row>
    <row r="343" spans="1:16" ht="14.25" customHeight="1" x14ac:dyDescent="0.25">
      <c r="A343" s="1"/>
      <c r="B343" s="1">
        <f ca="1"/>
        <v>331</v>
      </c>
      <c r="C343" s="1">
        <f ca="1">IFERROR(__xludf.DUMMYFUNCTION("""COMPUTED_VALUE"""),2023)</f>
        <v>2023</v>
      </c>
      <c r="D343" s="1">
        <f ca="1">IFERROR(__xludf.DUMMYFUNCTION("""COMPUTED_VALUE"""),12013)</f>
        <v>12013</v>
      </c>
      <c r="E343" s="1" t="str">
        <f ca="1">IFERROR(__xludf.DUMMYFUNCTION("""COMPUTED_VALUE"""),"Cell Biochemistry and Biophysics")</f>
        <v>Cell Biochemistry and Biophysics</v>
      </c>
      <c r="F343" s="1" t="str">
        <f ca="1">IFERROR(__xludf.DUMMYFUNCTION("""COMPUTED_VALUE"""),"1559-0283")</f>
        <v>1559-0283</v>
      </c>
      <c r="G343" s="1" t="str">
        <f ca="1">IFERROR(__xludf.DUMMYFUNCTION("""COMPUTED_VALUE"""),"1085-9195")</f>
        <v>1085-9195</v>
      </c>
      <c r="H343" s="27" t="str">
        <f ca="1">IFERROR(__xludf.DUMMYFUNCTION("""COMPUTED_VALUE"""),"https://link.springer.com/journal/12013")</f>
        <v>https://link.springer.com/journal/12013</v>
      </c>
      <c r="I343" s="1" t="str">
        <f ca="1">IFERROR(__xludf.DUMMYFUNCTION("""COMPUTED_VALUE"""),"Springer")</f>
        <v>Springer</v>
      </c>
      <c r="J343" s="1">
        <f ca="1">IFERROR(__xludf.DUMMYFUNCTION("""COMPUTED_VALUE"""),2000)</f>
        <v>2000</v>
      </c>
      <c r="K343" s="1" t="str">
        <f ca="1">IFERROR(__xludf.DUMMYFUNCTION("""COMPUTED_VALUE"""),"Biomedical and Life Sciences")</f>
        <v>Biomedical and Life Sciences</v>
      </c>
      <c r="L343" s="1" t="str">
        <f ca="1">IFERROR(__xludf.DUMMYFUNCTION("""COMPUTED_VALUE"""),"〇")</f>
        <v>〇</v>
      </c>
      <c r="M343" s="1" t="str">
        <f ca="1">IFERROR(__xludf.DUMMYFUNCTION("""COMPUTED_VALUE"""),"〇")</f>
        <v>〇</v>
      </c>
      <c r="N343" s="1" t="str">
        <f ca="1">IFERROR(__xludf.DUMMYFUNCTION("""COMPUTED_VALUE"""),"TO7")</f>
        <v>TO7</v>
      </c>
      <c r="O343" s="1"/>
      <c r="P343" s="1"/>
    </row>
    <row r="344" spans="1:16" ht="14.25" customHeight="1" x14ac:dyDescent="0.25">
      <c r="A344" s="1"/>
      <c r="B344" s="1">
        <f ca="1"/>
        <v>332</v>
      </c>
      <c r="C344" s="1">
        <f ca="1">IFERROR(__xludf.DUMMYFUNCTION("""COMPUTED_VALUE"""),2023)</f>
        <v>2023</v>
      </c>
      <c r="D344" s="1">
        <f ca="1">IFERROR(__xludf.DUMMYFUNCTION("""COMPUTED_VALUE"""),10565)</f>
        <v>10565</v>
      </c>
      <c r="E344" s="1" t="str">
        <f ca="1">IFERROR(__xludf.DUMMYFUNCTION("""COMPUTED_VALUE"""),"Cell Biology and Toxicology")</f>
        <v>Cell Biology and Toxicology</v>
      </c>
      <c r="F344" s="1" t="str">
        <f ca="1">IFERROR(__xludf.DUMMYFUNCTION("""COMPUTED_VALUE"""),"1573-6822")</f>
        <v>1573-6822</v>
      </c>
      <c r="G344" s="1" t="str">
        <f ca="1">IFERROR(__xludf.DUMMYFUNCTION("""COMPUTED_VALUE"""),"0742-2091")</f>
        <v>0742-2091</v>
      </c>
      <c r="H344" s="27" t="str">
        <f ca="1">IFERROR(__xludf.DUMMYFUNCTION("""COMPUTED_VALUE"""),"https://link.springer.com/journal/10565")</f>
        <v>https://link.springer.com/journal/10565</v>
      </c>
      <c r="I344" s="1" t="str">
        <f ca="1">IFERROR(__xludf.DUMMYFUNCTION("""COMPUTED_VALUE"""),"Springer")</f>
        <v>Springer</v>
      </c>
      <c r="J344" s="1">
        <f ca="1">IFERROR(__xludf.DUMMYFUNCTION("""COMPUTED_VALUE"""),2000)</f>
        <v>2000</v>
      </c>
      <c r="K344" s="1" t="str">
        <f ca="1">IFERROR(__xludf.DUMMYFUNCTION("""COMPUTED_VALUE"""),"Biomedical and Life Sciences")</f>
        <v>Biomedical and Life Sciences</v>
      </c>
      <c r="L344" s="1" t="str">
        <f ca="1">IFERROR(__xludf.DUMMYFUNCTION("""COMPUTED_VALUE"""),"〇")</f>
        <v>〇</v>
      </c>
      <c r="M344" s="1" t="str">
        <f ca="1">IFERROR(__xludf.DUMMYFUNCTION("""COMPUTED_VALUE"""),"〇")</f>
        <v>〇</v>
      </c>
      <c r="N344" s="1"/>
      <c r="O344" s="1"/>
      <c r="P344" s="1"/>
    </row>
    <row r="345" spans="1:16" ht="14.25" customHeight="1" x14ac:dyDescent="0.25">
      <c r="A345" s="1"/>
      <c r="B345" s="1">
        <f ca="1"/>
        <v>333</v>
      </c>
      <c r="C345" s="1">
        <f ca="1">IFERROR(__xludf.DUMMYFUNCTION("""COMPUTED_VALUE"""),2023)</f>
        <v>2023</v>
      </c>
      <c r="D345" s="1">
        <f ca="1">IFERROR(__xludf.DUMMYFUNCTION("""COMPUTED_VALUE"""),12192)</f>
        <v>12192</v>
      </c>
      <c r="E345" s="1" t="str">
        <f ca="1">IFERROR(__xludf.DUMMYFUNCTION("""COMPUTED_VALUE"""),"Cell Stress and Chaperones")</f>
        <v>Cell Stress and Chaperones</v>
      </c>
      <c r="F345" s="1" t="str">
        <f ca="1">IFERROR(__xludf.DUMMYFUNCTION("""COMPUTED_VALUE"""),"1466-1268")</f>
        <v>1466-1268</v>
      </c>
      <c r="G345" s="1" t="str">
        <f ca="1">IFERROR(__xludf.DUMMYFUNCTION("""COMPUTED_VALUE"""),"1355-8145")</f>
        <v>1355-8145</v>
      </c>
      <c r="H345" s="27" t="str">
        <f ca="1">IFERROR(__xludf.DUMMYFUNCTION("""COMPUTED_VALUE"""),"https://link.springer.com/journal/12192")</f>
        <v>https://link.springer.com/journal/12192</v>
      </c>
      <c r="I345" s="1" t="str">
        <f ca="1">IFERROR(__xludf.DUMMYFUNCTION("""COMPUTED_VALUE"""),"Springer")</f>
        <v>Springer</v>
      </c>
      <c r="J345" s="1">
        <f ca="1">IFERROR(__xludf.DUMMYFUNCTION("""COMPUTED_VALUE"""),2008)</f>
        <v>2008</v>
      </c>
      <c r="K345" s="1" t="str">
        <f ca="1">IFERROR(__xludf.DUMMYFUNCTION("""COMPUTED_VALUE"""),"Biomedical and Life Sciences")</f>
        <v>Biomedical and Life Sciences</v>
      </c>
      <c r="L345" s="1" t="str">
        <f ca="1">IFERROR(__xludf.DUMMYFUNCTION("""COMPUTED_VALUE"""),"〇")</f>
        <v>〇</v>
      </c>
      <c r="M345" s="1" t="str">
        <f ca="1">IFERROR(__xludf.DUMMYFUNCTION("""COMPUTED_VALUE"""),"〇")</f>
        <v>〇</v>
      </c>
      <c r="N345" s="1" t="str">
        <f ca="1">IFERROR(__xludf.DUMMYFUNCTION("""COMPUTED_VALUE"""),"TO8")</f>
        <v>TO8</v>
      </c>
      <c r="O345" s="1"/>
      <c r="P345" s="1"/>
    </row>
    <row r="346" spans="1:16" ht="14.25" customHeight="1" x14ac:dyDescent="0.25">
      <c r="A346" s="1"/>
      <c r="B346" s="1">
        <f ca="1"/>
        <v>334</v>
      </c>
      <c r="C346" s="1">
        <f ca="1">IFERROR(__xludf.DUMMYFUNCTION("""COMPUTED_VALUE"""),2023)</f>
        <v>2023</v>
      </c>
      <c r="D346" s="1">
        <f ca="1">IFERROR(__xludf.DUMMYFUNCTION("""COMPUTED_VALUE"""),12195)</f>
        <v>12195</v>
      </c>
      <c r="E346" s="1" t="str">
        <f ca="1">IFERROR(__xludf.DUMMYFUNCTION("""COMPUTED_VALUE"""),"Cellular and Molecular Bioengineering")</f>
        <v>Cellular and Molecular Bioengineering</v>
      </c>
      <c r="F346" s="1" t="str">
        <f ca="1">IFERROR(__xludf.DUMMYFUNCTION("""COMPUTED_VALUE"""),"1865-5033")</f>
        <v>1865-5033</v>
      </c>
      <c r="G346" s="1"/>
      <c r="H346" s="27" t="str">
        <f ca="1">IFERROR(__xludf.DUMMYFUNCTION("""COMPUTED_VALUE"""),"https://link.springer.com/journal/12195")</f>
        <v>https://link.springer.com/journal/12195</v>
      </c>
      <c r="I346" s="1" t="str">
        <f ca="1">IFERROR(__xludf.DUMMYFUNCTION("""COMPUTED_VALUE"""),"Springer")</f>
        <v>Springer</v>
      </c>
      <c r="J346" s="1">
        <f ca="1">IFERROR(__xludf.DUMMYFUNCTION("""COMPUTED_VALUE"""),2008)</f>
        <v>2008</v>
      </c>
      <c r="K346" s="1" t="str">
        <f ca="1">IFERROR(__xludf.DUMMYFUNCTION("""COMPUTED_VALUE"""),"Engineering")</f>
        <v>Engineering</v>
      </c>
      <c r="L346" s="1"/>
      <c r="M346" s="1" t="str">
        <f ca="1">IFERROR(__xludf.DUMMYFUNCTION("""COMPUTED_VALUE"""),"〇")</f>
        <v>〇</v>
      </c>
      <c r="N346" s="1" t="str">
        <f ca="1">IFERROR(__xludf.DUMMYFUNCTION("""COMPUTED_VALUE"""),"SNS8")</f>
        <v>SNS8</v>
      </c>
      <c r="O346" s="1"/>
      <c r="P346" s="1"/>
    </row>
    <row r="347" spans="1:16" ht="14.25" customHeight="1" x14ac:dyDescent="0.25">
      <c r="A347" s="1"/>
      <c r="B347" s="1">
        <f ca="1"/>
        <v>335</v>
      </c>
      <c r="C347" s="1">
        <f ca="1">IFERROR(__xludf.DUMMYFUNCTION("""COMPUTED_VALUE"""),2023)</f>
        <v>2023</v>
      </c>
      <c r="D347" s="1">
        <f ca="1">IFERROR(__xludf.DUMMYFUNCTION("""COMPUTED_VALUE"""),18)</f>
        <v>18</v>
      </c>
      <c r="E347" s="1" t="str">
        <f ca="1">IFERROR(__xludf.DUMMYFUNCTION("""COMPUTED_VALUE"""),"Cellular and Molecular Life Sciences")</f>
        <v>Cellular and Molecular Life Sciences</v>
      </c>
      <c r="F347" s="1" t="str">
        <f ca="1">IFERROR(__xludf.DUMMYFUNCTION("""COMPUTED_VALUE"""),"1420-9071")</f>
        <v>1420-9071</v>
      </c>
      <c r="G347" s="1" t="str">
        <f ca="1">IFERROR(__xludf.DUMMYFUNCTION("""COMPUTED_VALUE"""),"1420-682X")</f>
        <v>1420-682X</v>
      </c>
      <c r="H347" s="27" t="str">
        <f ca="1">IFERROR(__xludf.DUMMYFUNCTION("""COMPUTED_VALUE"""),"https://link.springer.com/journal/18")</f>
        <v>https://link.springer.com/journal/18</v>
      </c>
      <c r="I347" s="1" t="str">
        <f ca="1">IFERROR(__xludf.DUMMYFUNCTION("""COMPUTED_VALUE"""),"Springer")</f>
        <v>Springer</v>
      </c>
      <c r="J347" s="1">
        <f ca="1">IFERROR(__xludf.DUMMYFUNCTION("""COMPUTED_VALUE"""),2000)</f>
        <v>2000</v>
      </c>
      <c r="K347" s="1" t="str">
        <f ca="1">IFERROR(__xludf.DUMMYFUNCTION("""COMPUTED_VALUE"""),"Biomedical and Life Sciences")</f>
        <v>Biomedical and Life Sciences</v>
      </c>
      <c r="L347" s="1" t="str">
        <f ca="1">IFERROR(__xludf.DUMMYFUNCTION("""COMPUTED_VALUE"""),"〇")</f>
        <v>〇</v>
      </c>
      <c r="M347" s="1" t="str">
        <f ca="1">IFERROR(__xludf.DUMMYFUNCTION("""COMPUTED_VALUE"""),"〇")</f>
        <v>〇</v>
      </c>
      <c r="N347" s="1"/>
      <c r="O347" s="1"/>
      <c r="P347" s="1"/>
    </row>
    <row r="348" spans="1:16" ht="14.25" customHeight="1" x14ac:dyDescent="0.25">
      <c r="A348" s="1"/>
      <c r="B348" s="1">
        <f ca="1"/>
        <v>336</v>
      </c>
      <c r="C348" s="1">
        <f ca="1">IFERROR(__xludf.DUMMYFUNCTION("""COMPUTED_VALUE"""),2023)</f>
        <v>2023</v>
      </c>
      <c r="D348" s="1">
        <f ca="1">IFERROR(__xludf.DUMMYFUNCTION("""COMPUTED_VALUE"""),10571)</f>
        <v>10571</v>
      </c>
      <c r="E348" s="1" t="str">
        <f ca="1">IFERROR(__xludf.DUMMYFUNCTION("""COMPUTED_VALUE"""),"Cellular and Molecular Neurobiology")</f>
        <v>Cellular and Molecular Neurobiology</v>
      </c>
      <c r="F348" s="1" t="str">
        <f ca="1">IFERROR(__xludf.DUMMYFUNCTION("""COMPUTED_VALUE"""),"1573-6830")</f>
        <v>1573-6830</v>
      </c>
      <c r="G348" s="1" t="str">
        <f ca="1">IFERROR(__xludf.DUMMYFUNCTION("""COMPUTED_VALUE"""),"0272-4340")</f>
        <v>0272-4340</v>
      </c>
      <c r="H348" s="27" t="str">
        <f ca="1">IFERROR(__xludf.DUMMYFUNCTION("""COMPUTED_VALUE"""),"https://link.springer.com/journal/10571")</f>
        <v>https://link.springer.com/journal/10571</v>
      </c>
      <c r="I348" s="1" t="str">
        <f ca="1">IFERROR(__xludf.DUMMYFUNCTION("""COMPUTED_VALUE"""),"Springer")</f>
        <v>Springer</v>
      </c>
      <c r="J348" s="1">
        <f ca="1">IFERROR(__xludf.DUMMYFUNCTION("""COMPUTED_VALUE"""),2000)</f>
        <v>2000</v>
      </c>
      <c r="K348" s="1" t="str">
        <f ca="1">IFERROR(__xludf.DUMMYFUNCTION("""COMPUTED_VALUE"""),"Biomedical and Life Sciences")</f>
        <v>Biomedical and Life Sciences</v>
      </c>
      <c r="L348" s="1" t="str">
        <f ca="1">IFERROR(__xludf.DUMMYFUNCTION("""COMPUTED_VALUE"""),"〇")</f>
        <v>〇</v>
      </c>
      <c r="M348" s="1" t="str">
        <f ca="1">IFERROR(__xludf.DUMMYFUNCTION("""COMPUTED_VALUE"""),"〇")</f>
        <v>〇</v>
      </c>
      <c r="N348" s="1"/>
      <c r="O348" s="1"/>
      <c r="P348" s="1"/>
    </row>
    <row r="349" spans="1:16" ht="14.25" customHeight="1" x14ac:dyDescent="0.25">
      <c r="A349" s="1"/>
      <c r="B349" s="1">
        <f ca="1"/>
        <v>337</v>
      </c>
      <c r="C349" s="1">
        <f ca="1">IFERROR(__xludf.DUMMYFUNCTION("""COMPUTED_VALUE"""),2023)</f>
        <v>2023</v>
      </c>
      <c r="D349" s="1">
        <f ca="1">IFERROR(__xludf.DUMMYFUNCTION("""COMPUTED_VALUE"""),13402)</f>
        <v>13402</v>
      </c>
      <c r="E349" s="1" t="str">
        <f ca="1">IFERROR(__xludf.DUMMYFUNCTION("""COMPUTED_VALUE"""),"Cellular Oncology")</f>
        <v>Cellular Oncology</v>
      </c>
      <c r="F349" s="1" t="str">
        <f ca="1">IFERROR(__xludf.DUMMYFUNCTION("""COMPUTED_VALUE"""),"2211-3436")</f>
        <v>2211-3436</v>
      </c>
      <c r="G349" s="1" t="str">
        <f ca="1">IFERROR(__xludf.DUMMYFUNCTION("""COMPUTED_VALUE"""),"2211-3428")</f>
        <v>2211-3428</v>
      </c>
      <c r="H349" s="27" t="str">
        <f ca="1">IFERROR(__xludf.DUMMYFUNCTION("""COMPUTED_VALUE"""),"https://link.springer.com/journal/13402")</f>
        <v>https://link.springer.com/journal/13402</v>
      </c>
      <c r="I349" s="1" t="str">
        <f ca="1">IFERROR(__xludf.DUMMYFUNCTION("""COMPUTED_VALUE"""),"Springer")</f>
        <v>Springer</v>
      </c>
      <c r="J349" s="1">
        <f ca="1">IFERROR(__xludf.DUMMYFUNCTION("""COMPUTED_VALUE"""),2011)</f>
        <v>2011</v>
      </c>
      <c r="K349" s="1" t="str">
        <f ca="1">IFERROR(__xludf.DUMMYFUNCTION("""COMPUTED_VALUE"""),"Biomedical and Life Sciences")</f>
        <v>Biomedical and Life Sciences</v>
      </c>
      <c r="L349" s="1" t="str">
        <f ca="1">IFERROR(__xludf.DUMMYFUNCTION("""COMPUTED_VALUE"""),"〇")</f>
        <v>〇</v>
      </c>
      <c r="M349" s="1"/>
      <c r="N349" s="1" t="str">
        <f ca="1">IFERROR(__xludf.DUMMYFUNCTION("""COMPUTED_VALUE"""),"TO11")</f>
        <v>TO11</v>
      </c>
      <c r="O349" s="1"/>
      <c r="P349" s="1"/>
    </row>
    <row r="350" spans="1:16" ht="14.25" customHeight="1" x14ac:dyDescent="0.25">
      <c r="A350" s="1"/>
      <c r="B350" s="1">
        <f ca="1"/>
        <v>338</v>
      </c>
      <c r="C350" s="1">
        <f ca="1">IFERROR(__xludf.DUMMYFUNCTION("""COMPUTED_VALUE"""),2023)</f>
        <v>2023</v>
      </c>
      <c r="D350" s="1">
        <f ca="1">IFERROR(__xludf.DUMMYFUNCTION("""COMPUTED_VALUE"""),10570)</f>
        <v>10570</v>
      </c>
      <c r="E350" s="1" t="str">
        <f ca="1">IFERROR(__xludf.DUMMYFUNCTION("""COMPUTED_VALUE"""),"Cellulose")</f>
        <v>Cellulose</v>
      </c>
      <c r="F350" s="1" t="str">
        <f ca="1">IFERROR(__xludf.DUMMYFUNCTION("""COMPUTED_VALUE"""),"1572-882X")</f>
        <v>1572-882X</v>
      </c>
      <c r="G350" s="1" t="str">
        <f ca="1">IFERROR(__xludf.DUMMYFUNCTION("""COMPUTED_VALUE"""),"0969-0239")</f>
        <v>0969-0239</v>
      </c>
      <c r="H350" s="27" t="str">
        <f ca="1">IFERROR(__xludf.DUMMYFUNCTION("""COMPUTED_VALUE"""),"https://link.springer.com/journal/10570")</f>
        <v>https://link.springer.com/journal/10570</v>
      </c>
      <c r="I350" s="1" t="str">
        <f ca="1">IFERROR(__xludf.DUMMYFUNCTION("""COMPUTED_VALUE"""),"Springer")</f>
        <v>Springer</v>
      </c>
      <c r="J350" s="1">
        <f ca="1">IFERROR(__xludf.DUMMYFUNCTION("""COMPUTED_VALUE"""),2000)</f>
        <v>2000</v>
      </c>
      <c r="K350" s="1" t="str">
        <f ca="1">IFERROR(__xludf.DUMMYFUNCTION("""COMPUTED_VALUE"""),"Chemistry and Materials Science")</f>
        <v>Chemistry and Materials Science</v>
      </c>
      <c r="L350" s="1" t="str">
        <f ca="1">IFERROR(__xludf.DUMMYFUNCTION("""COMPUTED_VALUE"""),"〇")</f>
        <v>〇</v>
      </c>
      <c r="M350" s="1" t="str">
        <f ca="1">IFERROR(__xludf.DUMMYFUNCTION("""COMPUTED_VALUE"""),"〇")</f>
        <v>〇</v>
      </c>
      <c r="N350" s="1"/>
      <c r="O350" s="1"/>
      <c r="P350" s="1"/>
    </row>
    <row r="351" spans="1:16" ht="14.25" customHeight="1" x14ac:dyDescent="0.25">
      <c r="A351" s="1"/>
      <c r="B351" s="1">
        <f ca="1"/>
        <v>339</v>
      </c>
      <c r="C351" s="1">
        <f ca="1">IFERROR(__xludf.DUMMYFUNCTION("""COMPUTED_VALUE"""),2023)</f>
        <v>2023</v>
      </c>
      <c r="D351" s="1">
        <f ca="1">IFERROR(__xludf.DUMMYFUNCTION("""COMPUTED_VALUE"""),13730)</f>
        <v>13730</v>
      </c>
      <c r="E351" s="1" t="str">
        <f ca="1">IFERROR(__xludf.DUMMYFUNCTION("""COMPUTED_VALUE"""),"CEN Case Reports")</f>
        <v>CEN Case Reports</v>
      </c>
      <c r="F351" s="1" t="str">
        <f ca="1">IFERROR(__xludf.DUMMYFUNCTION("""COMPUTED_VALUE"""),"2192-4449")</f>
        <v>2192-4449</v>
      </c>
      <c r="G351" s="1"/>
      <c r="H351" s="27" t="str">
        <f ca="1">IFERROR(__xludf.DUMMYFUNCTION("""COMPUTED_VALUE"""),"https://link.springer.com/journal/13730")</f>
        <v>https://link.springer.com/journal/13730</v>
      </c>
      <c r="I351" s="1" t="str">
        <f ca="1">IFERROR(__xludf.DUMMYFUNCTION("""COMPUTED_VALUE"""),"Springer")</f>
        <v>Springer</v>
      </c>
      <c r="J351" s="1">
        <f ca="1">IFERROR(__xludf.DUMMYFUNCTION("""COMPUTED_VALUE"""),2012)</f>
        <v>2012</v>
      </c>
      <c r="K351" s="1" t="str">
        <f ca="1">IFERROR(__xludf.DUMMYFUNCTION("""COMPUTED_VALUE"""),"Medicine")</f>
        <v>Medicine</v>
      </c>
      <c r="L351" s="1"/>
      <c r="M351" s="1"/>
      <c r="N351" s="1" t="str">
        <f ca="1">IFERROR(__xludf.DUMMYFUNCTION("""COMPUTED_VALUE"""),"SNS12")</f>
        <v>SNS12</v>
      </c>
      <c r="O351" s="1"/>
      <c r="P351" s="1"/>
    </row>
    <row r="352" spans="1:16" ht="14.25" customHeight="1" x14ac:dyDescent="0.25">
      <c r="A352" s="1"/>
      <c r="B352" s="1">
        <f ca="1"/>
        <v>340</v>
      </c>
      <c r="C352" s="1">
        <f ca="1">IFERROR(__xludf.DUMMYFUNCTION("""COMPUTED_VALUE"""),2023)</f>
        <v>2023</v>
      </c>
      <c r="D352" s="1">
        <f ca="1">IFERROR(__xludf.DUMMYFUNCTION("""COMPUTED_VALUE"""),10100)</f>
        <v>10100</v>
      </c>
      <c r="E352" s="1" t="str">
        <f ca="1">IFERROR(__xludf.DUMMYFUNCTION("""COMPUTED_VALUE"""),"Central European Journal of Operations Research")</f>
        <v>Central European Journal of Operations Research</v>
      </c>
      <c r="F352" s="1" t="str">
        <f ca="1">IFERROR(__xludf.DUMMYFUNCTION("""COMPUTED_VALUE"""),"1613-9178")</f>
        <v>1613-9178</v>
      </c>
      <c r="G352" s="1" t="str">
        <f ca="1">IFERROR(__xludf.DUMMYFUNCTION("""COMPUTED_VALUE"""),"1435-246X")</f>
        <v>1435-246X</v>
      </c>
      <c r="H352" s="27" t="str">
        <f ca="1">IFERROR(__xludf.DUMMYFUNCTION("""COMPUTED_VALUE"""),"https://link.springer.com/journal/10100")</f>
        <v>https://link.springer.com/journal/10100</v>
      </c>
      <c r="I352" s="1" t="str">
        <f ca="1">IFERROR(__xludf.DUMMYFUNCTION("""COMPUTED_VALUE"""),"Springer")</f>
        <v>Springer</v>
      </c>
      <c r="J352" s="1">
        <f ca="1">IFERROR(__xludf.DUMMYFUNCTION("""COMPUTED_VALUE"""),2006)</f>
        <v>2006</v>
      </c>
      <c r="K352" s="1" t="str">
        <f ca="1">IFERROR(__xludf.DUMMYFUNCTION("""COMPUTED_VALUE"""),"Business and Management")</f>
        <v>Business and Management</v>
      </c>
      <c r="L352" s="1" t="str">
        <f ca="1">IFERROR(__xludf.DUMMYFUNCTION("""COMPUTED_VALUE"""),"〇")</f>
        <v>〇</v>
      </c>
      <c r="M352" s="1" t="str">
        <f ca="1">IFERROR(__xludf.DUMMYFUNCTION("""COMPUTED_VALUE"""),"〇")</f>
        <v>〇</v>
      </c>
      <c r="N352" s="1"/>
      <c r="O352" s="1"/>
      <c r="P352" s="1"/>
    </row>
    <row r="353" spans="1:16" ht="14.25" customHeight="1" x14ac:dyDescent="0.25">
      <c r="A353" s="1"/>
      <c r="B353" s="1">
        <f ca="1"/>
        <v>341</v>
      </c>
      <c r="C353" s="1">
        <f ca="1">IFERROR(__xludf.DUMMYFUNCTION("""COMPUTED_VALUE"""),2023)</f>
        <v>2023</v>
      </c>
      <c r="D353" s="1">
        <f ca="1">IFERROR(__xludf.DUMMYFUNCTION("""COMPUTED_VALUE"""),42976)</f>
        <v>42976</v>
      </c>
      <c r="E353" s="1" t="str">
        <f ca="1">IFERROR(__xludf.DUMMYFUNCTION("""COMPUTED_VALUE"""),"Cereal Research Communications")</f>
        <v>Cereal Research Communications</v>
      </c>
      <c r="F353" s="1" t="str">
        <f ca="1">IFERROR(__xludf.DUMMYFUNCTION("""COMPUTED_VALUE"""),"1788-9170")</f>
        <v>1788-9170</v>
      </c>
      <c r="G353" s="1" t="str">
        <f ca="1">IFERROR(__xludf.DUMMYFUNCTION("""COMPUTED_VALUE"""),"0133-3720")</f>
        <v>0133-3720</v>
      </c>
      <c r="H353" s="27" t="str">
        <f ca="1">IFERROR(__xludf.DUMMYFUNCTION("""COMPUTED_VALUE"""),"https://link.springer.com/journal/42976")</f>
        <v>https://link.springer.com/journal/42976</v>
      </c>
      <c r="I353" s="1" t="str">
        <f ca="1">IFERROR(__xludf.DUMMYFUNCTION("""COMPUTED_VALUE"""),"Akadémiai Kiadó, co-published with Springer")</f>
        <v>Akadémiai Kiadó, co-published with Springer</v>
      </c>
      <c r="J353" s="1">
        <f ca="1">IFERROR(__xludf.DUMMYFUNCTION("""COMPUTED_VALUE"""),2000)</f>
        <v>2000</v>
      </c>
      <c r="K353" s="1" t="str">
        <f ca="1">IFERROR(__xludf.DUMMYFUNCTION("""COMPUTED_VALUE"""),"Biomedical and Life Sciences")</f>
        <v>Biomedical and Life Sciences</v>
      </c>
      <c r="L353" s="1" t="str">
        <f ca="1">IFERROR(__xludf.DUMMYFUNCTION("""COMPUTED_VALUE"""),"〇")</f>
        <v>〇</v>
      </c>
      <c r="M353" s="1"/>
      <c r="N353" s="1" t="str">
        <f ca="1">IFERROR(__xludf.DUMMYFUNCTION("""COMPUTED_VALUE"""),"TO20")</f>
        <v>TO20</v>
      </c>
      <c r="O353" s="1"/>
      <c r="P353" s="1"/>
    </row>
    <row r="354" spans="1:16" ht="14.25" customHeight="1" x14ac:dyDescent="0.25">
      <c r="A354" s="1"/>
      <c r="B354" s="1">
        <f ca="1"/>
        <v>342</v>
      </c>
      <c r="C354" s="1">
        <f ca="1">IFERROR(__xludf.DUMMYFUNCTION("""COMPUTED_VALUE"""),2023)</f>
        <v>2023</v>
      </c>
      <c r="D354" s="1">
        <f ca="1">IFERROR(__xludf.DUMMYFUNCTION("""COMPUTED_VALUE"""),10556)</f>
        <v>10556</v>
      </c>
      <c r="E354" s="1" t="str">
        <f ca="1">IFERROR(__xludf.DUMMYFUNCTION("""COMPUTED_VALUE"""),"Chemical and Petroleum Engineering")</f>
        <v>Chemical and Petroleum Engineering</v>
      </c>
      <c r="F354" s="1" t="str">
        <f ca="1">IFERROR(__xludf.DUMMYFUNCTION("""COMPUTED_VALUE"""),"1573-8329")</f>
        <v>1573-8329</v>
      </c>
      <c r="G354" s="1" t="str">
        <f ca="1">IFERROR(__xludf.DUMMYFUNCTION("""COMPUTED_VALUE"""),"0009-2355")</f>
        <v>0009-2355</v>
      </c>
      <c r="H354" s="27" t="str">
        <f ca="1">IFERROR(__xludf.DUMMYFUNCTION("""COMPUTED_VALUE"""),"https://link.springer.com/journal/10556")</f>
        <v>https://link.springer.com/journal/10556</v>
      </c>
      <c r="I354" s="1" t="str">
        <f ca="1">IFERROR(__xludf.DUMMYFUNCTION("""COMPUTED_VALUE"""),"Springer")</f>
        <v>Springer</v>
      </c>
      <c r="J354" s="1">
        <f ca="1">IFERROR(__xludf.DUMMYFUNCTION("""COMPUTED_VALUE"""),2000)</f>
        <v>2000</v>
      </c>
      <c r="K354" s="1" t="str">
        <f ca="1">IFERROR(__xludf.DUMMYFUNCTION("""COMPUTED_VALUE"""),"Chemistry and Materials Science")</f>
        <v>Chemistry and Materials Science</v>
      </c>
      <c r="L354" s="1" t="str">
        <f ca="1">IFERROR(__xludf.DUMMYFUNCTION("""COMPUTED_VALUE"""),"〇")</f>
        <v>〇</v>
      </c>
      <c r="M354" s="1" t="str">
        <f ca="1">IFERROR(__xludf.DUMMYFUNCTION("""COMPUTED_VALUE"""),"〇")</f>
        <v>〇</v>
      </c>
      <c r="N354" s="1"/>
      <c r="O354" s="1"/>
      <c r="P354" s="1"/>
    </row>
    <row r="355" spans="1:16" ht="14.25" customHeight="1" x14ac:dyDescent="0.25">
      <c r="A355" s="1"/>
      <c r="B355" s="1">
        <f ca="1"/>
        <v>343</v>
      </c>
      <c r="C355" s="1">
        <f ca="1">IFERROR(__xludf.DUMMYFUNCTION("""COMPUTED_VALUE"""),2023)</f>
        <v>2023</v>
      </c>
      <c r="D355" s="1">
        <f ca="1">IFERROR(__xludf.DUMMYFUNCTION("""COMPUTED_VALUE"""),11696)</f>
        <v>11696</v>
      </c>
      <c r="E355" s="1" t="str">
        <f ca="1">IFERROR(__xludf.DUMMYFUNCTION("""COMPUTED_VALUE"""),"Chemical Papers")</f>
        <v>Chemical Papers</v>
      </c>
      <c r="F355" s="1" t="str">
        <f ca="1">IFERROR(__xludf.DUMMYFUNCTION("""COMPUTED_VALUE"""),"2585-7290")</f>
        <v>2585-7290</v>
      </c>
      <c r="G355" s="1" t="str">
        <f ca="1">IFERROR(__xludf.DUMMYFUNCTION("""COMPUTED_VALUE"""),"0366-6352")</f>
        <v>0366-6352</v>
      </c>
      <c r="H355" s="27" t="str">
        <f ca="1">IFERROR(__xludf.DUMMYFUNCTION("""COMPUTED_VALUE"""),"https://link.springer.com/journal/11696")</f>
        <v>https://link.springer.com/journal/11696</v>
      </c>
      <c r="I355" s="1" t="str">
        <f ca="1">IFERROR(__xludf.DUMMYFUNCTION("""COMPUTED_VALUE"""),"Springer")</f>
        <v>Springer</v>
      </c>
      <c r="J355" s="1">
        <f ca="1">IFERROR(__xludf.DUMMYFUNCTION("""COMPUTED_VALUE"""),2006)</f>
        <v>2006</v>
      </c>
      <c r="K355" s="1" t="str">
        <f ca="1">IFERROR(__xludf.DUMMYFUNCTION("""COMPUTED_VALUE"""),"Chemistry and Materials Science")</f>
        <v>Chemistry and Materials Science</v>
      </c>
      <c r="L355" s="1" t="str">
        <f ca="1">IFERROR(__xludf.DUMMYFUNCTION("""COMPUTED_VALUE"""),"〇")</f>
        <v>〇</v>
      </c>
      <c r="M355" s="1"/>
      <c r="N355" s="1" t="str">
        <f ca="1">IFERROR(__xludf.DUMMYFUNCTION("""COMPUTED_VALUE"""),"TO17")</f>
        <v>TO17</v>
      </c>
      <c r="O355" s="1"/>
      <c r="P355" s="1"/>
    </row>
    <row r="356" spans="1:16" ht="14.25" customHeight="1" x14ac:dyDescent="0.25">
      <c r="A356" s="1"/>
      <c r="B356" s="1">
        <f ca="1"/>
        <v>344</v>
      </c>
      <c r="C356" s="1">
        <f ca="1">IFERROR(__xludf.DUMMYFUNCTION("""COMPUTED_VALUE"""),2023)</f>
        <v>2023</v>
      </c>
      <c r="D356" s="1">
        <f ca="1">IFERROR(__xludf.DUMMYFUNCTION("""COMPUTED_VALUE"""),40242)</f>
        <v>40242</v>
      </c>
      <c r="E356" s="1" t="str">
        <f ca="1">IFERROR(__xludf.DUMMYFUNCTION("""COMPUTED_VALUE"""),"Chemical Research in Chinese Universities")</f>
        <v>Chemical Research in Chinese Universities</v>
      </c>
      <c r="F356" s="1" t="str">
        <f ca="1">IFERROR(__xludf.DUMMYFUNCTION("""COMPUTED_VALUE"""),"2210-3171")</f>
        <v>2210-3171</v>
      </c>
      <c r="G356" s="1" t="str">
        <f ca="1">IFERROR(__xludf.DUMMYFUNCTION("""COMPUTED_VALUE"""),"1005-9040")</f>
        <v>1005-9040</v>
      </c>
      <c r="H356" s="27" t="str">
        <f ca="1">IFERROR(__xludf.DUMMYFUNCTION("""COMPUTED_VALUE"""),"https://link.springer.com/journal/40242")</f>
        <v>https://link.springer.com/journal/40242</v>
      </c>
      <c r="I356" s="1" t="str">
        <f ca="1">IFERROR(__xludf.DUMMYFUNCTION("""COMPUTED_VALUE"""),"Jilin University and The Editorial Department of Chemical Research in Chinese Universities, co-published with Springer")</f>
        <v>Jilin University and The Editorial Department of Chemical Research in Chinese Universities, co-published with Springer</v>
      </c>
      <c r="J356" s="1">
        <f ca="1">IFERROR(__xludf.DUMMYFUNCTION("""COMPUTED_VALUE"""),2013)</f>
        <v>2013</v>
      </c>
      <c r="K356" s="1" t="str">
        <f ca="1">IFERROR(__xludf.DUMMYFUNCTION("""COMPUTED_VALUE"""),"Chemistry and Materials Science")</f>
        <v>Chemistry and Materials Science</v>
      </c>
      <c r="L356" s="1" t="str">
        <f ca="1">IFERROR(__xludf.DUMMYFUNCTION("""COMPUTED_VALUE"""),"〇")</f>
        <v>〇</v>
      </c>
      <c r="M356" s="1"/>
      <c r="N356" s="1" t="str">
        <f ca="1">IFERROR(__xludf.DUMMYFUNCTION("""COMPUTED_VALUE"""),"TO13")</f>
        <v>TO13</v>
      </c>
      <c r="O356" s="1"/>
      <c r="P356" s="1"/>
    </row>
    <row r="357" spans="1:16" ht="14.25" customHeight="1" x14ac:dyDescent="0.25">
      <c r="A357" s="1"/>
      <c r="B357" s="1">
        <f ca="1"/>
        <v>345</v>
      </c>
      <c r="C357" s="1">
        <f ca="1">IFERROR(__xludf.DUMMYFUNCTION("""COMPUTED_VALUE"""),2023)</f>
        <v>2023</v>
      </c>
      <c r="D357" s="1">
        <f ca="1">IFERROR(__xludf.DUMMYFUNCTION("""COMPUTED_VALUE"""),42250)</f>
        <v>42250</v>
      </c>
      <c r="E357" s="1" t="str">
        <f ca="1">IFERROR(__xludf.DUMMYFUNCTION("""COMPUTED_VALUE"""),"Chemistry Africa")</f>
        <v>Chemistry Africa</v>
      </c>
      <c r="F357" s="1" t="str">
        <f ca="1">IFERROR(__xludf.DUMMYFUNCTION("""COMPUTED_VALUE"""),"2522-5766")</f>
        <v>2522-5766</v>
      </c>
      <c r="G357" s="1" t="str">
        <f ca="1">IFERROR(__xludf.DUMMYFUNCTION("""COMPUTED_VALUE"""),"2522-5758")</f>
        <v>2522-5758</v>
      </c>
      <c r="H357" s="27" t="str">
        <f ca="1">IFERROR(__xludf.DUMMYFUNCTION("""COMPUTED_VALUE"""),"https://link.springer.com/journal/42250")</f>
        <v>https://link.springer.com/journal/42250</v>
      </c>
      <c r="I357" s="1" t="str">
        <f ca="1">IFERROR(__xludf.DUMMYFUNCTION("""COMPUTED_VALUE"""),"Springer")</f>
        <v>Springer</v>
      </c>
      <c r="J357" s="1">
        <f ca="1">IFERROR(__xludf.DUMMYFUNCTION("""COMPUTED_VALUE"""),2018)</f>
        <v>2018</v>
      </c>
      <c r="K357" s="1" t="str">
        <f ca="1">IFERROR(__xludf.DUMMYFUNCTION("""COMPUTED_VALUE"""),"Chemistry and Materials Science")</f>
        <v>Chemistry and Materials Science</v>
      </c>
      <c r="L357" s="1" t="str">
        <f ca="1">IFERROR(__xludf.DUMMYFUNCTION("""COMPUTED_VALUE"""),"〇")</f>
        <v>〇</v>
      </c>
      <c r="M357" s="1"/>
      <c r="N357" s="1" t="str">
        <f ca="1">IFERROR(__xludf.DUMMYFUNCTION("""COMPUTED_VALUE"""),"SNS18")</f>
        <v>SNS18</v>
      </c>
      <c r="O357" s="1"/>
      <c r="P357" s="1"/>
    </row>
    <row r="358" spans="1:16" ht="14.25" customHeight="1" x14ac:dyDescent="0.25">
      <c r="A358" s="1"/>
      <c r="B358" s="1">
        <f ca="1"/>
        <v>346</v>
      </c>
      <c r="C358" s="1">
        <f ca="1">IFERROR(__xludf.DUMMYFUNCTION("""COMPUTED_VALUE"""),2023)</f>
        <v>2023</v>
      </c>
      <c r="D358" s="1">
        <f ca="1">IFERROR(__xludf.DUMMYFUNCTION("""COMPUTED_VALUE"""),10553)</f>
        <v>10553</v>
      </c>
      <c r="E358" s="1" t="str">
        <f ca="1">IFERROR(__xludf.DUMMYFUNCTION("""COMPUTED_VALUE"""),"Chemistry and Technology of Fuels and Oils")</f>
        <v>Chemistry and Technology of Fuels and Oils</v>
      </c>
      <c r="F358" s="1" t="str">
        <f ca="1">IFERROR(__xludf.DUMMYFUNCTION("""COMPUTED_VALUE"""),"1573-8310")</f>
        <v>1573-8310</v>
      </c>
      <c r="G358" s="1" t="str">
        <f ca="1">IFERROR(__xludf.DUMMYFUNCTION("""COMPUTED_VALUE"""),"0009-3092")</f>
        <v>0009-3092</v>
      </c>
      <c r="H358" s="27" t="str">
        <f ca="1">IFERROR(__xludf.DUMMYFUNCTION("""COMPUTED_VALUE"""),"https://link.springer.com/journal/10553")</f>
        <v>https://link.springer.com/journal/10553</v>
      </c>
      <c r="I358" s="1" t="str">
        <f ca="1">IFERROR(__xludf.DUMMYFUNCTION("""COMPUTED_VALUE"""),"Springer")</f>
        <v>Springer</v>
      </c>
      <c r="J358" s="1">
        <f ca="1">IFERROR(__xludf.DUMMYFUNCTION("""COMPUTED_VALUE"""),2000)</f>
        <v>2000</v>
      </c>
      <c r="K358" s="1" t="str">
        <f ca="1">IFERROR(__xludf.DUMMYFUNCTION("""COMPUTED_VALUE"""),"Chemistry and Materials Science")</f>
        <v>Chemistry and Materials Science</v>
      </c>
      <c r="L358" s="1" t="str">
        <f ca="1">IFERROR(__xludf.DUMMYFUNCTION("""COMPUTED_VALUE"""),"〇")</f>
        <v>〇</v>
      </c>
      <c r="M358" s="1" t="str">
        <f ca="1">IFERROR(__xludf.DUMMYFUNCTION("""COMPUTED_VALUE"""),"〇")</f>
        <v>〇</v>
      </c>
      <c r="N358" s="1"/>
      <c r="O358" s="1"/>
      <c r="P358" s="1"/>
    </row>
    <row r="359" spans="1:16" ht="14.25" customHeight="1" x14ac:dyDescent="0.25">
      <c r="A359" s="1"/>
      <c r="B359" s="1">
        <f ca="1"/>
        <v>347</v>
      </c>
      <c r="C359" s="1">
        <f ca="1">IFERROR(__xludf.DUMMYFUNCTION("""COMPUTED_VALUE"""),2023)</f>
        <v>2023</v>
      </c>
      <c r="D359" s="1">
        <f ca="1">IFERROR(__xludf.DUMMYFUNCTION("""COMPUTED_VALUE"""),10593)</f>
        <v>10593</v>
      </c>
      <c r="E359" s="1" t="str">
        <f ca="1">IFERROR(__xludf.DUMMYFUNCTION("""COMPUTED_VALUE"""),"Chemistry of Heterocyclic Compounds")</f>
        <v>Chemistry of Heterocyclic Compounds</v>
      </c>
      <c r="F359" s="1" t="str">
        <f ca="1">IFERROR(__xludf.DUMMYFUNCTION("""COMPUTED_VALUE"""),"1573-8353")</f>
        <v>1573-8353</v>
      </c>
      <c r="G359" s="1" t="str">
        <f ca="1">IFERROR(__xludf.DUMMYFUNCTION("""COMPUTED_VALUE"""),"0009-3122")</f>
        <v>0009-3122</v>
      </c>
      <c r="H359" s="27" t="str">
        <f ca="1">IFERROR(__xludf.DUMMYFUNCTION("""COMPUTED_VALUE"""),"https://link.springer.com/journal/10593")</f>
        <v>https://link.springer.com/journal/10593</v>
      </c>
      <c r="I359" s="1" t="str">
        <f ca="1">IFERROR(__xludf.DUMMYFUNCTION("""COMPUTED_VALUE"""),"Springer")</f>
        <v>Springer</v>
      </c>
      <c r="J359" s="1">
        <f ca="1">IFERROR(__xludf.DUMMYFUNCTION("""COMPUTED_VALUE"""),2000)</f>
        <v>2000</v>
      </c>
      <c r="K359" s="1" t="str">
        <f ca="1">IFERROR(__xludf.DUMMYFUNCTION("""COMPUTED_VALUE"""),"Chemistry and Materials Science")</f>
        <v>Chemistry and Materials Science</v>
      </c>
      <c r="L359" s="1" t="str">
        <f ca="1">IFERROR(__xludf.DUMMYFUNCTION("""COMPUTED_VALUE"""),"〇")</f>
        <v>〇</v>
      </c>
      <c r="M359" s="1" t="str">
        <f ca="1">IFERROR(__xludf.DUMMYFUNCTION("""COMPUTED_VALUE"""),"〇")</f>
        <v>〇</v>
      </c>
      <c r="N359" s="1"/>
      <c r="O359" s="1"/>
      <c r="P359" s="1"/>
    </row>
    <row r="360" spans="1:16" ht="14.25" customHeight="1" x14ac:dyDescent="0.25">
      <c r="A360" s="1"/>
      <c r="B360" s="1">
        <f ca="1"/>
        <v>348</v>
      </c>
      <c r="C360" s="1">
        <f ca="1">IFERROR(__xludf.DUMMYFUNCTION("""COMPUTED_VALUE"""),2023)</f>
        <v>2023</v>
      </c>
      <c r="D360" s="1">
        <f ca="1">IFERROR(__xludf.DUMMYFUNCTION("""COMPUTED_VALUE"""),10600)</f>
        <v>10600</v>
      </c>
      <c r="E360" s="1" t="str">
        <f ca="1">IFERROR(__xludf.DUMMYFUNCTION("""COMPUTED_VALUE"""),"Chemistry of Natural Compounds")</f>
        <v>Chemistry of Natural Compounds</v>
      </c>
      <c r="F360" s="1" t="str">
        <f ca="1">IFERROR(__xludf.DUMMYFUNCTION("""COMPUTED_VALUE"""),"1573-8388")</f>
        <v>1573-8388</v>
      </c>
      <c r="G360" s="1" t="str">
        <f ca="1">IFERROR(__xludf.DUMMYFUNCTION("""COMPUTED_VALUE"""),"0009-3130")</f>
        <v>0009-3130</v>
      </c>
      <c r="H360" s="27" t="str">
        <f ca="1">IFERROR(__xludf.DUMMYFUNCTION("""COMPUTED_VALUE"""),"https://link.springer.com/journal/10600")</f>
        <v>https://link.springer.com/journal/10600</v>
      </c>
      <c r="I360" s="1" t="str">
        <f ca="1">IFERROR(__xludf.DUMMYFUNCTION("""COMPUTED_VALUE"""),"Springer")</f>
        <v>Springer</v>
      </c>
      <c r="J360" s="1">
        <f ca="1">IFERROR(__xludf.DUMMYFUNCTION("""COMPUTED_VALUE"""),2000)</f>
        <v>2000</v>
      </c>
      <c r="K360" s="1" t="str">
        <f ca="1">IFERROR(__xludf.DUMMYFUNCTION("""COMPUTED_VALUE"""),"Chemistry and Materials Science")</f>
        <v>Chemistry and Materials Science</v>
      </c>
      <c r="L360" s="1" t="str">
        <f ca="1">IFERROR(__xludf.DUMMYFUNCTION("""COMPUTED_VALUE"""),"〇")</f>
        <v>〇</v>
      </c>
      <c r="M360" s="1" t="str">
        <f ca="1">IFERROR(__xludf.DUMMYFUNCTION("""COMPUTED_VALUE"""),"〇")</f>
        <v>〇</v>
      </c>
      <c r="N360" s="1"/>
      <c r="O360" s="1"/>
      <c r="P360" s="1"/>
    </row>
    <row r="361" spans="1:16" ht="14.25" customHeight="1" x14ac:dyDescent="0.25">
      <c r="A361" s="1"/>
      <c r="B361" s="1">
        <f ca="1"/>
        <v>349</v>
      </c>
      <c r="C361" s="1">
        <f ca="1">IFERROR(__xludf.DUMMYFUNCTION("""COMPUTED_VALUE"""),2023)</f>
        <v>2023</v>
      </c>
      <c r="D361" s="1">
        <f ca="1">IFERROR(__xludf.DUMMYFUNCTION("""COMPUTED_VALUE"""),49)</f>
        <v>49</v>
      </c>
      <c r="E361" s="1" t="str">
        <f ca="1">IFERROR(__xludf.DUMMYFUNCTION("""COMPUTED_VALUE"""),"Chemoecology")</f>
        <v>Chemoecology</v>
      </c>
      <c r="F361" s="1" t="str">
        <f ca="1">IFERROR(__xludf.DUMMYFUNCTION("""COMPUTED_VALUE"""),"1423-0445")</f>
        <v>1423-0445</v>
      </c>
      <c r="G361" s="1"/>
      <c r="H361" s="27" t="str">
        <f ca="1">IFERROR(__xludf.DUMMYFUNCTION("""COMPUTED_VALUE"""),"https://link.springer.com/journal/49")</f>
        <v>https://link.springer.com/journal/49</v>
      </c>
      <c r="I361" s="1" t="str">
        <f ca="1">IFERROR(__xludf.DUMMYFUNCTION("""COMPUTED_VALUE"""),"Springer")</f>
        <v>Springer</v>
      </c>
      <c r="J361" s="1">
        <f ca="1">IFERROR(__xludf.DUMMYFUNCTION("""COMPUTED_VALUE"""),2000)</f>
        <v>2000</v>
      </c>
      <c r="K361" s="1" t="str">
        <f ca="1">IFERROR(__xludf.DUMMYFUNCTION("""COMPUTED_VALUE"""),"Biomedical and Life Sciences")</f>
        <v>Biomedical and Life Sciences</v>
      </c>
      <c r="L361" s="1"/>
      <c r="M361" s="1" t="str">
        <f ca="1">IFERROR(__xludf.DUMMYFUNCTION("""COMPUTED_VALUE"""),"〇")</f>
        <v>〇</v>
      </c>
      <c r="N361" s="1"/>
      <c r="O361" s="1"/>
      <c r="P361" s="1"/>
    </row>
    <row r="362" spans="1:16" ht="14.25" customHeight="1" x14ac:dyDescent="0.25">
      <c r="A362" s="1"/>
      <c r="B362" s="1">
        <f ca="1"/>
        <v>350</v>
      </c>
      <c r="C362" s="1">
        <f ca="1">IFERROR(__xludf.DUMMYFUNCTION("""COMPUTED_VALUE"""),2023)</f>
        <v>2023</v>
      </c>
      <c r="D362" s="1">
        <f ca="1">IFERROR(__xludf.DUMMYFUNCTION("""COMPUTED_VALUE"""),12078)</f>
        <v>12078</v>
      </c>
      <c r="E362" s="1" t="str">
        <f ca="1">IFERROR(__xludf.DUMMYFUNCTION("""COMPUTED_VALUE"""),"Chemosensory Perception")</f>
        <v>Chemosensory Perception</v>
      </c>
      <c r="F362" s="1" t="str">
        <f ca="1">IFERROR(__xludf.DUMMYFUNCTION("""COMPUTED_VALUE"""),"1936-5810")</f>
        <v>1936-5810</v>
      </c>
      <c r="G362" s="1" t="str">
        <f ca="1">IFERROR(__xludf.DUMMYFUNCTION("""COMPUTED_VALUE"""),"1936-5802")</f>
        <v>1936-5802</v>
      </c>
      <c r="H362" s="27" t="str">
        <f ca="1">IFERROR(__xludf.DUMMYFUNCTION("""COMPUTED_VALUE"""),"https://link.springer.com/journal/12078")</f>
        <v>https://link.springer.com/journal/12078</v>
      </c>
      <c r="I362" s="1" t="str">
        <f ca="1">IFERROR(__xludf.DUMMYFUNCTION("""COMPUTED_VALUE"""),"Springer")</f>
        <v>Springer</v>
      </c>
      <c r="J362" s="1">
        <f ca="1">IFERROR(__xludf.DUMMYFUNCTION("""COMPUTED_VALUE"""),2008)</f>
        <v>2008</v>
      </c>
      <c r="K362" s="1" t="str">
        <f ca="1">IFERROR(__xludf.DUMMYFUNCTION("""COMPUTED_VALUE"""),"Chemistry and Materials Science")</f>
        <v>Chemistry and Materials Science</v>
      </c>
      <c r="L362" s="1" t="str">
        <f ca="1">IFERROR(__xludf.DUMMYFUNCTION("""COMPUTED_VALUE"""),"〇")</f>
        <v>〇</v>
      </c>
      <c r="M362" s="1" t="str">
        <f ca="1">IFERROR(__xludf.DUMMYFUNCTION("""COMPUTED_VALUE"""),"〇")</f>
        <v>〇</v>
      </c>
      <c r="N362" s="1" t="str">
        <f ca="1">IFERROR(__xludf.DUMMYFUNCTION("""COMPUTED_VALUE"""),"SNS8")</f>
        <v>SNS8</v>
      </c>
      <c r="O362" s="1"/>
      <c r="P362" s="1"/>
    </row>
    <row r="363" spans="1:16" ht="14.25" customHeight="1" x14ac:dyDescent="0.25">
      <c r="A363" s="1"/>
      <c r="B363" s="1">
        <f ca="1"/>
        <v>351</v>
      </c>
      <c r="C363" s="1">
        <f ca="1">IFERROR(__xludf.DUMMYFUNCTION("""COMPUTED_VALUE"""),2023)</f>
        <v>2023</v>
      </c>
      <c r="D363" s="1">
        <f ca="1">IFERROR(__xludf.DUMMYFUNCTION("""COMPUTED_VALUE"""),40828)</f>
        <v>40828</v>
      </c>
      <c r="E363" s="1" t="str">
        <f ca="1">IFERROR(__xludf.DUMMYFUNCTION("""COMPUTED_VALUE"""),"ChemTexts")</f>
        <v>ChemTexts</v>
      </c>
      <c r="F363" s="1" t="str">
        <f ca="1">IFERROR(__xludf.DUMMYFUNCTION("""COMPUTED_VALUE"""),"2199-3793")</f>
        <v>2199-3793</v>
      </c>
      <c r="G363" s="1"/>
      <c r="H363" s="27" t="str">
        <f ca="1">IFERROR(__xludf.DUMMYFUNCTION("""COMPUTED_VALUE"""),"https://link.springer.com/journal/40828")</f>
        <v>https://link.springer.com/journal/40828</v>
      </c>
      <c r="I363" s="1" t="str">
        <f ca="1">IFERROR(__xludf.DUMMYFUNCTION("""COMPUTED_VALUE"""),"Springer")</f>
        <v>Springer</v>
      </c>
      <c r="J363" s="1">
        <f ca="1">IFERROR(__xludf.DUMMYFUNCTION("""COMPUTED_VALUE"""),2015)</f>
        <v>2015</v>
      </c>
      <c r="K363" s="1" t="str">
        <f ca="1">IFERROR(__xludf.DUMMYFUNCTION("""COMPUTED_VALUE"""),"Chemistry and Materials Science")</f>
        <v>Chemistry and Materials Science</v>
      </c>
      <c r="L363" s="1"/>
      <c r="M363" s="1"/>
      <c r="N363" s="1" t="str">
        <f ca="1">IFERROR(__xludf.DUMMYFUNCTION("""COMPUTED_VALUE"""),"SNS15")</f>
        <v>SNS15</v>
      </c>
      <c r="O363" s="1"/>
      <c r="P363" s="1"/>
    </row>
    <row r="364" spans="1:16" ht="14.25" customHeight="1" x14ac:dyDescent="0.25">
      <c r="A364" s="1"/>
      <c r="B364" s="1">
        <f ca="1"/>
        <v>352</v>
      </c>
      <c r="C364" s="1">
        <f ca="1">IFERROR(__xludf.DUMMYFUNCTION("""COMPUTED_VALUE"""),2023)</f>
        <v>2023</v>
      </c>
      <c r="D364" s="1">
        <f ca="1">IFERROR(__xludf.DUMMYFUNCTION("""COMPUTED_VALUE"""),10566)</f>
        <v>10566</v>
      </c>
      <c r="E364" s="1" t="str">
        <f ca="1">IFERROR(__xludf.DUMMYFUNCTION("""COMPUTED_VALUE"""),"Child &amp; Youth Care Forum")</f>
        <v>Child &amp; Youth Care Forum</v>
      </c>
      <c r="F364" s="1" t="str">
        <f ca="1">IFERROR(__xludf.DUMMYFUNCTION("""COMPUTED_VALUE"""),"1573-3319")</f>
        <v>1573-3319</v>
      </c>
      <c r="G364" s="1" t="str">
        <f ca="1">IFERROR(__xludf.DUMMYFUNCTION("""COMPUTED_VALUE"""),"1053-1890")</f>
        <v>1053-1890</v>
      </c>
      <c r="H364" s="27" t="str">
        <f ca="1">IFERROR(__xludf.DUMMYFUNCTION("""COMPUTED_VALUE"""),"https://link.springer.com/journal/10566")</f>
        <v>https://link.springer.com/journal/10566</v>
      </c>
      <c r="I364" s="1" t="str">
        <f ca="1">IFERROR(__xludf.DUMMYFUNCTION("""COMPUTED_VALUE"""),"Springer")</f>
        <v>Springer</v>
      </c>
      <c r="J364" s="1">
        <f ca="1">IFERROR(__xludf.DUMMYFUNCTION("""COMPUTED_VALUE"""),2000)</f>
        <v>2000</v>
      </c>
      <c r="K364" s="1" t="str">
        <f ca="1">IFERROR(__xludf.DUMMYFUNCTION("""COMPUTED_VALUE"""),"Behavioral Science and Psychology")</f>
        <v>Behavioral Science and Psychology</v>
      </c>
      <c r="L364" s="1" t="str">
        <f ca="1">IFERROR(__xludf.DUMMYFUNCTION("""COMPUTED_VALUE"""),"〇")</f>
        <v>〇</v>
      </c>
      <c r="M364" s="1" t="str">
        <f ca="1">IFERROR(__xludf.DUMMYFUNCTION("""COMPUTED_VALUE"""),"〇")</f>
        <v>〇</v>
      </c>
      <c r="N364" s="1"/>
      <c r="O364" s="1"/>
      <c r="P364" s="1"/>
    </row>
    <row r="365" spans="1:16" ht="14.25" customHeight="1" x14ac:dyDescent="0.25">
      <c r="A365" s="1"/>
      <c r="B365" s="1">
        <f ca="1"/>
        <v>353</v>
      </c>
      <c r="C365" s="1">
        <f ca="1">IFERROR(__xludf.DUMMYFUNCTION("""COMPUTED_VALUE"""),2023)</f>
        <v>2023</v>
      </c>
      <c r="D365" s="1">
        <f ca="1">IFERROR(__xludf.DUMMYFUNCTION("""COMPUTED_VALUE"""),10560)</f>
        <v>10560</v>
      </c>
      <c r="E365" s="1" t="str">
        <f ca="1">IFERROR(__xludf.DUMMYFUNCTION("""COMPUTED_VALUE"""),"Child and Adolescent Social Work Journal")</f>
        <v>Child and Adolescent Social Work Journal</v>
      </c>
      <c r="F365" s="1" t="str">
        <f ca="1">IFERROR(__xludf.DUMMYFUNCTION("""COMPUTED_VALUE"""),"1573-2797")</f>
        <v>1573-2797</v>
      </c>
      <c r="G365" s="1" t="str">
        <f ca="1">IFERROR(__xludf.DUMMYFUNCTION("""COMPUTED_VALUE"""),"0738-0151")</f>
        <v>0738-0151</v>
      </c>
      <c r="H365" s="27" t="str">
        <f ca="1">IFERROR(__xludf.DUMMYFUNCTION("""COMPUTED_VALUE"""),"https://link.springer.com/journal/10560")</f>
        <v>https://link.springer.com/journal/10560</v>
      </c>
      <c r="I365" s="1" t="str">
        <f ca="1">IFERROR(__xludf.DUMMYFUNCTION("""COMPUTED_VALUE"""),"Springer")</f>
        <v>Springer</v>
      </c>
      <c r="J365" s="1">
        <f ca="1">IFERROR(__xludf.DUMMYFUNCTION("""COMPUTED_VALUE"""),2000)</f>
        <v>2000</v>
      </c>
      <c r="K365" s="1" t="str">
        <f ca="1">IFERROR(__xludf.DUMMYFUNCTION("""COMPUTED_VALUE"""),"Behavioral Science and Psychology")</f>
        <v>Behavioral Science and Psychology</v>
      </c>
      <c r="L365" s="1" t="str">
        <f ca="1">IFERROR(__xludf.DUMMYFUNCTION("""COMPUTED_VALUE"""),"〇")</f>
        <v>〇</v>
      </c>
      <c r="M365" s="1" t="str">
        <f ca="1">IFERROR(__xludf.DUMMYFUNCTION("""COMPUTED_VALUE"""),"〇")</f>
        <v>〇</v>
      </c>
      <c r="N365" s="1"/>
      <c r="O365" s="1"/>
      <c r="P365" s="1"/>
    </row>
    <row r="366" spans="1:16" ht="14.25" customHeight="1" x14ac:dyDescent="0.25">
      <c r="A366" s="1"/>
      <c r="B366" s="1">
        <f ca="1"/>
        <v>354</v>
      </c>
      <c r="C366" s="1">
        <f ca="1">IFERROR(__xludf.DUMMYFUNCTION("""COMPUTED_VALUE"""),2023)</f>
        <v>2023</v>
      </c>
      <c r="D366" s="1">
        <f ca="1">IFERROR(__xludf.DUMMYFUNCTION("""COMPUTED_VALUE"""),12187)</f>
        <v>12187</v>
      </c>
      <c r="E366" s="1" t="str">
        <f ca="1">IFERROR(__xludf.DUMMYFUNCTION("""COMPUTED_VALUE"""),"Child Indicators Research")</f>
        <v>Child Indicators Research</v>
      </c>
      <c r="F366" s="1" t="str">
        <f ca="1">IFERROR(__xludf.DUMMYFUNCTION("""COMPUTED_VALUE"""),"1874-8988")</f>
        <v>1874-8988</v>
      </c>
      <c r="G366" s="1" t="str">
        <f ca="1">IFERROR(__xludf.DUMMYFUNCTION("""COMPUTED_VALUE"""),"1874-897X")</f>
        <v>1874-897X</v>
      </c>
      <c r="H366" s="27" t="str">
        <f ca="1">IFERROR(__xludf.DUMMYFUNCTION("""COMPUTED_VALUE"""),"https://link.springer.com/journal/12187")</f>
        <v>https://link.springer.com/journal/12187</v>
      </c>
      <c r="I366" s="1" t="str">
        <f ca="1">IFERROR(__xludf.DUMMYFUNCTION("""COMPUTED_VALUE"""),"Springer")</f>
        <v>Springer</v>
      </c>
      <c r="J366" s="1">
        <f ca="1">IFERROR(__xludf.DUMMYFUNCTION("""COMPUTED_VALUE"""),2008)</f>
        <v>2008</v>
      </c>
      <c r="K366" s="1" t="str">
        <f ca="1">IFERROR(__xludf.DUMMYFUNCTION("""COMPUTED_VALUE"""),"Social Sciences")</f>
        <v>Social Sciences</v>
      </c>
      <c r="L366" s="1" t="str">
        <f ca="1">IFERROR(__xludf.DUMMYFUNCTION("""COMPUTED_VALUE"""),"〇")</f>
        <v>〇</v>
      </c>
      <c r="M366" s="1" t="str">
        <f ca="1">IFERROR(__xludf.DUMMYFUNCTION("""COMPUTED_VALUE"""),"〇")</f>
        <v>〇</v>
      </c>
      <c r="N366" s="1" t="str">
        <f ca="1">IFERROR(__xludf.DUMMYFUNCTION("""COMPUTED_VALUE"""),"SNS8")</f>
        <v>SNS8</v>
      </c>
      <c r="O366" s="1"/>
      <c r="P366" s="1"/>
    </row>
    <row r="367" spans="1:16" ht="14.25" customHeight="1" x14ac:dyDescent="0.25">
      <c r="A367" s="1"/>
      <c r="B367" s="1">
        <f ca="1"/>
        <v>355</v>
      </c>
      <c r="C367" s="1">
        <f ca="1">IFERROR(__xludf.DUMMYFUNCTION("""COMPUTED_VALUE"""),2023)</f>
        <v>2023</v>
      </c>
      <c r="D367" s="1">
        <f ca="1">IFERROR(__xludf.DUMMYFUNCTION("""COMPUTED_VALUE"""),10578)</f>
        <v>10578</v>
      </c>
      <c r="E367" s="1" t="str">
        <f ca="1">IFERROR(__xludf.DUMMYFUNCTION("""COMPUTED_VALUE"""),"Child Psychiatry &amp; Human Development")</f>
        <v>Child Psychiatry &amp; Human Development</v>
      </c>
      <c r="F367" s="1" t="str">
        <f ca="1">IFERROR(__xludf.DUMMYFUNCTION("""COMPUTED_VALUE"""),"1573-3327")</f>
        <v>1573-3327</v>
      </c>
      <c r="G367" s="1" t="str">
        <f ca="1">IFERROR(__xludf.DUMMYFUNCTION("""COMPUTED_VALUE"""),"0009-398X")</f>
        <v>0009-398X</v>
      </c>
      <c r="H367" s="27" t="str">
        <f ca="1">IFERROR(__xludf.DUMMYFUNCTION("""COMPUTED_VALUE"""),"https://link.springer.com/journal/10578")</f>
        <v>https://link.springer.com/journal/10578</v>
      </c>
      <c r="I367" s="1" t="str">
        <f ca="1">IFERROR(__xludf.DUMMYFUNCTION("""COMPUTED_VALUE"""),"Springer")</f>
        <v>Springer</v>
      </c>
      <c r="J367" s="1">
        <f ca="1">IFERROR(__xludf.DUMMYFUNCTION("""COMPUTED_VALUE"""),2000)</f>
        <v>2000</v>
      </c>
      <c r="K367" s="1" t="str">
        <f ca="1">IFERROR(__xludf.DUMMYFUNCTION("""COMPUTED_VALUE"""),"Behavioral Science and Psychology")</f>
        <v>Behavioral Science and Psychology</v>
      </c>
      <c r="L367" s="1" t="str">
        <f ca="1">IFERROR(__xludf.DUMMYFUNCTION("""COMPUTED_VALUE"""),"〇")</f>
        <v>〇</v>
      </c>
      <c r="M367" s="1" t="str">
        <f ca="1">IFERROR(__xludf.DUMMYFUNCTION("""COMPUTED_VALUE"""),"〇")</f>
        <v>〇</v>
      </c>
      <c r="N367" s="1"/>
      <c r="O367" s="1"/>
      <c r="P367" s="1"/>
    </row>
    <row r="368" spans="1:16" ht="14.25" customHeight="1" x14ac:dyDescent="0.25">
      <c r="A368" s="1"/>
      <c r="B368" s="1">
        <f ca="1"/>
        <v>356</v>
      </c>
      <c r="C368" s="1">
        <f ca="1">IFERROR(__xludf.DUMMYFUNCTION("""COMPUTED_VALUE"""),2023)</f>
        <v>2023</v>
      </c>
      <c r="D368" s="1">
        <f ca="1">IFERROR(__xludf.DUMMYFUNCTION("""COMPUTED_VALUE"""),10583)</f>
        <v>10583</v>
      </c>
      <c r="E368" s="1" t="str">
        <f ca="1">IFERROR(__xludf.DUMMYFUNCTION("""COMPUTED_VALUE"""),"Children's Literature in Education")</f>
        <v>Children's Literature in Education</v>
      </c>
      <c r="F368" s="1" t="str">
        <f ca="1">IFERROR(__xludf.DUMMYFUNCTION("""COMPUTED_VALUE"""),"1573-1693")</f>
        <v>1573-1693</v>
      </c>
      <c r="G368" s="1" t="str">
        <f ca="1">IFERROR(__xludf.DUMMYFUNCTION("""COMPUTED_VALUE"""),"0045-6713")</f>
        <v>0045-6713</v>
      </c>
      <c r="H368" s="27" t="str">
        <f ca="1">IFERROR(__xludf.DUMMYFUNCTION("""COMPUTED_VALUE"""),"https://link.springer.com/journal/10583")</f>
        <v>https://link.springer.com/journal/10583</v>
      </c>
      <c r="I368" s="1" t="str">
        <f ca="1">IFERROR(__xludf.DUMMYFUNCTION("""COMPUTED_VALUE"""),"Springer")</f>
        <v>Springer</v>
      </c>
      <c r="J368" s="1">
        <f ca="1">IFERROR(__xludf.DUMMYFUNCTION("""COMPUTED_VALUE"""),2000)</f>
        <v>2000</v>
      </c>
      <c r="K368" s="1" t="str">
        <f ca="1">IFERROR(__xludf.DUMMYFUNCTION("""COMPUTED_VALUE"""),"Social Sciences")</f>
        <v>Social Sciences</v>
      </c>
      <c r="L368" s="1" t="str">
        <f ca="1">IFERROR(__xludf.DUMMYFUNCTION("""COMPUTED_VALUE"""),"〇")</f>
        <v>〇</v>
      </c>
      <c r="M368" s="1" t="str">
        <f ca="1">IFERROR(__xludf.DUMMYFUNCTION("""COMPUTED_VALUE"""),"〇")</f>
        <v>〇</v>
      </c>
      <c r="N368" s="1"/>
      <c r="O368" s="1"/>
      <c r="P368" s="1"/>
    </row>
    <row r="369" spans="1:16" ht="14.25" customHeight="1" x14ac:dyDescent="0.25">
      <c r="A369" s="1"/>
      <c r="B369" s="1">
        <f ca="1"/>
        <v>357</v>
      </c>
      <c r="C369" s="1">
        <f ca="1">IFERROR(__xludf.DUMMYFUNCTION("""COMPUTED_VALUE"""),2023)</f>
        <v>2023</v>
      </c>
      <c r="D369" s="1">
        <f ca="1">IFERROR(__xludf.DUMMYFUNCTION("""COMPUTED_VALUE"""),381)</f>
        <v>381</v>
      </c>
      <c r="E369" s="1" t="str">
        <f ca="1">IFERROR(__xludf.DUMMYFUNCTION("""COMPUTED_VALUE"""),"Child's Nervous System")</f>
        <v>Child's Nervous System</v>
      </c>
      <c r="F369" s="1" t="str">
        <f ca="1">IFERROR(__xludf.DUMMYFUNCTION("""COMPUTED_VALUE"""),"1433-0350")</f>
        <v>1433-0350</v>
      </c>
      <c r="G369" s="1" t="str">
        <f ca="1">IFERROR(__xludf.DUMMYFUNCTION("""COMPUTED_VALUE"""),"0256-7040")</f>
        <v>0256-7040</v>
      </c>
      <c r="H369" s="27" t="str">
        <f ca="1">IFERROR(__xludf.DUMMYFUNCTION("""COMPUTED_VALUE"""),"https://link.springer.com/journal/381")</f>
        <v>https://link.springer.com/journal/381</v>
      </c>
      <c r="I369" s="1" t="str">
        <f ca="1">IFERROR(__xludf.DUMMYFUNCTION("""COMPUTED_VALUE"""),"Springer")</f>
        <v>Springer</v>
      </c>
      <c r="J369" s="1">
        <f ca="1">IFERROR(__xludf.DUMMYFUNCTION("""COMPUTED_VALUE"""),2000)</f>
        <v>2000</v>
      </c>
      <c r="K369" s="1" t="str">
        <f ca="1">IFERROR(__xludf.DUMMYFUNCTION("""COMPUTED_VALUE"""),"Medicine")</f>
        <v>Medicine</v>
      </c>
      <c r="L369" s="1" t="str">
        <f ca="1">IFERROR(__xludf.DUMMYFUNCTION("""COMPUTED_VALUE"""),"〇")</f>
        <v>〇</v>
      </c>
      <c r="M369" s="1" t="str">
        <f ca="1">IFERROR(__xludf.DUMMYFUNCTION("""COMPUTED_VALUE"""),"〇")</f>
        <v>〇</v>
      </c>
      <c r="N369" s="1"/>
      <c r="O369" s="1"/>
      <c r="P369" s="1"/>
    </row>
    <row r="370" spans="1:16" ht="14.25" customHeight="1" x14ac:dyDescent="0.25">
      <c r="A370" s="1"/>
      <c r="B370" s="1">
        <f ca="1"/>
        <v>358</v>
      </c>
      <c r="C370" s="1">
        <f ca="1">IFERROR(__xludf.DUMMYFUNCTION("""COMPUTED_VALUE"""),2023)</f>
        <v>2023</v>
      </c>
      <c r="D370" s="1">
        <f ca="1">IFERROR(__xludf.DUMMYFUNCTION("""COMPUTED_VALUE"""),41230)</f>
        <v>41230</v>
      </c>
      <c r="E370" s="1" t="str">
        <f ca="1">IFERROR(__xludf.DUMMYFUNCTION("""COMPUTED_VALUE"""),"China Foundry")</f>
        <v>China Foundry</v>
      </c>
      <c r="F370" s="1" t="str">
        <f ca="1">IFERROR(__xludf.DUMMYFUNCTION("""COMPUTED_VALUE"""),"2365-9459")</f>
        <v>2365-9459</v>
      </c>
      <c r="G370" s="1" t="str">
        <f ca="1">IFERROR(__xludf.DUMMYFUNCTION("""COMPUTED_VALUE"""),"1672-6421")</f>
        <v>1672-6421</v>
      </c>
      <c r="H370" s="27" t="str">
        <f ca="1">IFERROR(__xludf.DUMMYFUNCTION("""COMPUTED_VALUE"""),"https://link.springer.com/journal/41230")</f>
        <v>https://link.springer.com/journal/41230</v>
      </c>
      <c r="I370" s="1" t="str">
        <f ca="1">IFERROR(__xludf.DUMMYFUNCTION("""COMPUTED_VALUE"""),"Springer")</f>
        <v>Springer</v>
      </c>
      <c r="J370" s="1">
        <f ca="1">IFERROR(__xludf.DUMMYFUNCTION("""COMPUTED_VALUE"""),2016)</f>
        <v>2016</v>
      </c>
      <c r="K370" s="1" t="str">
        <f ca="1">IFERROR(__xludf.DUMMYFUNCTION("""COMPUTED_VALUE"""),"Engineering")</f>
        <v>Engineering</v>
      </c>
      <c r="L370" s="1" t="str">
        <f ca="1">IFERROR(__xludf.DUMMYFUNCTION("""COMPUTED_VALUE"""),"〇")</f>
        <v>〇</v>
      </c>
      <c r="M370" s="1"/>
      <c r="N370" s="1" t="str">
        <f ca="1">IFERROR(__xludf.DUMMYFUNCTION("""COMPUTED_VALUE"""),"TO16")</f>
        <v>TO16</v>
      </c>
      <c r="O370" s="1"/>
      <c r="P370" s="1"/>
    </row>
    <row r="371" spans="1:16" ht="14.25" customHeight="1" x14ac:dyDescent="0.25">
      <c r="A371" s="1"/>
      <c r="B371" s="1">
        <f ca="1"/>
        <v>359</v>
      </c>
      <c r="C371" s="1">
        <f ca="1">IFERROR(__xludf.DUMMYFUNCTION("""COMPUTED_VALUE"""),2023)</f>
        <v>2023</v>
      </c>
      <c r="D371" s="1">
        <f ca="1">IFERROR(__xludf.DUMMYFUNCTION("""COMPUTED_VALUE"""),42533)</f>
        <v>42533</v>
      </c>
      <c r="E371" s="1" t="str">
        <f ca="1">IFERROR(__xludf.DUMMYFUNCTION("""COMPUTED_VALUE"""),"China International Strategy Review")</f>
        <v>China International Strategy Review</v>
      </c>
      <c r="F371" s="1" t="str">
        <f ca="1">IFERROR(__xludf.DUMMYFUNCTION("""COMPUTED_VALUE"""),"2524-5635")</f>
        <v>2524-5635</v>
      </c>
      <c r="G371" s="1" t="str">
        <f ca="1">IFERROR(__xludf.DUMMYFUNCTION("""COMPUTED_VALUE"""),"2524-5627")</f>
        <v>2524-5627</v>
      </c>
      <c r="H371" s="27" t="str">
        <f ca="1">IFERROR(__xludf.DUMMYFUNCTION("""COMPUTED_VALUE"""),"https://link.springer.com/journal/42533")</f>
        <v>https://link.springer.com/journal/42533</v>
      </c>
      <c r="I371" s="1" t="str">
        <f ca="1">IFERROR(__xludf.DUMMYFUNCTION("""COMPUTED_VALUE"""),"Springer")</f>
        <v>Springer</v>
      </c>
      <c r="J371" s="1">
        <f ca="1">IFERROR(__xludf.DUMMYFUNCTION("""COMPUTED_VALUE"""),2019)</f>
        <v>2019</v>
      </c>
      <c r="K371" s="1" t="str">
        <f ca="1">IFERROR(__xludf.DUMMYFUNCTION("""COMPUTED_VALUE"""),"Political Science and International Studies")</f>
        <v>Political Science and International Studies</v>
      </c>
      <c r="L371" s="1" t="str">
        <f ca="1">IFERROR(__xludf.DUMMYFUNCTION("""COMPUTED_VALUE"""),"〇")</f>
        <v>〇</v>
      </c>
      <c r="M371" s="1"/>
      <c r="N371" s="1" t="str">
        <f ca="1">IFERROR(__xludf.DUMMYFUNCTION("""COMPUTED_VALUE"""),"SNS19")</f>
        <v>SNS19</v>
      </c>
      <c r="O371" s="1"/>
      <c r="P371" s="1"/>
    </row>
    <row r="372" spans="1:16" ht="14.25" customHeight="1" x14ac:dyDescent="0.25">
      <c r="A372" s="1"/>
      <c r="B372" s="1">
        <f ca="1"/>
        <v>360</v>
      </c>
      <c r="C372" s="1">
        <f ca="1">IFERROR(__xludf.DUMMYFUNCTION("""COMPUTED_VALUE"""),2023)</f>
        <v>2023</v>
      </c>
      <c r="D372" s="1">
        <f ca="1">IFERROR(__xludf.DUMMYFUNCTION("""COMPUTED_VALUE"""),13344)</f>
        <v>13344</v>
      </c>
      <c r="E372" s="1" t="str">
        <f ca="1">IFERROR(__xludf.DUMMYFUNCTION("""COMPUTED_VALUE"""),"China Ocean Engineering")</f>
        <v>China Ocean Engineering</v>
      </c>
      <c r="F372" s="1" t="str">
        <f ca="1">IFERROR(__xludf.DUMMYFUNCTION("""COMPUTED_VALUE"""),"2191-8945")</f>
        <v>2191-8945</v>
      </c>
      <c r="G372" s="1" t="str">
        <f ca="1">IFERROR(__xludf.DUMMYFUNCTION("""COMPUTED_VALUE"""),"0890-5487")</f>
        <v>0890-5487</v>
      </c>
      <c r="H372" s="27" t="str">
        <f ca="1">IFERROR(__xludf.DUMMYFUNCTION("""COMPUTED_VALUE"""),"https://link.springer.com/journal/13344")</f>
        <v>https://link.springer.com/journal/13344</v>
      </c>
      <c r="I372" s="1" t="str">
        <f ca="1">IFERROR(__xludf.DUMMYFUNCTION("""COMPUTED_VALUE"""),"Chinese Ocean Engineering Society, co-published with Springer")</f>
        <v>Chinese Ocean Engineering Society, co-published with Springer</v>
      </c>
      <c r="J372" s="1">
        <f ca="1">IFERROR(__xludf.DUMMYFUNCTION("""COMPUTED_VALUE"""),2011)</f>
        <v>2011</v>
      </c>
      <c r="K372" s="1" t="str">
        <f ca="1">IFERROR(__xludf.DUMMYFUNCTION("""COMPUTED_VALUE"""),"Engineering")</f>
        <v>Engineering</v>
      </c>
      <c r="L372" s="1" t="str">
        <f ca="1">IFERROR(__xludf.DUMMYFUNCTION("""COMPUTED_VALUE"""),"〇")</f>
        <v>〇</v>
      </c>
      <c r="M372" s="1"/>
      <c r="N372" s="1" t="str">
        <f ca="1">IFERROR(__xludf.DUMMYFUNCTION("""COMPUTED_VALUE"""),"TO11")</f>
        <v>TO11</v>
      </c>
      <c r="O372" s="1"/>
      <c r="P372" s="1"/>
    </row>
    <row r="373" spans="1:16" ht="14.25" customHeight="1" x14ac:dyDescent="0.25">
      <c r="A373" s="1"/>
      <c r="B373" s="1">
        <f ca="1"/>
        <v>361</v>
      </c>
      <c r="C373" s="1">
        <f ca="1">IFERROR(__xludf.DUMMYFUNCTION("""COMPUTED_VALUE"""),2023)</f>
        <v>2023</v>
      </c>
      <c r="D373" s="1">
        <f ca="1">IFERROR(__xludf.DUMMYFUNCTION("""COMPUTED_VALUE"""),42379)</f>
        <v>42379</v>
      </c>
      <c r="E373" s="1" t="str">
        <f ca="1">IFERROR(__xludf.DUMMYFUNCTION("""COMPUTED_VALUE"""),"China Population and Development Studies")</f>
        <v>China Population and Development Studies</v>
      </c>
      <c r="F373" s="1" t="str">
        <f ca="1">IFERROR(__xludf.DUMMYFUNCTION("""COMPUTED_VALUE"""),"2523-8965")</f>
        <v>2523-8965</v>
      </c>
      <c r="G373" s="1" t="str">
        <f ca="1">IFERROR(__xludf.DUMMYFUNCTION("""COMPUTED_VALUE"""),"2096-448X")</f>
        <v>2096-448X</v>
      </c>
      <c r="H373" s="27" t="str">
        <f ca="1">IFERROR(__xludf.DUMMYFUNCTION("""COMPUTED_VALUE"""),"https://link.springer.com/journal/42379")</f>
        <v>https://link.springer.com/journal/42379</v>
      </c>
      <c r="I373" s="1" t="str">
        <f ca="1">IFERROR(__xludf.DUMMYFUNCTION("""COMPUTED_VALUE"""),"Springer")</f>
        <v>Springer</v>
      </c>
      <c r="J373" s="1">
        <f ca="1">IFERROR(__xludf.DUMMYFUNCTION("""COMPUTED_VALUE"""),2017)</f>
        <v>2017</v>
      </c>
      <c r="K373" s="1" t="str">
        <f ca="1">IFERROR(__xludf.DUMMYFUNCTION("""COMPUTED_VALUE"""),"Social Sciences")</f>
        <v>Social Sciences</v>
      </c>
      <c r="L373" s="1" t="str">
        <f ca="1">IFERROR(__xludf.DUMMYFUNCTION("""COMPUTED_VALUE"""),"〇")</f>
        <v>〇</v>
      </c>
      <c r="M373" s="1"/>
      <c r="N373" s="1" t="str">
        <f ca="1">IFERROR(__xludf.DUMMYFUNCTION("""COMPUTED_VALUE"""),"TO18")</f>
        <v>TO18</v>
      </c>
      <c r="O373" s="1"/>
      <c r="P373" s="1"/>
    </row>
    <row r="374" spans="1:16" ht="14.25" customHeight="1" x14ac:dyDescent="0.25">
      <c r="A374" s="1"/>
      <c r="B374" s="1">
        <f ca="1"/>
        <v>362</v>
      </c>
      <c r="C374" s="1">
        <f ca="1">IFERROR(__xludf.DUMMYFUNCTION("""COMPUTED_VALUE"""),2023)</f>
        <v>2023</v>
      </c>
      <c r="D374" s="1">
        <f ca="1">IFERROR(__xludf.DUMMYFUNCTION("""COMPUTED_VALUE"""),12689)</f>
        <v>12689</v>
      </c>
      <c r="E374" s="1" t="str">
        <f ca="1">IFERROR(__xludf.DUMMYFUNCTION("""COMPUTED_VALUE"""),"China-EU Law Journal")</f>
        <v>China-EU Law Journal</v>
      </c>
      <c r="F374" s="1" t="str">
        <f ca="1">IFERROR(__xludf.DUMMYFUNCTION("""COMPUTED_VALUE"""),"1868-5161")</f>
        <v>1868-5161</v>
      </c>
      <c r="G374" s="1" t="str">
        <f ca="1">IFERROR(__xludf.DUMMYFUNCTION("""COMPUTED_VALUE"""),"1868-5153")</f>
        <v>1868-5153</v>
      </c>
      <c r="H374" s="27" t="str">
        <f ca="1">IFERROR(__xludf.DUMMYFUNCTION("""COMPUTED_VALUE"""),"https://link.springer.com/journal/12689")</f>
        <v>https://link.springer.com/journal/12689</v>
      </c>
      <c r="I374" s="1" t="str">
        <f ca="1">IFERROR(__xludf.DUMMYFUNCTION("""COMPUTED_VALUE"""),"Springer")</f>
        <v>Springer</v>
      </c>
      <c r="J374" s="1">
        <f ca="1">IFERROR(__xludf.DUMMYFUNCTION("""COMPUTED_VALUE"""),2011)</f>
        <v>2011</v>
      </c>
      <c r="K374" s="1" t="str">
        <f ca="1">IFERROR(__xludf.DUMMYFUNCTION("""COMPUTED_VALUE"""),"Law and Criminology")</f>
        <v>Law and Criminology</v>
      </c>
      <c r="L374" s="1" t="str">
        <f ca="1">IFERROR(__xludf.DUMMYFUNCTION("""COMPUTED_VALUE"""),"〇")</f>
        <v>〇</v>
      </c>
      <c r="M374" s="1"/>
      <c r="N374" s="1" t="str">
        <f ca="1">IFERROR(__xludf.DUMMYFUNCTION("""COMPUTED_VALUE"""),"SNS11")</f>
        <v>SNS11</v>
      </c>
      <c r="O374" s="1"/>
      <c r="P374" s="1"/>
    </row>
    <row r="375" spans="1:16" ht="14.25" customHeight="1" x14ac:dyDescent="0.25">
      <c r="A375" s="1"/>
      <c r="B375" s="1">
        <f ca="1"/>
        <v>363</v>
      </c>
      <c r="C375" s="1">
        <f ca="1">IFERROR(__xludf.DUMMYFUNCTION("""COMPUTED_VALUE"""),2023)</f>
        <v>2023</v>
      </c>
      <c r="D375" s="1">
        <f ca="1">IFERROR(__xludf.DUMMYFUNCTION("""COMPUTED_VALUE"""),11401)</f>
        <v>11401</v>
      </c>
      <c r="E375" s="1" t="str">
        <f ca="1">IFERROR(__xludf.DUMMYFUNCTION("""COMPUTED_VALUE"""),"Chinese Annals of Mathematics, Series B")</f>
        <v>Chinese Annals of Mathematics, Series B</v>
      </c>
      <c r="F375" s="1" t="str">
        <f ca="1">IFERROR(__xludf.DUMMYFUNCTION("""COMPUTED_VALUE"""),"1860-6261")</f>
        <v>1860-6261</v>
      </c>
      <c r="G375" s="1" t="str">
        <f ca="1">IFERROR(__xludf.DUMMYFUNCTION("""COMPUTED_VALUE"""),"0252-9599")</f>
        <v>0252-9599</v>
      </c>
      <c r="H375" s="27" t="str">
        <f ca="1">IFERROR(__xludf.DUMMYFUNCTION("""COMPUTED_VALUE"""),"https://link.springer.com/journal/11401")</f>
        <v>https://link.springer.com/journal/11401</v>
      </c>
      <c r="I375" s="1" t="str">
        <f ca="1">IFERROR(__xludf.DUMMYFUNCTION("""COMPUTED_VALUE"""),"Springer")</f>
        <v>Springer</v>
      </c>
      <c r="J375" s="1">
        <f ca="1">IFERROR(__xludf.DUMMYFUNCTION("""COMPUTED_VALUE"""),2000)</f>
        <v>2000</v>
      </c>
      <c r="K375" s="1" t="str">
        <f ca="1">IFERROR(__xludf.DUMMYFUNCTION("""COMPUTED_VALUE"""),"Mathematics and Statistics")</f>
        <v>Mathematics and Statistics</v>
      </c>
      <c r="L375" s="1" t="str">
        <f ca="1">IFERROR(__xludf.DUMMYFUNCTION("""COMPUTED_VALUE"""),"〇")</f>
        <v>〇</v>
      </c>
      <c r="M375" s="1" t="str">
        <f ca="1">IFERROR(__xludf.DUMMYFUNCTION("""COMPUTED_VALUE"""),"〇")</f>
        <v>〇</v>
      </c>
      <c r="N375" s="1"/>
      <c r="O375" s="1"/>
      <c r="P375" s="1"/>
    </row>
    <row r="376" spans="1:16" ht="14.25" customHeight="1" x14ac:dyDescent="0.25">
      <c r="A376" s="1"/>
      <c r="B376" s="1">
        <f ca="1"/>
        <v>364</v>
      </c>
      <c r="C376" s="1">
        <f ca="1">IFERROR(__xludf.DUMMYFUNCTION("""COMPUTED_VALUE"""),2023)</f>
        <v>2023</v>
      </c>
      <c r="D376" s="1">
        <f ca="1">IFERROR(__xludf.DUMMYFUNCTION("""COMPUTED_VALUE"""),11769)</f>
        <v>11769</v>
      </c>
      <c r="E376" s="1" t="str">
        <f ca="1">IFERROR(__xludf.DUMMYFUNCTION("""COMPUTED_VALUE"""),"Chinese Geographical Science")</f>
        <v>Chinese Geographical Science</v>
      </c>
      <c r="F376" s="1" t="str">
        <f ca="1">IFERROR(__xludf.DUMMYFUNCTION("""COMPUTED_VALUE"""),"1993-064X")</f>
        <v>1993-064X</v>
      </c>
      <c r="G376" s="1" t="str">
        <f ca="1">IFERROR(__xludf.DUMMYFUNCTION("""COMPUTED_VALUE"""),"1002-0063")</f>
        <v>1002-0063</v>
      </c>
      <c r="H376" s="27" t="str">
        <f ca="1">IFERROR(__xludf.DUMMYFUNCTION("""COMPUTED_VALUE"""),"https://link.springer.com/journal/11769")</f>
        <v>https://link.springer.com/journal/11769</v>
      </c>
      <c r="I376" s="1" t="str">
        <f ca="1">IFERROR(__xludf.DUMMYFUNCTION("""COMPUTED_VALUE"""),"Science Press, co-published with Springer")</f>
        <v>Science Press, co-published with Springer</v>
      </c>
      <c r="J376" s="1">
        <f ca="1">IFERROR(__xludf.DUMMYFUNCTION("""COMPUTED_VALUE"""),2000)</f>
        <v>2000</v>
      </c>
      <c r="K376" s="1" t="str">
        <f ca="1">IFERROR(__xludf.DUMMYFUNCTION("""COMPUTED_VALUE"""),"Earth and Environmental Science")</f>
        <v>Earth and Environmental Science</v>
      </c>
      <c r="L376" s="1" t="str">
        <f ca="1">IFERROR(__xludf.DUMMYFUNCTION("""COMPUTED_VALUE"""),"〇")</f>
        <v>〇</v>
      </c>
      <c r="M376" s="1" t="str">
        <f ca="1">IFERROR(__xludf.DUMMYFUNCTION("""COMPUTED_VALUE"""),"〇")</f>
        <v>〇</v>
      </c>
      <c r="N376" s="1" t="str">
        <f ca="1">IFERROR(__xludf.DUMMYFUNCTION("""COMPUTED_VALUE"""),"TO7")</f>
        <v>TO7</v>
      </c>
      <c r="O376" s="1"/>
      <c r="P376" s="1"/>
    </row>
    <row r="377" spans="1:16" ht="14.25" customHeight="1" x14ac:dyDescent="0.25">
      <c r="A377" s="1"/>
      <c r="B377" s="1">
        <f ca="1"/>
        <v>365</v>
      </c>
      <c r="C377" s="1">
        <f ca="1">IFERROR(__xludf.DUMMYFUNCTION("""COMPUTED_VALUE"""),2023)</f>
        <v>2023</v>
      </c>
      <c r="D377" s="1">
        <f ca="1">IFERROR(__xludf.DUMMYFUNCTION("""COMPUTED_VALUE"""),42058)</f>
        <v>42058</v>
      </c>
      <c r="E377" s="1" t="str">
        <f ca="1">IFERROR(__xludf.DUMMYFUNCTION("""COMPUTED_VALUE"""),"Chinese Journal of Academic Radiology")</f>
        <v>Chinese Journal of Academic Radiology</v>
      </c>
      <c r="F377" s="1" t="str">
        <f ca="1">IFERROR(__xludf.DUMMYFUNCTION("""COMPUTED_VALUE"""),"2520-8993")</f>
        <v>2520-8993</v>
      </c>
      <c r="G377" s="1" t="str">
        <f ca="1">IFERROR(__xludf.DUMMYFUNCTION("""COMPUTED_VALUE"""),"2520-8985")</f>
        <v>2520-8985</v>
      </c>
      <c r="H377" s="27" t="str">
        <f ca="1">IFERROR(__xludf.DUMMYFUNCTION("""COMPUTED_VALUE"""),"https://link.springer.com/journal/42058")</f>
        <v>https://link.springer.com/journal/42058</v>
      </c>
      <c r="I377" s="1" t="str">
        <f ca="1">IFERROR(__xludf.DUMMYFUNCTION("""COMPUTED_VALUE"""),"Springer")</f>
        <v>Springer</v>
      </c>
      <c r="J377" s="1">
        <f ca="1">IFERROR(__xludf.DUMMYFUNCTION("""COMPUTED_VALUE"""),2019)</f>
        <v>2019</v>
      </c>
      <c r="K377" s="1" t="str">
        <f ca="1">IFERROR(__xludf.DUMMYFUNCTION("""COMPUTED_VALUE"""),"Medicine")</f>
        <v>Medicine</v>
      </c>
      <c r="L377" s="1" t="str">
        <f ca="1">IFERROR(__xludf.DUMMYFUNCTION("""COMPUTED_VALUE"""),"〇")</f>
        <v>〇</v>
      </c>
      <c r="M377" s="1"/>
      <c r="N377" s="1" t="str">
        <f ca="1">IFERROR(__xludf.DUMMYFUNCTION("""COMPUTED_VALUE"""),"SNS18")</f>
        <v>SNS18</v>
      </c>
      <c r="O377" s="1"/>
      <c r="P377" s="1"/>
    </row>
    <row r="378" spans="1:16" ht="14.25" customHeight="1" x14ac:dyDescent="0.25">
      <c r="A378" s="1"/>
      <c r="B378" s="1">
        <f ca="1"/>
        <v>366</v>
      </c>
      <c r="C378" s="1">
        <f ca="1">IFERROR(__xludf.DUMMYFUNCTION("""COMPUTED_VALUE"""),2023)</f>
        <v>2023</v>
      </c>
      <c r="D378" s="1">
        <f ca="1">IFERROR(__xludf.DUMMYFUNCTION("""COMPUTED_VALUE"""),11655)</f>
        <v>11655</v>
      </c>
      <c r="E378" s="1" t="str">
        <f ca="1">IFERROR(__xludf.DUMMYFUNCTION("""COMPUTED_VALUE"""),"Chinese Journal of Integrative Medicine")</f>
        <v>Chinese Journal of Integrative Medicine</v>
      </c>
      <c r="F378" s="1" t="str">
        <f ca="1">IFERROR(__xludf.DUMMYFUNCTION("""COMPUTED_VALUE"""),"1993-0402")</f>
        <v>1993-0402</v>
      </c>
      <c r="G378" s="1" t="str">
        <f ca="1">IFERROR(__xludf.DUMMYFUNCTION("""COMPUTED_VALUE"""),"1672-0415")</f>
        <v>1672-0415</v>
      </c>
      <c r="H378" s="27" t="str">
        <f ca="1">IFERROR(__xludf.DUMMYFUNCTION("""COMPUTED_VALUE"""),"https://link.springer.com/journal/11655")</f>
        <v>https://link.springer.com/journal/11655</v>
      </c>
      <c r="I378" s="1" t="str">
        <f ca="1">IFERROR(__xludf.DUMMYFUNCTION("""COMPUTED_VALUE"""),"Springer")</f>
        <v>Springer</v>
      </c>
      <c r="J378" s="1">
        <f ca="1">IFERROR(__xludf.DUMMYFUNCTION("""COMPUTED_VALUE"""),2000)</f>
        <v>2000</v>
      </c>
      <c r="K378" s="1" t="str">
        <f ca="1">IFERROR(__xludf.DUMMYFUNCTION("""COMPUTED_VALUE"""),"Medicine")</f>
        <v>Medicine</v>
      </c>
      <c r="L378" s="1" t="str">
        <f ca="1">IFERROR(__xludf.DUMMYFUNCTION("""COMPUTED_VALUE"""),"〇")</f>
        <v>〇</v>
      </c>
      <c r="M378" s="1" t="str">
        <f ca="1">IFERROR(__xludf.DUMMYFUNCTION("""COMPUTED_VALUE"""),"〇")</f>
        <v>〇</v>
      </c>
      <c r="N378" s="1" t="str">
        <f ca="1">IFERROR(__xludf.DUMMYFUNCTION("""COMPUTED_VALUE"""),"TO7")</f>
        <v>TO7</v>
      </c>
      <c r="O378" s="1"/>
      <c r="P378" s="1"/>
    </row>
    <row r="379" spans="1:16" ht="14.25" customHeight="1" x14ac:dyDescent="0.25">
      <c r="A379" s="1"/>
      <c r="B379" s="1">
        <f ca="1"/>
        <v>367</v>
      </c>
      <c r="C379" s="1">
        <f ca="1">IFERROR(__xludf.DUMMYFUNCTION("""COMPUTED_VALUE"""),2023)</f>
        <v>2023</v>
      </c>
      <c r="D379" s="1">
        <f ca="1">IFERROR(__xludf.DUMMYFUNCTION("""COMPUTED_VALUE"""),10118)</f>
        <v>10118</v>
      </c>
      <c r="E379" s="1" t="str">
        <f ca="1">IFERROR(__xludf.DUMMYFUNCTION("""COMPUTED_VALUE"""),"Chinese Journal of Polymer Science")</f>
        <v>Chinese Journal of Polymer Science</v>
      </c>
      <c r="F379" s="1" t="str">
        <f ca="1">IFERROR(__xludf.DUMMYFUNCTION("""COMPUTED_VALUE"""),"1439-6203")</f>
        <v>1439-6203</v>
      </c>
      <c r="G379" s="1" t="str">
        <f ca="1">IFERROR(__xludf.DUMMYFUNCTION("""COMPUTED_VALUE"""),"0256-7679")</f>
        <v>0256-7679</v>
      </c>
      <c r="H379" s="27" t="str">
        <f ca="1">IFERROR(__xludf.DUMMYFUNCTION("""COMPUTED_VALUE"""),"https://link.springer.com/journal/10118")</f>
        <v>https://link.springer.com/journal/10118</v>
      </c>
      <c r="I379" s="1" t="str">
        <f ca="1">IFERROR(__xludf.DUMMYFUNCTION("""COMPUTED_VALUE"""),"Chinese Chemical Society and Institute of Chemistry, CAS, co-published with Springer")</f>
        <v>Chinese Chemical Society and Institute of Chemistry, CAS, co-published with Springer</v>
      </c>
      <c r="J379" s="1">
        <f ca="1">IFERROR(__xludf.DUMMYFUNCTION("""COMPUTED_VALUE"""),2010)</f>
        <v>2010</v>
      </c>
      <c r="K379" s="1" t="str">
        <f ca="1">IFERROR(__xludf.DUMMYFUNCTION("""COMPUTED_VALUE"""),"Chemistry and Materials Science")</f>
        <v>Chemistry and Materials Science</v>
      </c>
      <c r="L379" s="1" t="str">
        <f ca="1">IFERROR(__xludf.DUMMYFUNCTION("""COMPUTED_VALUE"""),"〇")</f>
        <v>〇</v>
      </c>
      <c r="M379" s="1"/>
      <c r="N379" s="1" t="str">
        <f ca="1">IFERROR(__xludf.DUMMYFUNCTION("""COMPUTED_VALUE"""),"TO10")</f>
        <v>TO10</v>
      </c>
      <c r="O379" s="1"/>
      <c r="P379" s="1"/>
    </row>
    <row r="380" spans="1:16" ht="14.25" customHeight="1" x14ac:dyDescent="0.25">
      <c r="A380" s="1"/>
      <c r="B380" s="1">
        <f ca="1"/>
        <v>368</v>
      </c>
      <c r="C380" s="1">
        <f ca="1">IFERROR(__xludf.DUMMYFUNCTION("""COMPUTED_VALUE"""),2023)</f>
        <v>2023</v>
      </c>
      <c r="D380" s="1">
        <f ca="1">IFERROR(__xludf.DUMMYFUNCTION("""COMPUTED_VALUE"""),41111)</f>
        <v>41111</v>
      </c>
      <c r="E380" s="1" t="str">
        <f ca="1">IFERROR(__xludf.DUMMYFUNCTION("""COMPUTED_VALUE"""),"Chinese Political Science Review")</f>
        <v>Chinese Political Science Review</v>
      </c>
      <c r="F380" s="1" t="str">
        <f ca="1">IFERROR(__xludf.DUMMYFUNCTION("""COMPUTED_VALUE"""),"2365-4252")</f>
        <v>2365-4252</v>
      </c>
      <c r="G380" s="1" t="str">
        <f ca="1">IFERROR(__xludf.DUMMYFUNCTION("""COMPUTED_VALUE"""),"2365-4244")</f>
        <v>2365-4244</v>
      </c>
      <c r="H380" s="27" t="str">
        <f ca="1">IFERROR(__xludf.DUMMYFUNCTION("""COMPUTED_VALUE"""),"https://link.springer.com/journal/41111")</f>
        <v>https://link.springer.com/journal/41111</v>
      </c>
      <c r="I380" s="1" t="str">
        <f ca="1">IFERROR(__xludf.DUMMYFUNCTION("""COMPUTED_VALUE"""),"Springer")</f>
        <v>Springer</v>
      </c>
      <c r="J380" s="1">
        <f ca="1">IFERROR(__xludf.DUMMYFUNCTION("""COMPUTED_VALUE"""),2016)</f>
        <v>2016</v>
      </c>
      <c r="K380" s="1" t="str">
        <f ca="1">IFERROR(__xludf.DUMMYFUNCTION("""COMPUTED_VALUE"""),"Political Science and International Studies")</f>
        <v>Political Science and International Studies</v>
      </c>
      <c r="L380" s="1" t="str">
        <f ca="1">IFERROR(__xludf.DUMMYFUNCTION("""COMPUTED_VALUE"""),"〇")</f>
        <v>〇</v>
      </c>
      <c r="M380" s="1"/>
      <c r="N380" s="1" t="str">
        <f ca="1">IFERROR(__xludf.DUMMYFUNCTION("""COMPUTED_VALUE"""),"SNS16")</f>
        <v>SNS16</v>
      </c>
      <c r="O380" s="1"/>
      <c r="P380" s="1"/>
    </row>
    <row r="381" spans="1:16" ht="14.25" customHeight="1" x14ac:dyDescent="0.25">
      <c r="A381" s="1"/>
      <c r="B381" s="1">
        <f ca="1"/>
        <v>369</v>
      </c>
      <c r="C381" s="1">
        <f ca="1">IFERROR(__xludf.DUMMYFUNCTION("""COMPUTED_VALUE"""),2023)</f>
        <v>2023</v>
      </c>
      <c r="D381" s="1">
        <f ca="1">IFERROR(__xludf.DUMMYFUNCTION("""COMPUTED_VALUE"""),52)</f>
        <v>52</v>
      </c>
      <c r="E381" s="1" t="str">
        <f ca="1">IFERROR(__xludf.DUMMYFUNCTION("""COMPUTED_VALUE"""),"Chinesische Medizin / Chinese Medicine")</f>
        <v>Chinesische Medizin / Chinese Medicine</v>
      </c>
      <c r="F381" s="1" t="str">
        <f ca="1">IFERROR(__xludf.DUMMYFUNCTION("""COMPUTED_VALUE"""),"2196-5668")</f>
        <v>2196-5668</v>
      </c>
      <c r="G381" s="1"/>
      <c r="H381" s="27" t="str">
        <f ca="1">IFERROR(__xludf.DUMMYFUNCTION("""COMPUTED_VALUE"""),"https://link.springer.com/journal/52")</f>
        <v>https://link.springer.com/journal/52</v>
      </c>
      <c r="I381" s="1" t="str">
        <f ca="1">IFERROR(__xludf.DUMMYFUNCTION("""COMPUTED_VALUE"""),"SpringerMedizin")</f>
        <v>SpringerMedizin</v>
      </c>
      <c r="J381" s="1">
        <f ca="1">IFERROR(__xludf.DUMMYFUNCTION("""COMPUTED_VALUE"""),2009)</f>
        <v>2009</v>
      </c>
      <c r="K381" s="1" t="str">
        <f ca="1">IFERROR(__xludf.DUMMYFUNCTION("""COMPUTED_VALUE"""),"Medicine")</f>
        <v>Medicine</v>
      </c>
      <c r="L381" s="1"/>
      <c r="M381" s="1"/>
      <c r="N381" s="1"/>
      <c r="O381" s="1"/>
      <c r="P381" s="1"/>
    </row>
    <row r="382" spans="1:16" ht="14.25" customHeight="1" x14ac:dyDescent="0.25">
      <c r="A382" s="1"/>
      <c r="B382" s="1">
        <f ca="1"/>
        <v>370</v>
      </c>
      <c r="C382" s="1">
        <f ca="1">IFERROR(__xludf.DUMMYFUNCTION("""COMPUTED_VALUE"""),2023)</f>
        <v>2023</v>
      </c>
      <c r="D382" s="1">
        <f ca="1">IFERROR(__xludf.DUMMYFUNCTION("""COMPUTED_VALUE"""),10337)</f>
        <v>10337</v>
      </c>
      <c r="E382" s="1" t="str">
        <f ca="1">IFERROR(__xludf.DUMMYFUNCTION("""COMPUTED_VALUE"""),"Chromatographia")</f>
        <v>Chromatographia</v>
      </c>
      <c r="F382" s="1" t="str">
        <f ca="1">IFERROR(__xludf.DUMMYFUNCTION("""COMPUTED_VALUE"""),"1612-1112")</f>
        <v>1612-1112</v>
      </c>
      <c r="G382" s="1" t="str">
        <f ca="1">IFERROR(__xludf.DUMMYFUNCTION("""COMPUTED_VALUE"""),"0009-5893")</f>
        <v>0009-5893</v>
      </c>
      <c r="H382" s="27" t="str">
        <f ca="1">IFERROR(__xludf.DUMMYFUNCTION("""COMPUTED_VALUE"""),"https://link.springer.com/journal/10337")</f>
        <v>https://link.springer.com/journal/10337</v>
      </c>
      <c r="I382" s="1" t="str">
        <f ca="1">IFERROR(__xludf.DUMMYFUNCTION("""COMPUTED_VALUE"""),"Springer")</f>
        <v>Springer</v>
      </c>
      <c r="J382" s="1">
        <f ca="1">IFERROR(__xludf.DUMMYFUNCTION("""COMPUTED_VALUE"""),2000)</f>
        <v>2000</v>
      </c>
      <c r="K382" s="1" t="str">
        <f ca="1">IFERROR(__xludf.DUMMYFUNCTION("""COMPUTED_VALUE"""),"Chemistry and Materials Science")</f>
        <v>Chemistry and Materials Science</v>
      </c>
      <c r="L382" s="1" t="str">
        <f ca="1">IFERROR(__xludf.DUMMYFUNCTION("""COMPUTED_VALUE"""),"〇")</f>
        <v>〇</v>
      </c>
      <c r="M382" s="1" t="str">
        <f ca="1">IFERROR(__xludf.DUMMYFUNCTION("""COMPUTED_VALUE"""),"〇")</f>
        <v>〇</v>
      </c>
      <c r="N382" s="1"/>
      <c r="O382" s="1"/>
      <c r="P382" s="1"/>
    </row>
    <row r="383" spans="1:16" ht="14.25" customHeight="1" x14ac:dyDescent="0.25">
      <c r="A383" s="1"/>
      <c r="B383" s="1">
        <f ca="1"/>
        <v>371</v>
      </c>
      <c r="C383" s="1">
        <f ca="1">IFERROR(__xludf.DUMMYFUNCTION("""COMPUTED_VALUE"""),2023)</f>
        <v>2023</v>
      </c>
      <c r="D383" s="1">
        <f ca="1">IFERROR(__xludf.DUMMYFUNCTION("""COMPUTED_VALUE"""),412)</f>
        <v>412</v>
      </c>
      <c r="E383" s="1" t="str">
        <f ca="1">IFERROR(__xludf.DUMMYFUNCTION("""COMPUTED_VALUE"""),"Chromosoma")</f>
        <v>Chromosoma</v>
      </c>
      <c r="F383" s="1" t="str">
        <f ca="1">IFERROR(__xludf.DUMMYFUNCTION("""COMPUTED_VALUE"""),"1432-0886")</f>
        <v>1432-0886</v>
      </c>
      <c r="G383" s="1" t="str">
        <f ca="1">IFERROR(__xludf.DUMMYFUNCTION("""COMPUTED_VALUE"""),"0009-5915")</f>
        <v>0009-5915</v>
      </c>
      <c r="H383" s="27" t="str">
        <f ca="1">IFERROR(__xludf.DUMMYFUNCTION("""COMPUTED_VALUE"""),"https://link.springer.com/journal/412")</f>
        <v>https://link.springer.com/journal/412</v>
      </c>
      <c r="I383" s="1" t="str">
        <f ca="1">IFERROR(__xludf.DUMMYFUNCTION("""COMPUTED_VALUE"""),"Springer")</f>
        <v>Springer</v>
      </c>
      <c r="J383" s="1">
        <f ca="1">IFERROR(__xludf.DUMMYFUNCTION("""COMPUTED_VALUE"""),2000)</f>
        <v>2000</v>
      </c>
      <c r="K383" s="1" t="str">
        <f ca="1">IFERROR(__xludf.DUMMYFUNCTION("""COMPUTED_VALUE"""),"Biomedical and Life Sciences")</f>
        <v>Biomedical and Life Sciences</v>
      </c>
      <c r="L383" s="1" t="str">
        <f ca="1">IFERROR(__xludf.DUMMYFUNCTION("""COMPUTED_VALUE"""),"〇")</f>
        <v>〇</v>
      </c>
      <c r="M383" s="1" t="str">
        <f ca="1">IFERROR(__xludf.DUMMYFUNCTION("""COMPUTED_VALUE"""),"〇")</f>
        <v>〇</v>
      </c>
      <c r="N383" s="1"/>
      <c r="O383" s="1"/>
      <c r="P383" s="1"/>
    </row>
    <row r="384" spans="1:16" ht="14.25" customHeight="1" x14ac:dyDescent="0.25">
      <c r="A384" s="1"/>
      <c r="B384" s="1">
        <f ca="1"/>
        <v>372</v>
      </c>
      <c r="C384" s="1">
        <f ca="1">IFERROR(__xludf.DUMMYFUNCTION("""COMPUTED_VALUE"""),2023)</f>
        <v>2023</v>
      </c>
      <c r="D384" s="1">
        <f ca="1">IFERROR(__xludf.DUMMYFUNCTION("""COMPUTED_VALUE"""),10577)</f>
        <v>10577</v>
      </c>
      <c r="E384" s="1" t="str">
        <f ca="1">IFERROR(__xludf.DUMMYFUNCTION("""COMPUTED_VALUE"""),"Chromosome Research")</f>
        <v>Chromosome Research</v>
      </c>
      <c r="F384" s="1" t="str">
        <f ca="1">IFERROR(__xludf.DUMMYFUNCTION("""COMPUTED_VALUE"""),"1573-6849")</f>
        <v>1573-6849</v>
      </c>
      <c r="G384" s="1"/>
      <c r="H384" s="27" t="str">
        <f ca="1">IFERROR(__xludf.DUMMYFUNCTION("""COMPUTED_VALUE"""),"https://link.springer.com/journal/10577")</f>
        <v>https://link.springer.com/journal/10577</v>
      </c>
      <c r="I384" s="1" t="str">
        <f ca="1">IFERROR(__xludf.DUMMYFUNCTION("""COMPUTED_VALUE"""),"Springer")</f>
        <v>Springer</v>
      </c>
      <c r="J384" s="1">
        <f ca="1">IFERROR(__xludf.DUMMYFUNCTION("""COMPUTED_VALUE"""),2000)</f>
        <v>2000</v>
      </c>
      <c r="K384" s="1" t="str">
        <f ca="1">IFERROR(__xludf.DUMMYFUNCTION("""COMPUTED_VALUE"""),"Biomedical and Life Sciences")</f>
        <v>Biomedical and Life Sciences</v>
      </c>
      <c r="L384" s="1"/>
      <c r="M384" s="1" t="str">
        <f ca="1">IFERROR(__xludf.DUMMYFUNCTION("""COMPUTED_VALUE"""),"〇")</f>
        <v>〇</v>
      </c>
      <c r="N384" s="1"/>
      <c r="O384" s="1"/>
      <c r="P384" s="1"/>
    </row>
    <row r="385" spans="1:16" ht="14.25" customHeight="1" x14ac:dyDescent="0.25">
      <c r="A385" s="1"/>
      <c r="B385" s="1">
        <f ca="1"/>
        <v>373</v>
      </c>
      <c r="C385" s="1">
        <f ca="1">IFERROR(__xludf.DUMMYFUNCTION("""COMPUTED_VALUE"""),2023)</f>
        <v>2023</v>
      </c>
      <c r="D385" s="1">
        <f ca="1">IFERROR(__xludf.DUMMYFUNCTION("""COMPUTED_VALUE"""),34)</f>
        <v>34</v>
      </c>
      <c r="E385" s="1" t="str">
        <f ca="1">IFERROR(__xludf.DUMMYFUNCTION("""COMPUTED_VALUE"""),"Circuits, Systems, and Signal Processing")</f>
        <v>Circuits, Systems, and Signal Processing</v>
      </c>
      <c r="F385" s="1" t="str">
        <f ca="1">IFERROR(__xludf.DUMMYFUNCTION("""COMPUTED_VALUE"""),"1531-5878")</f>
        <v>1531-5878</v>
      </c>
      <c r="G385" s="1" t="str">
        <f ca="1">IFERROR(__xludf.DUMMYFUNCTION("""COMPUTED_VALUE"""),"0278-081X")</f>
        <v>0278-081X</v>
      </c>
      <c r="H385" s="27" t="str">
        <f ca="1">IFERROR(__xludf.DUMMYFUNCTION("""COMPUTED_VALUE"""),"https://link.springer.com/journal/34")</f>
        <v>https://link.springer.com/journal/34</v>
      </c>
      <c r="I385" s="1" t="str">
        <f ca="1">IFERROR(__xludf.DUMMYFUNCTION("""COMPUTED_VALUE"""),"Birkhäuser")</f>
        <v>Birkhäuser</v>
      </c>
      <c r="J385" s="1">
        <f ca="1">IFERROR(__xludf.DUMMYFUNCTION("""COMPUTED_VALUE"""),2000)</f>
        <v>2000</v>
      </c>
      <c r="K385" s="1" t="str">
        <f ca="1">IFERROR(__xludf.DUMMYFUNCTION("""COMPUTED_VALUE"""),"Engineering")</f>
        <v>Engineering</v>
      </c>
      <c r="L385" s="1" t="str">
        <f ca="1">IFERROR(__xludf.DUMMYFUNCTION("""COMPUTED_VALUE"""),"〇")</f>
        <v>〇</v>
      </c>
      <c r="M385" s="1" t="str">
        <f ca="1">IFERROR(__xludf.DUMMYFUNCTION("""COMPUTED_VALUE"""),"〇")</f>
        <v>〇</v>
      </c>
      <c r="N385" s="1"/>
      <c r="O385" s="1"/>
      <c r="P385" s="1"/>
    </row>
    <row r="386" spans="1:16" ht="14.25" customHeight="1" x14ac:dyDescent="0.25">
      <c r="A386" s="1"/>
      <c r="B386" s="1">
        <f ca="1"/>
        <v>374</v>
      </c>
      <c r="C386" s="1">
        <f ca="1">IFERROR(__xludf.DUMMYFUNCTION("""COMPUTED_VALUE"""),2023)</f>
        <v>2023</v>
      </c>
      <c r="D386" s="1">
        <f ca="1">IFERROR(__xludf.DUMMYFUNCTION("""COMPUTED_VALUE"""),43615)</f>
        <v>43615</v>
      </c>
      <c r="E386" s="1" t="str">
        <f ca="1">IFERROR(__xludf.DUMMYFUNCTION("""COMPUTED_VALUE"""),"Circular Economy and Sustainability")</f>
        <v>Circular Economy and Sustainability</v>
      </c>
      <c r="F386" s="1" t="str">
        <f ca="1">IFERROR(__xludf.DUMMYFUNCTION("""COMPUTED_VALUE"""),"2730-5988")</f>
        <v>2730-5988</v>
      </c>
      <c r="G386" s="1" t="str">
        <f ca="1">IFERROR(__xludf.DUMMYFUNCTION("""COMPUTED_VALUE"""),"2730-597X")</f>
        <v>2730-597X</v>
      </c>
      <c r="H386" s="27" t="str">
        <f ca="1">IFERROR(__xludf.DUMMYFUNCTION("""COMPUTED_VALUE"""),"https://link.springer.com/journal/43615")</f>
        <v>https://link.springer.com/journal/43615</v>
      </c>
      <c r="I386" s="1" t="str">
        <f ca="1">IFERROR(__xludf.DUMMYFUNCTION("""COMPUTED_VALUE"""),"Springer")</f>
        <v>Springer</v>
      </c>
      <c r="J386" s="1">
        <f ca="1">IFERROR(__xludf.DUMMYFUNCTION("""COMPUTED_VALUE"""),2021)</f>
        <v>2021</v>
      </c>
      <c r="K386" s="1" t="str">
        <f ca="1">IFERROR(__xludf.DUMMYFUNCTION("""COMPUTED_VALUE"""),"Earth and Environmental Science")</f>
        <v>Earth and Environmental Science</v>
      </c>
      <c r="L386" s="1" t="str">
        <f ca="1">IFERROR(__xludf.DUMMYFUNCTION("""COMPUTED_VALUE"""),"〇")</f>
        <v>〇</v>
      </c>
      <c r="M386" s="1"/>
      <c r="N386" s="1" t="str">
        <f ca="1">IFERROR(__xludf.DUMMYFUNCTION("""COMPUTED_VALUE"""),"SNS21")</f>
        <v>SNS21</v>
      </c>
      <c r="O386" s="1"/>
      <c r="P386" s="1"/>
    </row>
    <row r="387" spans="1:16" ht="14.25" customHeight="1" x14ac:dyDescent="0.25">
      <c r="A387" s="1"/>
      <c r="B387" s="1">
        <f ca="1"/>
        <v>375</v>
      </c>
      <c r="C387" s="1">
        <f ca="1">IFERROR(__xludf.DUMMYFUNCTION("""COMPUTED_VALUE"""),2023)</f>
        <v>2023</v>
      </c>
      <c r="D387" s="1">
        <f ca="1">IFERROR(__xludf.DUMMYFUNCTION("""COMPUTED_VALUE"""),42860)</f>
        <v>42860</v>
      </c>
      <c r="E387" s="1" t="str">
        <f ca="1">IFERROR(__xludf.DUMMYFUNCTION("""COMPUTED_VALUE"""),"Clays and Clay Minerals")</f>
        <v>Clays and Clay Minerals</v>
      </c>
      <c r="F387" s="1" t="str">
        <f ca="1">IFERROR(__xludf.DUMMYFUNCTION("""COMPUTED_VALUE"""),"1552-8367")</f>
        <v>1552-8367</v>
      </c>
      <c r="G387" s="1" t="str">
        <f ca="1">IFERROR(__xludf.DUMMYFUNCTION("""COMPUTED_VALUE"""),"0009-8604")</f>
        <v>0009-8604</v>
      </c>
      <c r="H387" s="27" t="str">
        <f ca="1">IFERROR(__xludf.DUMMYFUNCTION("""COMPUTED_VALUE"""),"https://link.springer.com/journal/42860")</f>
        <v>https://link.springer.com/journal/42860</v>
      </c>
      <c r="I387" s="1" t="str">
        <f ca="1">IFERROR(__xludf.DUMMYFUNCTION("""COMPUTED_VALUE"""),"Springer")</f>
        <v>Springer</v>
      </c>
      <c r="J387" s="1">
        <f ca="1">IFERROR(__xludf.DUMMYFUNCTION("""COMPUTED_VALUE"""),2000)</f>
        <v>2000</v>
      </c>
      <c r="K387" s="1" t="str">
        <f ca="1">IFERROR(__xludf.DUMMYFUNCTION("""COMPUTED_VALUE"""),"Earth and Environmental Science")</f>
        <v>Earth and Environmental Science</v>
      </c>
      <c r="L387" s="1" t="str">
        <f ca="1">IFERROR(__xludf.DUMMYFUNCTION("""COMPUTED_VALUE"""),"〇")</f>
        <v>〇</v>
      </c>
      <c r="M387" s="1"/>
      <c r="N387" s="1" t="str">
        <f ca="1">IFERROR(__xludf.DUMMYFUNCTION("""COMPUTED_VALUE"""),"TO19")</f>
        <v>TO19</v>
      </c>
      <c r="O387" s="1"/>
      <c r="P387" s="1"/>
    </row>
    <row r="388" spans="1:16" ht="14.25" customHeight="1" x14ac:dyDescent="0.25">
      <c r="A388" s="1"/>
      <c r="B388" s="1">
        <f ca="1"/>
        <v>376</v>
      </c>
      <c r="C388" s="1">
        <f ca="1">IFERROR(__xludf.DUMMYFUNCTION("""COMPUTED_VALUE"""),2023)</f>
        <v>2023</v>
      </c>
      <c r="D388" s="1">
        <f ca="1">IFERROR(__xludf.DUMMYFUNCTION("""COMPUTED_VALUE"""),10098)</f>
        <v>10098</v>
      </c>
      <c r="E388" s="1" t="str">
        <f ca="1">IFERROR(__xludf.DUMMYFUNCTION("""COMPUTED_VALUE"""),"Clean Technologies and Environmental Policy")</f>
        <v>Clean Technologies and Environmental Policy</v>
      </c>
      <c r="F388" s="1" t="str">
        <f ca="1">IFERROR(__xludf.DUMMYFUNCTION("""COMPUTED_VALUE"""),"1618-9558")</f>
        <v>1618-9558</v>
      </c>
      <c r="G388" s="1" t="str">
        <f ca="1">IFERROR(__xludf.DUMMYFUNCTION("""COMPUTED_VALUE"""),"1618-954X")</f>
        <v>1618-954X</v>
      </c>
      <c r="H388" s="27" t="str">
        <f ca="1">IFERROR(__xludf.DUMMYFUNCTION("""COMPUTED_VALUE"""),"https://link.springer.com/journal/10098")</f>
        <v>https://link.springer.com/journal/10098</v>
      </c>
      <c r="I388" s="1" t="str">
        <f ca="1">IFERROR(__xludf.DUMMYFUNCTION("""COMPUTED_VALUE"""),"Springer")</f>
        <v>Springer</v>
      </c>
      <c r="J388" s="1">
        <f ca="1">IFERROR(__xludf.DUMMYFUNCTION("""COMPUTED_VALUE"""),2000)</f>
        <v>2000</v>
      </c>
      <c r="K388" s="1" t="str">
        <f ca="1">IFERROR(__xludf.DUMMYFUNCTION("""COMPUTED_VALUE"""),"Earth and Environmental Science")</f>
        <v>Earth and Environmental Science</v>
      </c>
      <c r="L388" s="1" t="str">
        <f ca="1">IFERROR(__xludf.DUMMYFUNCTION("""COMPUTED_VALUE"""),"〇")</f>
        <v>〇</v>
      </c>
      <c r="M388" s="1" t="str">
        <f ca="1">IFERROR(__xludf.DUMMYFUNCTION("""COMPUTED_VALUE"""),"〇")</f>
        <v>〇</v>
      </c>
      <c r="N388" s="1"/>
      <c r="O388" s="1"/>
      <c r="P388" s="1"/>
    </row>
    <row r="389" spans="1:16" ht="14.25" customHeight="1" x14ac:dyDescent="0.25">
      <c r="A389" s="1"/>
      <c r="B389" s="1">
        <f ca="1"/>
        <v>377</v>
      </c>
      <c r="C389" s="1">
        <f ca="1">IFERROR(__xludf.DUMMYFUNCTION("""COMPUTED_VALUE"""),2023)</f>
        <v>2023</v>
      </c>
      <c r="D389" s="1">
        <f ca="1">IFERROR(__xludf.DUMMYFUNCTION("""COMPUTED_VALUE"""),382)</f>
        <v>382</v>
      </c>
      <c r="E389" s="1" t="str">
        <f ca="1">IFERROR(__xludf.DUMMYFUNCTION("""COMPUTED_VALUE"""),"Climate Dynamics")</f>
        <v>Climate Dynamics</v>
      </c>
      <c r="F389" s="1" t="str">
        <f ca="1">IFERROR(__xludf.DUMMYFUNCTION("""COMPUTED_VALUE"""),"1432-0894")</f>
        <v>1432-0894</v>
      </c>
      <c r="G389" s="1" t="str">
        <f ca="1">IFERROR(__xludf.DUMMYFUNCTION("""COMPUTED_VALUE"""),"0930-7575")</f>
        <v>0930-7575</v>
      </c>
      <c r="H389" s="27" t="str">
        <f ca="1">IFERROR(__xludf.DUMMYFUNCTION("""COMPUTED_VALUE"""),"https://link.springer.com/journal/382")</f>
        <v>https://link.springer.com/journal/382</v>
      </c>
      <c r="I389" s="1" t="str">
        <f ca="1">IFERROR(__xludf.DUMMYFUNCTION("""COMPUTED_VALUE"""),"Springer")</f>
        <v>Springer</v>
      </c>
      <c r="J389" s="1">
        <f ca="1">IFERROR(__xludf.DUMMYFUNCTION("""COMPUTED_VALUE"""),2000)</f>
        <v>2000</v>
      </c>
      <c r="K389" s="1" t="str">
        <f ca="1">IFERROR(__xludf.DUMMYFUNCTION("""COMPUTED_VALUE"""),"Earth and Environmental Science")</f>
        <v>Earth and Environmental Science</v>
      </c>
      <c r="L389" s="1" t="str">
        <f ca="1">IFERROR(__xludf.DUMMYFUNCTION("""COMPUTED_VALUE"""),"〇")</f>
        <v>〇</v>
      </c>
      <c r="M389" s="1" t="str">
        <f ca="1">IFERROR(__xludf.DUMMYFUNCTION("""COMPUTED_VALUE"""),"〇")</f>
        <v>〇</v>
      </c>
      <c r="N389" s="1"/>
      <c r="O389" s="1"/>
      <c r="P389" s="1"/>
    </row>
    <row r="390" spans="1:16" ht="14.25" customHeight="1" x14ac:dyDescent="0.25">
      <c r="A390" s="1"/>
      <c r="B390" s="1">
        <f ca="1"/>
        <v>378</v>
      </c>
      <c r="C390" s="1">
        <f ca="1">IFERROR(__xludf.DUMMYFUNCTION("""COMPUTED_VALUE"""),2023)</f>
        <v>2023</v>
      </c>
      <c r="D390" s="1">
        <f ca="1">IFERROR(__xludf.DUMMYFUNCTION("""COMPUTED_VALUE"""),10584)</f>
        <v>10584</v>
      </c>
      <c r="E390" s="1" t="str">
        <f ca="1">IFERROR(__xludf.DUMMYFUNCTION("""COMPUTED_VALUE"""),"Climatic Change")</f>
        <v>Climatic Change</v>
      </c>
      <c r="F390" s="1" t="str">
        <f ca="1">IFERROR(__xludf.DUMMYFUNCTION("""COMPUTED_VALUE"""),"1573-1480")</f>
        <v>1573-1480</v>
      </c>
      <c r="G390" s="1" t="str">
        <f ca="1">IFERROR(__xludf.DUMMYFUNCTION("""COMPUTED_VALUE"""),"0165-0009")</f>
        <v>0165-0009</v>
      </c>
      <c r="H390" s="27" t="str">
        <f ca="1">IFERROR(__xludf.DUMMYFUNCTION("""COMPUTED_VALUE"""),"https://link.springer.com/journal/10584")</f>
        <v>https://link.springer.com/journal/10584</v>
      </c>
      <c r="I390" s="1" t="str">
        <f ca="1">IFERROR(__xludf.DUMMYFUNCTION("""COMPUTED_VALUE"""),"Springer")</f>
        <v>Springer</v>
      </c>
      <c r="J390" s="1">
        <f ca="1">IFERROR(__xludf.DUMMYFUNCTION("""COMPUTED_VALUE"""),2000)</f>
        <v>2000</v>
      </c>
      <c r="K390" s="1" t="str">
        <f ca="1">IFERROR(__xludf.DUMMYFUNCTION("""COMPUTED_VALUE"""),"Earth and Environmental Science")</f>
        <v>Earth and Environmental Science</v>
      </c>
      <c r="L390" s="1" t="str">
        <f ca="1">IFERROR(__xludf.DUMMYFUNCTION("""COMPUTED_VALUE"""),"〇")</f>
        <v>〇</v>
      </c>
      <c r="M390" s="1" t="str">
        <f ca="1">IFERROR(__xludf.DUMMYFUNCTION("""COMPUTED_VALUE"""),"〇")</f>
        <v>〇</v>
      </c>
      <c r="N390" s="1"/>
      <c r="O390" s="1"/>
      <c r="P390" s="1"/>
    </row>
    <row r="391" spans="1:16" ht="14.25" customHeight="1" x14ac:dyDescent="0.25">
      <c r="A391" s="1"/>
      <c r="B391" s="1">
        <f ca="1"/>
        <v>379</v>
      </c>
      <c r="C391" s="1">
        <f ca="1">IFERROR(__xludf.DUMMYFUNCTION("""COMPUTED_VALUE"""),2023)</f>
        <v>2023</v>
      </c>
      <c r="D391" s="1">
        <f ca="1">IFERROR(__xludf.DUMMYFUNCTION("""COMPUTED_VALUE"""),10585)</f>
        <v>10585</v>
      </c>
      <c r="E391" s="1" t="str">
        <f ca="1">IFERROR(__xludf.DUMMYFUNCTION("""COMPUTED_VALUE"""),"Clinical &amp; Experimental Metastasis")</f>
        <v>Clinical &amp; Experimental Metastasis</v>
      </c>
      <c r="F391" s="1" t="str">
        <f ca="1">IFERROR(__xludf.DUMMYFUNCTION("""COMPUTED_VALUE"""),"1573-7276")</f>
        <v>1573-7276</v>
      </c>
      <c r="G391" s="1" t="str">
        <f ca="1">IFERROR(__xludf.DUMMYFUNCTION("""COMPUTED_VALUE"""),"0262-0898")</f>
        <v>0262-0898</v>
      </c>
      <c r="H391" s="27" t="str">
        <f ca="1">IFERROR(__xludf.DUMMYFUNCTION("""COMPUTED_VALUE"""),"https://link.springer.com/journal/10585")</f>
        <v>https://link.springer.com/journal/10585</v>
      </c>
      <c r="I391" s="1" t="str">
        <f ca="1">IFERROR(__xludf.DUMMYFUNCTION("""COMPUTED_VALUE"""),"Springer")</f>
        <v>Springer</v>
      </c>
      <c r="J391" s="1">
        <f ca="1">IFERROR(__xludf.DUMMYFUNCTION("""COMPUTED_VALUE"""),2000)</f>
        <v>2000</v>
      </c>
      <c r="K391" s="1" t="str">
        <f ca="1">IFERROR(__xludf.DUMMYFUNCTION("""COMPUTED_VALUE"""),"Biomedical and Life Sciences")</f>
        <v>Biomedical and Life Sciences</v>
      </c>
      <c r="L391" s="1" t="str">
        <f ca="1">IFERROR(__xludf.DUMMYFUNCTION("""COMPUTED_VALUE"""),"〇")</f>
        <v>〇</v>
      </c>
      <c r="M391" s="1" t="str">
        <f ca="1">IFERROR(__xludf.DUMMYFUNCTION("""COMPUTED_VALUE"""),"〇")</f>
        <v>〇</v>
      </c>
      <c r="N391" s="1"/>
      <c r="O391" s="1"/>
      <c r="P391" s="1"/>
    </row>
    <row r="392" spans="1:16" ht="14.25" customHeight="1" x14ac:dyDescent="0.25">
      <c r="A392" s="1"/>
      <c r="B392" s="1">
        <f ca="1"/>
        <v>380</v>
      </c>
      <c r="C392" s="1">
        <f ca="1">IFERROR(__xludf.DUMMYFUNCTION("""COMPUTED_VALUE"""),2023)</f>
        <v>2023</v>
      </c>
      <c r="D392" s="1">
        <f ca="1">IFERROR(__xludf.DUMMYFUNCTION("""COMPUTED_VALUE"""),10238)</f>
        <v>10238</v>
      </c>
      <c r="E392" s="1" t="str">
        <f ca="1">IFERROR(__xludf.DUMMYFUNCTION("""COMPUTED_VALUE"""),"Clinical and Experimental Medicine")</f>
        <v>Clinical and Experimental Medicine</v>
      </c>
      <c r="F392" s="1" t="str">
        <f ca="1">IFERROR(__xludf.DUMMYFUNCTION("""COMPUTED_VALUE"""),"1591-9528")</f>
        <v>1591-9528</v>
      </c>
      <c r="G392" s="1"/>
      <c r="H392" s="27" t="str">
        <f ca="1">IFERROR(__xludf.DUMMYFUNCTION("""COMPUTED_VALUE"""),"https://link.springer.com/journal/10238")</f>
        <v>https://link.springer.com/journal/10238</v>
      </c>
      <c r="I392" s="1" t="str">
        <f ca="1">IFERROR(__xludf.DUMMYFUNCTION("""COMPUTED_VALUE"""),"Springer")</f>
        <v>Springer</v>
      </c>
      <c r="J392" s="1">
        <f ca="1">IFERROR(__xludf.DUMMYFUNCTION("""COMPUTED_VALUE"""),2001)</f>
        <v>2001</v>
      </c>
      <c r="K392" s="1" t="str">
        <f ca="1">IFERROR(__xludf.DUMMYFUNCTION("""COMPUTED_VALUE"""),"Medicine")</f>
        <v>Medicine</v>
      </c>
      <c r="L392" s="1"/>
      <c r="M392" s="1" t="str">
        <f ca="1">IFERROR(__xludf.DUMMYFUNCTION("""COMPUTED_VALUE"""),"〇")</f>
        <v>〇</v>
      </c>
      <c r="N392" s="1"/>
      <c r="O392" s="1"/>
      <c r="P392" s="1"/>
    </row>
    <row r="393" spans="1:16" ht="14.25" customHeight="1" x14ac:dyDescent="0.25">
      <c r="A393" s="1"/>
      <c r="B393" s="1">
        <f ca="1"/>
        <v>381</v>
      </c>
      <c r="C393" s="1">
        <f ca="1">IFERROR(__xludf.DUMMYFUNCTION("""COMPUTED_VALUE"""),2023)</f>
        <v>2023</v>
      </c>
      <c r="D393" s="1">
        <f ca="1">IFERROR(__xludf.DUMMYFUNCTION("""COMPUTED_VALUE"""),10157)</f>
        <v>10157</v>
      </c>
      <c r="E393" s="1" t="str">
        <f ca="1">IFERROR(__xludf.DUMMYFUNCTION("""COMPUTED_VALUE"""),"Clinical and Experimental Nephrology")</f>
        <v>Clinical and Experimental Nephrology</v>
      </c>
      <c r="F393" s="1" t="str">
        <f ca="1">IFERROR(__xludf.DUMMYFUNCTION("""COMPUTED_VALUE"""),"1437-7799")</f>
        <v>1437-7799</v>
      </c>
      <c r="G393" s="1" t="str">
        <f ca="1">IFERROR(__xludf.DUMMYFUNCTION("""COMPUTED_VALUE"""),"1342-1751")</f>
        <v>1342-1751</v>
      </c>
      <c r="H393" s="27" t="str">
        <f ca="1">IFERROR(__xludf.DUMMYFUNCTION("""COMPUTED_VALUE"""),"https://link.springer.com/journal/10157")</f>
        <v>https://link.springer.com/journal/10157</v>
      </c>
      <c r="I393" s="1" t="str">
        <f ca="1">IFERROR(__xludf.DUMMYFUNCTION("""COMPUTED_VALUE"""),"Springer")</f>
        <v>Springer</v>
      </c>
      <c r="J393" s="1">
        <f ca="1">IFERROR(__xludf.DUMMYFUNCTION("""COMPUTED_VALUE"""),2000)</f>
        <v>2000</v>
      </c>
      <c r="K393" s="1" t="str">
        <f ca="1">IFERROR(__xludf.DUMMYFUNCTION("""COMPUTED_VALUE"""),"Medicine")</f>
        <v>Medicine</v>
      </c>
      <c r="L393" s="1" t="str">
        <f ca="1">IFERROR(__xludf.DUMMYFUNCTION("""COMPUTED_VALUE"""),"〇")</f>
        <v>〇</v>
      </c>
      <c r="M393" s="1" t="str">
        <f ca="1">IFERROR(__xludf.DUMMYFUNCTION("""COMPUTED_VALUE"""),"〇")</f>
        <v>〇</v>
      </c>
      <c r="N393" s="1"/>
      <c r="O393" s="1"/>
      <c r="P393" s="1"/>
    </row>
    <row r="394" spans="1:16" ht="14.25" customHeight="1" x14ac:dyDescent="0.25">
      <c r="A394" s="1"/>
      <c r="B394" s="1">
        <f ca="1"/>
        <v>382</v>
      </c>
      <c r="C394" s="1">
        <f ca="1">IFERROR(__xludf.DUMMYFUNCTION("""COMPUTED_VALUE"""),2023)</f>
        <v>2023</v>
      </c>
      <c r="D394" s="1">
        <f ca="1">IFERROR(__xludf.DUMMYFUNCTION("""COMPUTED_VALUE"""),40336)</f>
        <v>40336</v>
      </c>
      <c r="E394" s="1" t="str">
        <f ca="1">IFERROR(__xludf.DUMMYFUNCTION("""COMPUTED_VALUE"""),"Clinical and Translational Imaging")</f>
        <v>Clinical and Translational Imaging</v>
      </c>
      <c r="F394" s="1" t="str">
        <f ca="1">IFERROR(__xludf.DUMMYFUNCTION("""COMPUTED_VALUE"""),"2281-7565")</f>
        <v>2281-7565</v>
      </c>
      <c r="G394" s="1"/>
      <c r="H394" s="27" t="str">
        <f ca="1">IFERROR(__xludf.DUMMYFUNCTION("""COMPUTED_VALUE"""),"https://link.springer.com/journal/40336")</f>
        <v>https://link.springer.com/journal/40336</v>
      </c>
      <c r="I394" s="1" t="str">
        <f ca="1">IFERROR(__xludf.DUMMYFUNCTION("""COMPUTED_VALUE"""),"Springer")</f>
        <v>Springer</v>
      </c>
      <c r="J394" s="1">
        <f ca="1">IFERROR(__xludf.DUMMYFUNCTION("""COMPUTED_VALUE"""),2013)</f>
        <v>2013</v>
      </c>
      <c r="K394" s="1" t="str">
        <f ca="1">IFERROR(__xludf.DUMMYFUNCTION("""COMPUTED_VALUE"""),"Medicine")</f>
        <v>Medicine</v>
      </c>
      <c r="L394" s="1"/>
      <c r="M394" s="1"/>
      <c r="N394" s="1" t="str">
        <f ca="1">IFERROR(__xludf.DUMMYFUNCTION("""COMPUTED_VALUE"""),"SNS13")</f>
        <v>SNS13</v>
      </c>
      <c r="O394" s="1"/>
      <c r="P394" s="1"/>
    </row>
    <row r="395" spans="1:16" ht="14.25" customHeight="1" x14ac:dyDescent="0.25">
      <c r="A395" s="1"/>
      <c r="B395" s="1">
        <f ca="1"/>
        <v>383</v>
      </c>
      <c r="C395" s="1">
        <f ca="1">IFERROR(__xludf.DUMMYFUNCTION("""COMPUTED_VALUE"""),2023)</f>
        <v>2023</v>
      </c>
      <c r="D395" s="1">
        <f ca="1">IFERROR(__xludf.DUMMYFUNCTION("""COMPUTED_VALUE"""),12094)</f>
        <v>12094</v>
      </c>
      <c r="E395" s="1" t="str">
        <f ca="1">IFERROR(__xludf.DUMMYFUNCTION("""COMPUTED_VALUE"""),"Clinical and Translational Oncology")</f>
        <v>Clinical and Translational Oncology</v>
      </c>
      <c r="F395" s="1" t="str">
        <f ca="1">IFERROR(__xludf.DUMMYFUNCTION("""COMPUTED_VALUE"""),"1699-3055")</f>
        <v>1699-3055</v>
      </c>
      <c r="G395" s="1"/>
      <c r="H395" s="27" t="str">
        <f ca="1">IFERROR(__xludf.DUMMYFUNCTION("""COMPUTED_VALUE"""),"https://link.springer.com/journal/12094")</f>
        <v>https://link.springer.com/journal/12094</v>
      </c>
      <c r="I395" s="1" t="str">
        <f ca="1">IFERROR(__xludf.DUMMYFUNCTION("""COMPUTED_VALUE"""),"Springer")</f>
        <v>Springer</v>
      </c>
      <c r="J395" s="1">
        <f ca="1">IFERROR(__xludf.DUMMYFUNCTION("""COMPUTED_VALUE"""),2000)</f>
        <v>2000</v>
      </c>
      <c r="K395" s="1" t="str">
        <f ca="1">IFERROR(__xludf.DUMMYFUNCTION("""COMPUTED_VALUE"""),"Medicine")</f>
        <v>Medicine</v>
      </c>
      <c r="L395" s="1"/>
      <c r="M395" s="1" t="str">
        <f ca="1">IFERROR(__xludf.DUMMYFUNCTION("""COMPUTED_VALUE"""),"〇")</f>
        <v>〇</v>
      </c>
      <c r="N395" s="1" t="str">
        <f ca="1">IFERROR(__xludf.DUMMYFUNCTION("""COMPUTED_VALUE"""),"TO7")</f>
        <v>TO7</v>
      </c>
      <c r="O395" s="1"/>
      <c r="P395" s="1"/>
    </row>
    <row r="396" spans="1:16" ht="14.25" customHeight="1" x14ac:dyDescent="0.25">
      <c r="A396" s="1"/>
      <c r="B396" s="1">
        <f ca="1"/>
        <v>384</v>
      </c>
      <c r="C396" s="1">
        <f ca="1">IFERROR(__xludf.DUMMYFUNCTION("""COMPUTED_VALUE"""),2023)</f>
        <v>2023</v>
      </c>
      <c r="D396" s="1">
        <f ca="1">IFERROR(__xludf.DUMMYFUNCTION("""COMPUTED_VALUE"""),10286)</f>
        <v>10286</v>
      </c>
      <c r="E396" s="1" t="str">
        <f ca="1">IFERROR(__xludf.DUMMYFUNCTION("""COMPUTED_VALUE"""),"Clinical Autonomic Research")</f>
        <v>Clinical Autonomic Research</v>
      </c>
      <c r="F396" s="1" t="str">
        <f ca="1">IFERROR(__xludf.DUMMYFUNCTION("""COMPUTED_VALUE"""),"1619-1560")</f>
        <v>1619-1560</v>
      </c>
      <c r="G396" s="1" t="str">
        <f ca="1">IFERROR(__xludf.DUMMYFUNCTION("""COMPUTED_VALUE"""),"0959-9851")</f>
        <v>0959-9851</v>
      </c>
      <c r="H396" s="27" t="str">
        <f ca="1">IFERROR(__xludf.DUMMYFUNCTION("""COMPUTED_VALUE"""),"https://link.springer.com/journal/10286")</f>
        <v>https://link.springer.com/journal/10286</v>
      </c>
      <c r="I396" s="1" t="str">
        <f ca="1">IFERROR(__xludf.DUMMYFUNCTION("""COMPUTED_VALUE"""),"Springer")</f>
        <v>Springer</v>
      </c>
      <c r="J396" s="1">
        <f ca="1">IFERROR(__xludf.DUMMYFUNCTION("""COMPUTED_VALUE"""),2000)</f>
        <v>2000</v>
      </c>
      <c r="K396" s="1" t="str">
        <f ca="1">IFERROR(__xludf.DUMMYFUNCTION("""COMPUTED_VALUE"""),"Medicine")</f>
        <v>Medicine</v>
      </c>
      <c r="L396" s="1" t="str">
        <f ca="1">IFERROR(__xludf.DUMMYFUNCTION("""COMPUTED_VALUE"""),"〇")</f>
        <v>〇</v>
      </c>
      <c r="M396" s="1" t="str">
        <f ca="1">IFERROR(__xludf.DUMMYFUNCTION("""COMPUTED_VALUE"""),"〇")</f>
        <v>〇</v>
      </c>
      <c r="N396" s="1"/>
      <c r="O396" s="1"/>
      <c r="P396" s="1"/>
    </row>
    <row r="397" spans="1:16" ht="14.25" customHeight="1" x14ac:dyDescent="0.25">
      <c r="A397" s="1"/>
      <c r="B397" s="1">
        <f ca="1"/>
        <v>385</v>
      </c>
      <c r="C397" s="1">
        <f ca="1">IFERROR(__xludf.DUMMYFUNCTION("""COMPUTED_VALUE"""),2023)</f>
        <v>2023</v>
      </c>
      <c r="D397" s="1">
        <f ca="1">IFERROR(__xludf.DUMMYFUNCTION("""COMPUTED_VALUE"""),10567)</f>
        <v>10567</v>
      </c>
      <c r="E397" s="1" t="str">
        <f ca="1">IFERROR(__xludf.DUMMYFUNCTION("""COMPUTED_VALUE"""),"Clinical Child and Family Psychology Review")</f>
        <v>Clinical Child and Family Psychology Review</v>
      </c>
      <c r="F397" s="1" t="str">
        <f ca="1">IFERROR(__xludf.DUMMYFUNCTION("""COMPUTED_VALUE"""),"1573-2827")</f>
        <v>1573-2827</v>
      </c>
      <c r="G397" s="1" t="str">
        <f ca="1">IFERROR(__xludf.DUMMYFUNCTION("""COMPUTED_VALUE"""),"1096-4037")</f>
        <v>1096-4037</v>
      </c>
      <c r="H397" s="27" t="str">
        <f ca="1">IFERROR(__xludf.DUMMYFUNCTION("""COMPUTED_VALUE"""),"https://link.springer.com/journal/10567")</f>
        <v>https://link.springer.com/journal/10567</v>
      </c>
      <c r="I397" s="1" t="str">
        <f ca="1">IFERROR(__xludf.DUMMYFUNCTION("""COMPUTED_VALUE"""),"Springer")</f>
        <v>Springer</v>
      </c>
      <c r="J397" s="1">
        <f ca="1">IFERROR(__xludf.DUMMYFUNCTION("""COMPUTED_VALUE"""),2000)</f>
        <v>2000</v>
      </c>
      <c r="K397" s="1" t="str">
        <f ca="1">IFERROR(__xludf.DUMMYFUNCTION("""COMPUTED_VALUE"""),"Behavioral Science and Psychology")</f>
        <v>Behavioral Science and Psychology</v>
      </c>
      <c r="L397" s="1" t="str">
        <f ca="1">IFERROR(__xludf.DUMMYFUNCTION("""COMPUTED_VALUE"""),"〇")</f>
        <v>〇</v>
      </c>
      <c r="M397" s="1" t="str">
        <f ca="1">IFERROR(__xludf.DUMMYFUNCTION("""COMPUTED_VALUE"""),"〇")</f>
        <v>〇</v>
      </c>
      <c r="N397" s="1"/>
      <c r="O397" s="1"/>
      <c r="P397" s="1"/>
    </row>
    <row r="398" spans="1:16" ht="14.25" customHeight="1" x14ac:dyDescent="0.25">
      <c r="A398" s="1"/>
      <c r="B398" s="1">
        <f ca="1"/>
        <v>386</v>
      </c>
      <c r="C398" s="1">
        <f ca="1">IFERROR(__xludf.DUMMYFUNCTION("""COMPUTED_VALUE"""),2023)</f>
        <v>2023</v>
      </c>
      <c r="D398" s="1">
        <f ca="1">IFERROR(__xludf.DUMMYFUNCTION("""COMPUTED_VALUE"""),41894)</f>
        <v>41894</v>
      </c>
      <c r="E398" s="1" t="str">
        <f ca="1">IFERROR(__xludf.DUMMYFUNCTION("""COMPUTED_VALUE"""),"Clinical Dentistry Reviewed")</f>
        <v>Clinical Dentistry Reviewed</v>
      </c>
      <c r="F398" s="1" t="str">
        <f ca="1">IFERROR(__xludf.DUMMYFUNCTION("""COMPUTED_VALUE"""),"2511-1965")</f>
        <v>2511-1965</v>
      </c>
      <c r="G398" s="1"/>
      <c r="H398" s="27" t="str">
        <f ca="1">IFERROR(__xludf.DUMMYFUNCTION("""COMPUTED_VALUE"""),"https://link.springer.com/journal/41894")</f>
        <v>https://link.springer.com/journal/41894</v>
      </c>
      <c r="I398" s="1" t="str">
        <f ca="1">IFERROR(__xludf.DUMMYFUNCTION("""COMPUTED_VALUE"""),"Springer")</f>
        <v>Springer</v>
      </c>
      <c r="J398" s="1">
        <f ca="1">IFERROR(__xludf.DUMMYFUNCTION("""COMPUTED_VALUE"""),2017)</f>
        <v>2017</v>
      </c>
      <c r="K398" s="1" t="str">
        <f ca="1">IFERROR(__xludf.DUMMYFUNCTION("""COMPUTED_VALUE"""),"Medicine")</f>
        <v>Medicine</v>
      </c>
      <c r="L398" s="1"/>
      <c r="M398" s="1"/>
      <c r="N398" s="1" t="str">
        <f ca="1">IFERROR(__xludf.DUMMYFUNCTION("""COMPUTED_VALUE"""),"SNS17")</f>
        <v>SNS17</v>
      </c>
      <c r="O398" s="1"/>
      <c r="P398" s="1"/>
    </row>
    <row r="399" spans="1:16" ht="14.25" customHeight="1" x14ac:dyDescent="0.25">
      <c r="A399" s="1"/>
      <c r="B399" s="1">
        <f ca="1"/>
        <v>387</v>
      </c>
      <c r="C399" s="1">
        <f ca="1">IFERROR(__xludf.DUMMYFUNCTION("""COMPUTED_VALUE"""),2023)</f>
        <v>2023</v>
      </c>
      <c r="D399" s="1">
        <f ca="1">IFERROR(__xludf.DUMMYFUNCTION("""COMPUTED_VALUE"""),12328)</f>
        <v>12328</v>
      </c>
      <c r="E399" s="1" t="str">
        <f ca="1">IFERROR(__xludf.DUMMYFUNCTION("""COMPUTED_VALUE"""),"Clinical Journal of Gastroenterology")</f>
        <v>Clinical Journal of Gastroenterology</v>
      </c>
      <c r="F399" s="1" t="str">
        <f ca="1">IFERROR(__xludf.DUMMYFUNCTION("""COMPUTED_VALUE"""),"1865-7265")</f>
        <v>1865-7265</v>
      </c>
      <c r="G399" s="1" t="str">
        <f ca="1">IFERROR(__xludf.DUMMYFUNCTION("""COMPUTED_VALUE"""),"1865-7257")</f>
        <v>1865-7257</v>
      </c>
      <c r="H399" s="27" t="str">
        <f ca="1">IFERROR(__xludf.DUMMYFUNCTION("""COMPUTED_VALUE"""),"https://link.springer.com/journal/12328")</f>
        <v>https://link.springer.com/journal/12328</v>
      </c>
      <c r="I399" s="1" t="str">
        <f ca="1">IFERROR(__xludf.DUMMYFUNCTION("""COMPUTED_VALUE"""),"Springer")</f>
        <v>Springer</v>
      </c>
      <c r="J399" s="1">
        <f ca="1">IFERROR(__xludf.DUMMYFUNCTION("""COMPUTED_VALUE"""),2008)</f>
        <v>2008</v>
      </c>
      <c r="K399" s="1" t="str">
        <f ca="1">IFERROR(__xludf.DUMMYFUNCTION("""COMPUTED_VALUE"""),"Medicine")</f>
        <v>Medicine</v>
      </c>
      <c r="L399" s="1" t="str">
        <f ca="1">IFERROR(__xludf.DUMMYFUNCTION("""COMPUTED_VALUE"""),"〇")</f>
        <v>〇</v>
      </c>
      <c r="M399" s="1" t="str">
        <f ca="1">IFERROR(__xludf.DUMMYFUNCTION("""COMPUTED_VALUE"""),"〇")</f>
        <v>〇</v>
      </c>
      <c r="N399" s="1" t="str">
        <f ca="1">IFERROR(__xludf.DUMMYFUNCTION("""COMPUTED_VALUE"""),"SNS8")</f>
        <v>SNS8</v>
      </c>
      <c r="O399" s="1"/>
      <c r="P399" s="1"/>
    </row>
    <row r="400" spans="1:16" ht="14.25" customHeight="1" x14ac:dyDescent="0.25">
      <c r="A400" s="1"/>
      <c r="B400" s="1">
        <f ca="1"/>
        <v>388</v>
      </c>
      <c r="C400" s="1">
        <f ca="1">IFERROR(__xludf.DUMMYFUNCTION("""COMPUTED_VALUE"""),2023)</f>
        <v>2023</v>
      </c>
      <c r="D400" s="1">
        <f ca="1">IFERROR(__xludf.DUMMYFUNCTION("""COMPUTED_VALUE"""),62)</f>
        <v>62</v>
      </c>
      <c r="E400" s="1" t="str">
        <f ca="1">IFERROR(__xludf.DUMMYFUNCTION("""COMPUTED_VALUE"""),"Clinical Neuroradiology")</f>
        <v>Clinical Neuroradiology</v>
      </c>
      <c r="F400" s="1" t="str">
        <f ca="1">IFERROR(__xludf.DUMMYFUNCTION("""COMPUTED_VALUE"""),"1869-1447")</f>
        <v>1869-1447</v>
      </c>
      <c r="G400" s="1" t="str">
        <f ca="1">IFERROR(__xludf.DUMMYFUNCTION("""COMPUTED_VALUE"""),"1869-1439")</f>
        <v>1869-1439</v>
      </c>
      <c r="H400" s="27" t="str">
        <f ca="1">IFERROR(__xludf.DUMMYFUNCTION("""COMPUTED_VALUE"""),"https://link.springer.com/journal/62")</f>
        <v>https://link.springer.com/journal/62</v>
      </c>
      <c r="I400" s="1" t="str">
        <f ca="1">IFERROR(__xludf.DUMMYFUNCTION("""COMPUTED_VALUE"""),"Springer")</f>
        <v>Springer</v>
      </c>
      <c r="J400" s="1">
        <f ca="1">IFERROR(__xludf.DUMMYFUNCTION("""COMPUTED_VALUE"""),2000)</f>
        <v>2000</v>
      </c>
      <c r="K400" s="1" t="str">
        <f ca="1">IFERROR(__xludf.DUMMYFUNCTION("""COMPUTED_VALUE"""),"Medicine")</f>
        <v>Medicine</v>
      </c>
      <c r="L400" s="1" t="str">
        <f ca="1">IFERROR(__xludf.DUMMYFUNCTION("""COMPUTED_VALUE"""),"〇")</f>
        <v>〇</v>
      </c>
      <c r="M400" s="1" t="str">
        <f ca="1">IFERROR(__xludf.DUMMYFUNCTION("""COMPUTED_VALUE"""),"〇")</f>
        <v>〇</v>
      </c>
      <c r="N400" s="1"/>
      <c r="O400" s="1"/>
      <c r="P400" s="1"/>
    </row>
    <row r="401" spans="1:16" ht="14.25" customHeight="1" x14ac:dyDescent="0.25">
      <c r="A401" s="1"/>
      <c r="B401" s="1">
        <f ca="1"/>
        <v>389</v>
      </c>
      <c r="C401" s="1">
        <f ca="1">IFERROR(__xludf.DUMMYFUNCTION("""COMPUTED_VALUE"""),2023)</f>
        <v>2023</v>
      </c>
      <c r="D401" s="1">
        <f ca="1">IFERROR(__xludf.DUMMYFUNCTION("""COMPUTED_VALUE"""),784)</f>
        <v>784</v>
      </c>
      <c r="E401" s="1" t="str">
        <f ca="1">IFERROR(__xludf.DUMMYFUNCTION("""COMPUTED_VALUE"""),"Clinical Oral Investigations")</f>
        <v>Clinical Oral Investigations</v>
      </c>
      <c r="F401" s="1" t="str">
        <f ca="1">IFERROR(__xludf.DUMMYFUNCTION("""COMPUTED_VALUE"""),"1436-3771")</f>
        <v>1436-3771</v>
      </c>
      <c r="G401" s="1"/>
      <c r="H401" s="27" t="str">
        <f ca="1">IFERROR(__xludf.DUMMYFUNCTION("""COMPUTED_VALUE"""),"https://link.springer.com/journal/784")</f>
        <v>https://link.springer.com/journal/784</v>
      </c>
      <c r="I401" s="1" t="str">
        <f ca="1">IFERROR(__xludf.DUMMYFUNCTION("""COMPUTED_VALUE"""),"Springer")</f>
        <v>Springer</v>
      </c>
      <c r="J401" s="1">
        <f ca="1">IFERROR(__xludf.DUMMYFUNCTION("""COMPUTED_VALUE"""),2000)</f>
        <v>2000</v>
      </c>
      <c r="K401" s="1" t="str">
        <f ca="1">IFERROR(__xludf.DUMMYFUNCTION("""COMPUTED_VALUE"""),"Medicine")</f>
        <v>Medicine</v>
      </c>
      <c r="L401" s="1"/>
      <c r="M401" s="1" t="str">
        <f ca="1">IFERROR(__xludf.DUMMYFUNCTION("""COMPUTED_VALUE"""),"〇")</f>
        <v>〇</v>
      </c>
      <c r="N401" s="1"/>
      <c r="O401" s="1"/>
      <c r="P401" s="1"/>
    </row>
    <row r="402" spans="1:16" ht="14.25" customHeight="1" x14ac:dyDescent="0.25">
      <c r="A402" s="1"/>
      <c r="B402" s="1">
        <f ca="1"/>
        <v>390</v>
      </c>
      <c r="C402" s="1">
        <f ca="1">IFERROR(__xludf.DUMMYFUNCTION("""COMPUTED_VALUE"""),2023)</f>
        <v>2023</v>
      </c>
      <c r="D402" s="1">
        <f ca="1">IFERROR(__xludf.DUMMYFUNCTION("""COMPUTED_VALUE"""),392)</f>
        <v>392</v>
      </c>
      <c r="E402" s="1" t="str">
        <f ca="1">IFERROR(__xludf.DUMMYFUNCTION("""COMPUTED_VALUE"""),"Clinical Research in Cardiology")</f>
        <v>Clinical Research in Cardiology</v>
      </c>
      <c r="F402" s="1" t="str">
        <f ca="1">IFERROR(__xludf.DUMMYFUNCTION("""COMPUTED_VALUE"""),"1861-0692")</f>
        <v>1861-0692</v>
      </c>
      <c r="G402" s="1" t="str">
        <f ca="1">IFERROR(__xludf.DUMMYFUNCTION("""COMPUTED_VALUE"""),"1861-0684")</f>
        <v>1861-0684</v>
      </c>
      <c r="H402" s="27" t="str">
        <f ca="1">IFERROR(__xludf.DUMMYFUNCTION("""COMPUTED_VALUE"""),"https://link.springer.com/journal/392")</f>
        <v>https://link.springer.com/journal/392</v>
      </c>
      <c r="I402" s="1" t="str">
        <f ca="1">IFERROR(__xludf.DUMMYFUNCTION("""COMPUTED_VALUE"""),"Springer")</f>
        <v>Springer</v>
      </c>
      <c r="J402" s="1">
        <f ca="1">IFERROR(__xludf.DUMMYFUNCTION("""COMPUTED_VALUE"""),2000)</f>
        <v>2000</v>
      </c>
      <c r="K402" s="1" t="str">
        <f ca="1">IFERROR(__xludf.DUMMYFUNCTION("""COMPUTED_VALUE"""),"Medicine")</f>
        <v>Medicine</v>
      </c>
      <c r="L402" s="1" t="str">
        <f ca="1">IFERROR(__xludf.DUMMYFUNCTION("""COMPUTED_VALUE"""),"〇")</f>
        <v>〇</v>
      </c>
      <c r="M402" s="1" t="str">
        <f ca="1">IFERROR(__xludf.DUMMYFUNCTION("""COMPUTED_VALUE"""),"〇")</f>
        <v>〇</v>
      </c>
      <c r="N402" s="1"/>
      <c r="O402" s="1"/>
      <c r="P402" s="1"/>
    </row>
    <row r="403" spans="1:16" ht="14.25" customHeight="1" x14ac:dyDescent="0.25">
      <c r="A403" s="1"/>
      <c r="B403" s="1">
        <f ca="1"/>
        <v>391</v>
      </c>
      <c r="C403" s="1">
        <f ca="1">IFERROR(__xludf.DUMMYFUNCTION("""COMPUTED_VALUE"""),2023)</f>
        <v>2023</v>
      </c>
      <c r="D403" s="1">
        <f ca="1">IFERROR(__xludf.DUMMYFUNCTION("""COMPUTED_VALUE"""),12016)</f>
        <v>12016</v>
      </c>
      <c r="E403" s="1" t="str">
        <f ca="1">IFERROR(__xludf.DUMMYFUNCTION("""COMPUTED_VALUE"""),"Clinical Reviews in Allergy &amp; Immunology")</f>
        <v>Clinical Reviews in Allergy &amp; Immunology</v>
      </c>
      <c r="F403" s="1" t="str">
        <f ca="1">IFERROR(__xludf.DUMMYFUNCTION("""COMPUTED_VALUE"""),"1559-0267")</f>
        <v>1559-0267</v>
      </c>
      <c r="G403" s="1"/>
      <c r="H403" s="27" t="str">
        <f ca="1">IFERROR(__xludf.DUMMYFUNCTION("""COMPUTED_VALUE"""),"https://link.springer.com/journal/12016")</f>
        <v>https://link.springer.com/journal/12016</v>
      </c>
      <c r="I403" s="1" t="str">
        <f ca="1">IFERROR(__xludf.DUMMYFUNCTION("""COMPUTED_VALUE"""),"Springer")</f>
        <v>Springer</v>
      </c>
      <c r="J403" s="1">
        <f ca="1">IFERROR(__xludf.DUMMYFUNCTION("""COMPUTED_VALUE"""),2000)</f>
        <v>2000</v>
      </c>
      <c r="K403" s="1" t="str">
        <f ca="1">IFERROR(__xludf.DUMMYFUNCTION("""COMPUTED_VALUE"""),"Medicine")</f>
        <v>Medicine</v>
      </c>
      <c r="L403" s="1"/>
      <c r="M403" s="1" t="str">
        <f ca="1">IFERROR(__xludf.DUMMYFUNCTION("""COMPUTED_VALUE"""),"〇")</f>
        <v>〇</v>
      </c>
      <c r="N403" s="1" t="str">
        <f ca="1">IFERROR(__xludf.DUMMYFUNCTION("""COMPUTED_VALUE"""),"TO7")</f>
        <v>TO7</v>
      </c>
      <c r="O403" s="1"/>
      <c r="P403" s="1"/>
    </row>
    <row r="404" spans="1:16" ht="14.25" customHeight="1" x14ac:dyDescent="0.25">
      <c r="A404" s="1"/>
      <c r="B404" s="1">
        <f ca="1"/>
        <v>392</v>
      </c>
      <c r="C404" s="1">
        <f ca="1">IFERROR(__xludf.DUMMYFUNCTION("""COMPUTED_VALUE"""),2023)</f>
        <v>2023</v>
      </c>
      <c r="D404" s="1">
        <f ca="1">IFERROR(__xludf.DUMMYFUNCTION("""COMPUTED_VALUE"""),12018)</f>
        <v>12018</v>
      </c>
      <c r="E404" s="1" t="str">
        <f ca="1">IFERROR(__xludf.DUMMYFUNCTION("""COMPUTED_VALUE"""),"Clinical Reviews in Bone and Mineral Metabolism")</f>
        <v>Clinical Reviews in Bone and Mineral Metabolism</v>
      </c>
      <c r="F404" s="1" t="str">
        <f ca="1">IFERROR(__xludf.DUMMYFUNCTION("""COMPUTED_VALUE"""),"1559-0119")</f>
        <v>1559-0119</v>
      </c>
      <c r="G404" s="1"/>
      <c r="H404" s="27" t="str">
        <f ca="1">IFERROR(__xludf.DUMMYFUNCTION("""COMPUTED_VALUE"""),"https://link.springer.com/journal/12018")</f>
        <v>https://link.springer.com/journal/12018</v>
      </c>
      <c r="I404" s="1" t="str">
        <f ca="1">IFERROR(__xludf.DUMMYFUNCTION("""COMPUTED_VALUE"""),"Springer")</f>
        <v>Springer</v>
      </c>
      <c r="J404" s="1">
        <f ca="1">IFERROR(__xludf.DUMMYFUNCTION("""COMPUTED_VALUE"""),2002)</f>
        <v>2002</v>
      </c>
      <c r="K404" s="1" t="str">
        <f ca="1">IFERROR(__xludf.DUMMYFUNCTION("""COMPUTED_VALUE"""),"Medicine")</f>
        <v>Medicine</v>
      </c>
      <c r="L404" s="1"/>
      <c r="M404" s="1" t="str">
        <f ca="1">IFERROR(__xludf.DUMMYFUNCTION("""COMPUTED_VALUE"""),"〇")</f>
        <v>〇</v>
      </c>
      <c r="N404" s="1" t="str">
        <f ca="1">IFERROR(__xludf.DUMMYFUNCTION("""COMPUTED_VALUE"""),"TO7")</f>
        <v>TO7</v>
      </c>
      <c r="O404" s="1"/>
      <c r="P404" s="1"/>
    </row>
    <row r="405" spans="1:16" ht="14.25" customHeight="1" x14ac:dyDescent="0.25">
      <c r="A405" s="1"/>
      <c r="B405" s="1">
        <f ca="1"/>
        <v>393</v>
      </c>
      <c r="C405" s="1">
        <f ca="1">IFERROR(__xludf.DUMMYFUNCTION("""COMPUTED_VALUE"""),2023)</f>
        <v>2023</v>
      </c>
      <c r="D405" s="1">
        <f ca="1">IFERROR(__xludf.DUMMYFUNCTION("""COMPUTED_VALUE"""),10067)</f>
        <v>10067</v>
      </c>
      <c r="E405" s="1" t="str">
        <f ca="1">IFERROR(__xludf.DUMMYFUNCTION("""COMPUTED_VALUE"""),"Clinical Rheumatology")</f>
        <v>Clinical Rheumatology</v>
      </c>
      <c r="F405" s="1" t="str">
        <f ca="1">IFERROR(__xludf.DUMMYFUNCTION("""COMPUTED_VALUE"""),"1434-9949")</f>
        <v>1434-9949</v>
      </c>
      <c r="G405" s="1" t="str">
        <f ca="1">IFERROR(__xludf.DUMMYFUNCTION("""COMPUTED_VALUE"""),"0770-3198")</f>
        <v>0770-3198</v>
      </c>
      <c r="H405" s="27" t="str">
        <f ca="1">IFERROR(__xludf.DUMMYFUNCTION("""COMPUTED_VALUE"""),"https://link.springer.com/journal/10067")</f>
        <v>https://link.springer.com/journal/10067</v>
      </c>
      <c r="I405" s="1" t="str">
        <f ca="1">IFERROR(__xludf.DUMMYFUNCTION("""COMPUTED_VALUE"""),"Springer")</f>
        <v>Springer</v>
      </c>
      <c r="J405" s="1">
        <f ca="1">IFERROR(__xludf.DUMMYFUNCTION("""COMPUTED_VALUE"""),2000)</f>
        <v>2000</v>
      </c>
      <c r="K405" s="1" t="str">
        <f ca="1">IFERROR(__xludf.DUMMYFUNCTION("""COMPUTED_VALUE"""),"Medicine")</f>
        <v>Medicine</v>
      </c>
      <c r="L405" s="1" t="str">
        <f ca="1">IFERROR(__xludf.DUMMYFUNCTION("""COMPUTED_VALUE"""),"〇")</f>
        <v>〇</v>
      </c>
      <c r="M405" s="1" t="str">
        <f ca="1">IFERROR(__xludf.DUMMYFUNCTION("""COMPUTED_VALUE"""),"〇")</f>
        <v>〇</v>
      </c>
      <c r="N405" s="1"/>
      <c r="O405" s="1"/>
      <c r="P405" s="1"/>
    </row>
    <row r="406" spans="1:16" ht="14.25" customHeight="1" x14ac:dyDescent="0.25">
      <c r="A406" s="1"/>
      <c r="B406" s="1">
        <f ca="1"/>
        <v>394</v>
      </c>
      <c r="C406" s="1">
        <f ca="1">IFERROR(__xludf.DUMMYFUNCTION("""COMPUTED_VALUE"""),2023)</f>
        <v>2023</v>
      </c>
      <c r="D406" s="1">
        <f ca="1">IFERROR(__xludf.DUMMYFUNCTION("""COMPUTED_VALUE"""),10615)</f>
        <v>10615</v>
      </c>
      <c r="E406" s="1" t="str">
        <f ca="1">IFERROR(__xludf.DUMMYFUNCTION("""COMPUTED_VALUE"""),"Clinical Social Work Journal")</f>
        <v>Clinical Social Work Journal</v>
      </c>
      <c r="F406" s="1" t="str">
        <f ca="1">IFERROR(__xludf.DUMMYFUNCTION("""COMPUTED_VALUE"""),"1573-3343")</f>
        <v>1573-3343</v>
      </c>
      <c r="G406" s="1" t="str">
        <f ca="1">IFERROR(__xludf.DUMMYFUNCTION("""COMPUTED_VALUE"""),"0091-1674")</f>
        <v>0091-1674</v>
      </c>
      <c r="H406" s="27" t="str">
        <f ca="1">IFERROR(__xludf.DUMMYFUNCTION("""COMPUTED_VALUE"""),"https://link.springer.com/journal/10615")</f>
        <v>https://link.springer.com/journal/10615</v>
      </c>
      <c r="I406" s="1" t="str">
        <f ca="1">IFERROR(__xludf.DUMMYFUNCTION("""COMPUTED_VALUE"""),"Springer")</f>
        <v>Springer</v>
      </c>
      <c r="J406" s="1">
        <f ca="1">IFERROR(__xludf.DUMMYFUNCTION("""COMPUTED_VALUE"""),2000)</f>
        <v>2000</v>
      </c>
      <c r="K406" s="1" t="str">
        <f ca="1">IFERROR(__xludf.DUMMYFUNCTION("""COMPUTED_VALUE"""),"Behavioral Science and Psychology")</f>
        <v>Behavioral Science and Psychology</v>
      </c>
      <c r="L406" s="1" t="str">
        <f ca="1">IFERROR(__xludf.DUMMYFUNCTION("""COMPUTED_VALUE"""),"〇")</f>
        <v>〇</v>
      </c>
      <c r="M406" s="1" t="str">
        <f ca="1">IFERROR(__xludf.DUMMYFUNCTION("""COMPUTED_VALUE"""),"〇")</f>
        <v>〇</v>
      </c>
      <c r="N406" s="1"/>
      <c r="O406" s="1"/>
      <c r="P406" s="1"/>
    </row>
    <row r="407" spans="1:16" ht="14.25" customHeight="1" x14ac:dyDescent="0.25">
      <c r="A407" s="1"/>
      <c r="B407" s="1">
        <f ca="1"/>
        <v>395</v>
      </c>
      <c r="C407" s="1">
        <f ca="1">IFERROR(__xludf.DUMMYFUNCTION("""COMPUTED_VALUE"""),2023)</f>
        <v>2023</v>
      </c>
      <c r="D407" s="1">
        <f ca="1">IFERROR(__xludf.DUMMYFUNCTION("""COMPUTED_VALUE"""),11698)</f>
        <v>11698</v>
      </c>
      <c r="E407" s="1" t="str">
        <f ca="1">IFERROR(__xludf.DUMMYFUNCTION("""COMPUTED_VALUE"""),"Cliometrica")</f>
        <v>Cliometrica</v>
      </c>
      <c r="F407" s="1" t="str">
        <f ca="1">IFERROR(__xludf.DUMMYFUNCTION("""COMPUTED_VALUE"""),"1863-2513")</f>
        <v>1863-2513</v>
      </c>
      <c r="G407" s="1" t="str">
        <f ca="1">IFERROR(__xludf.DUMMYFUNCTION("""COMPUTED_VALUE"""),"1863-2505")</f>
        <v>1863-2505</v>
      </c>
      <c r="H407" s="27" t="str">
        <f ca="1">IFERROR(__xludf.DUMMYFUNCTION("""COMPUTED_VALUE"""),"https://link.springer.com/journal/11698")</f>
        <v>https://link.springer.com/journal/11698</v>
      </c>
      <c r="I407" s="1" t="str">
        <f ca="1">IFERROR(__xludf.DUMMYFUNCTION("""COMPUTED_VALUE"""),"Springer")</f>
        <v>Springer</v>
      </c>
      <c r="J407" s="1">
        <f ca="1">IFERROR(__xludf.DUMMYFUNCTION("""COMPUTED_VALUE"""),2007)</f>
        <v>2007</v>
      </c>
      <c r="K407" s="1" t="str">
        <f ca="1">IFERROR(__xludf.DUMMYFUNCTION("""COMPUTED_VALUE"""),"Economics and Finance")</f>
        <v>Economics and Finance</v>
      </c>
      <c r="L407" s="1" t="str">
        <f ca="1">IFERROR(__xludf.DUMMYFUNCTION("""COMPUTED_VALUE"""),"〇")</f>
        <v>〇</v>
      </c>
      <c r="M407" s="1" t="str">
        <f ca="1">IFERROR(__xludf.DUMMYFUNCTION("""COMPUTED_VALUE"""),"〇")</f>
        <v>〇</v>
      </c>
      <c r="N407" s="1" t="str">
        <f ca="1">IFERROR(__xludf.DUMMYFUNCTION("""COMPUTED_VALUE"""),"SNS7")</f>
        <v>SNS7</v>
      </c>
      <c r="O407" s="1"/>
      <c r="P407" s="1"/>
    </row>
    <row r="408" spans="1:16" ht="14.25" customHeight="1" x14ac:dyDescent="0.25">
      <c r="A408" s="1"/>
      <c r="B408" s="1">
        <f ca="1"/>
        <v>396</v>
      </c>
      <c r="C408" s="1">
        <f ca="1">IFERROR(__xludf.DUMMYFUNCTION("""COMPUTED_VALUE"""),2023)</f>
        <v>2023</v>
      </c>
      <c r="D408" s="1">
        <f ca="1">IFERROR(__xludf.DUMMYFUNCTION("""COMPUTED_VALUE"""),10586)</f>
        <v>10586</v>
      </c>
      <c r="E408" s="1" t="str">
        <f ca="1">IFERROR(__xludf.DUMMYFUNCTION("""COMPUTED_VALUE"""),"Cluster Computing")</f>
        <v>Cluster Computing</v>
      </c>
      <c r="F408" s="1" t="str">
        <f ca="1">IFERROR(__xludf.DUMMYFUNCTION("""COMPUTED_VALUE"""),"1573-7543")</f>
        <v>1573-7543</v>
      </c>
      <c r="G408" s="1" t="str">
        <f ca="1">IFERROR(__xludf.DUMMYFUNCTION("""COMPUTED_VALUE"""),"1386-7857")</f>
        <v>1386-7857</v>
      </c>
      <c r="H408" s="27" t="str">
        <f ca="1">IFERROR(__xludf.DUMMYFUNCTION("""COMPUTED_VALUE"""),"https://link.springer.com/journal/10586")</f>
        <v>https://link.springer.com/journal/10586</v>
      </c>
      <c r="I408" s="1" t="str">
        <f ca="1">IFERROR(__xludf.DUMMYFUNCTION("""COMPUTED_VALUE"""),"Springer")</f>
        <v>Springer</v>
      </c>
      <c r="J408" s="1">
        <f ca="1">IFERROR(__xludf.DUMMYFUNCTION("""COMPUTED_VALUE"""),2000)</f>
        <v>2000</v>
      </c>
      <c r="K408" s="1" t="str">
        <f ca="1">IFERROR(__xludf.DUMMYFUNCTION("""COMPUTED_VALUE"""),"Computer Science")</f>
        <v>Computer Science</v>
      </c>
      <c r="L408" s="1" t="str">
        <f ca="1">IFERROR(__xludf.DUMMYFUNCTION("""COMPUTED_VALUE"""),"〇")</f>
        <v>〇</v>
      </c>
      <c r="M408" s="1" t="str">
        <f ca="1">IFERROR(__xludf.DUMMYFUNCTION("""COMPUTED_VALUE"""),"〇")</f>
        <v>〇</v>
      </c>
      <c r="N408" s="1"/>
      <c r="O408" s="1"/>
      <c r="P408" s="1"/>
    </row>
    <row r="409" spans="1:16" ht="14.25" customHeight="1" x14ac:dyDescent="0.25">
      <c r="A409" s="1"/>
      <c r="B409" s="1">
        <f ca="1"/>
        <v>397</v>
      </c>
      <c r="C409" s="1">
        <f ca="1">IFERROR(__xludf.DUMMYFUNCTION("""COMPUTED_VALUE"""),2023)</f>
        <v>2023</v>
      </c>
      <c r="D409" s="1">
        <f ca="1">IFERROR(__xludf.DUMMYFUNCTION("""COMPUTED_VALUE"""),11298)</f>
        <v>11298</v>
      </c>
      <c r="E409" s="1" t="str">
        <f ca="1">IFERROR(__xludf.DUMMYFUNCTION("""COMPUTED_VALUE"""),"CME")</f>
        <v>CME</v>
      </c>
      <c r="F409" s="1" t="str">
        <f ca="1">IFERROR(__xludf.DUMMYFUNCTION("""COMPUTED_VALUE"""),"1614-3744")</f>
        <v>1614-3744</v>
      </c>
      <c r="G409" s="1" t="str">
        <f ca="1">IFERROR(__xludf.DUMMYFUNCTION("""COMPUTED_VALUE"""),"1614-371X")</f>
        <v>1614-371X</v>
      </c>
      <c r="H409" s="27" t="str">
        <f ca="1">IFERROR(__xludf.DUMMYFUNCTION("""COMPUTED_VALUE"""),"https://link.springer.com/journal/11298")</f>
        <v>https://link.springer.com/journal/11298</v>
      </c>
      <c r="I409" s="1" t="str">
        <f ca="1">IFERROR(__xludf.DUMMYFUNCTION("""COMPUTED_VALUE"""),"SpringerMedizin")</f>
        <v>SpringerMedizin</v>
      </c>
      <c r="J409" s="1">
        <f ca="1">IFERROR(__xludf.DUMMYFUNCTION("""COMPUTED_VALUE"""),2009)</f>
        <v>2009</v>
      </c>
      <c r="K409" s="1" t="str">
        <f ca="1">IFERROR(__xludf.DUMMYFUNCTION("""COMPUTED_VALUE"""),"Medicine")</f>
        <v>Medicine</v>
      </c>
      <c r="L409" s="1" t="str">
        <f ca="1">IFERROR(__xludf.DUMMYFUNCTION("""COMPUTED_VALUE"""),"〇")</f>
        <v>〇</v>
      </c>
      <c r="M409" s="1"/>
      <c r="N409" s="1"/>
      <c r="O409" s="1"/>
      <c r="P409" s="1"/>
    </row>
    <row r="410" spans="1:16" ht="14.25" customHeight="1" x14ac:dyDescent="0.25">
      <c r="A410" s="1"/>
      <c r="B410" s="1">
        <f ca="1"/>
        <v>398</v>
      </c>
      <c r="C410" s="1">
        <f ca="1">IFERROR(__xludf.DUMMYFUNCTION("""COMPUTED_VALUE"""),2023)</f>
        <v>2023</v>
      </c>
      <c r="D410" s="1">
        <f ca="1">IFERROR(__xludf.DUMMYFUNCTION("""COMPUTED_VALUE"""),10111)</f>
        <v>10111</v>
      </c>
      <c r="E410" s="1" t="str">
        <f ca="1">IFERROR(__xludf.DUMMYFUNCTION("""COMPUTED_VALUE"""),"Cognition, Technology &amp; Work")</f>
        <v>Cognition, Technology &amp; Work</v>
      </c>
      <c r="F410" s="1" t="str">
        <f ca="1">IFERROR(__xludf.DUMMYFUNCTION("""COMPUTED_VALUE"""),"1435-5566")</f>
        <v>1435-5566</v>
      </c>
      <c r="G410" s="1" t="str">
        <f ca="1">IFERROR(__xludf.DUMMYFUNCTION("""COMPUTED_VALUE"""),"1435-5558")</f>
        <v>1435-5558</v>
      </c>
      <c r="H410" s="27" t="str">
        <f ca="1">IFERROR(__xludf.DUMMYFUNCTION("""COMPUTED_VALUE"""),"https://link.springer.com/journal/10111")</f>
        <v>https://link.springer.com/journal/10111</v>
      </c>
      <c r="I410" s="1" t="str">
        <f ca="1">IFERROR(__xludf.DUMMYFUNCTION("""COMPUTED_VALUE"""),"Springer")</f>
        <v>Springer</v>
      </c>
      <c r="J410" s="1">
        <f ca="1">IFERROR(__xludf.DUMMYFUNCTION("""COMPUTED_VALUE"""),2000)</f>
        <v>2000</v>
      </c>
      <c r="K410" s="1" t="str">
        <f ca="1">IFERROR(__xludf.DUMMYFUNCTION("""COMPUTED_VALUE"""),"Computer Science")</f>
        <v>Computer Science</v>
      </c>
      <c r="L410" s="1" t="str">
        <f ca="1">IFERROR(__xludf.DUMMYFUNCTION("""COMPUTED_VALUE"""),"〇")</f>
        <v>〇</v>
      </c>
      <c r="M410" s="1" t="str">
        <f ca="1">IFERROR(__xludf.DUMMYFUNCTION("""COMPUTED_VALUE"""),"〇")</f>
        <v>〇</v>
      </c>
      <c r="N410" s="1"/>
      <c r="O410" s="1"/>
      <c r="P410" s="1"/>
    </row>
    <row r="411" spans="1:16" ht="14.25" customHeight="1" x14ac:dyDescent="0.25">
      <c r="A411" s="1"/>
      <c r="B411" s="1">
        <f ca="1"/>
        <v>399</v>
      </c>
      <c r="C411" s="1">
        <f ca="1">IFERROR(__xludf.DUMMYFUNCTION("""COMPUTED_VALUE"""),2023)</f>
        <v>2023</v>
      </c>
      <c r="D411" s="1">
        <f ca="1">IFERROR(__xludf.DUMMYFUNCTION("""COMPUTED_VALUE"""),12559)</f>
        <v>12559</v>
      </c>
      <c r="E411" s="1" t="str">
        <f ca="1">IFERROR(__xludf.DUMMYFUNCTION("""COMPUTED_VALUE"""),"Cognitive Computation")</f>
        <v>Cognitive Computation</v>
      </c>
      <c r="F411" s="1" t="str">
        <f ca="1">IFERROR(__xludf.DUMMYFUNCTION("""COMPUTED_VALUE"""),"1866-9964")</f>
        <v>1866-9964</v>
      </c>
      <c r="G411" s="1"/>
      <c r="H411" s="27" t="str">
        <f ca="1">IFERROR(__xludf.DUMMYFUNCTION("""COMPUTED_VALUE"""),"https://link.springer.com/journal/12559")</f>
        <v>https://link.springer.com/journal/12559</v>
      </c>
      <c r="I411" s="1" t="str">
        <f ca="1">IFERROR(__xludf.DUMMYFUNCTION("""COMPUTED_VALUE"""),"Springer")</f>
        <v>Springer</v>
      </c>
      <c r="J411" s="1">
        <f ca="1">IFERROR(__xludf.DUMMYFUNCTION("""COMPUTED_VALUE"""),2009)</f>
        <v>2009</v>
      </c>
      <c r="K411" s="1" t="str">
        <f ca="1">IFERROR(__xludf.DUMMYFUNCTION("""COMPUTED_VALUE"""),"Computer Science")</f>
        <v>Computer Science</v>
      </c>
      <c r="L411" s="1"/>
      <c r="M411" s="1" t="str">
        <f ca="1">IFERROR(__xludf.DUMMYFUNCTION("""COMPUTED_VALUE"""),"〇")</f>
        <v>〇</v>
      </c>
      <c r="N411" s="1" t="str">
        <f ca="1">IFERROR(__xludf.DUMMYFUNCTION("""COMPUTED_VALUE"""),"SNS9")</f>
        <v>SNS9</v>
      </c>
      <c r="O411" s="1"/>
      <c r="P411" s="1"/>
    </row>
    <row r="412" spans="1:16" ht="14.25" customHeight="1" x14ac:dyDescent="0.25">
      <c r="A412" s="1"/>
      <c r="B412" s="1">
        <f ca="1"/>
        <v>400</v>
      </c>
      <c r="C412" s="1">
        <f ca="1">IFERROR(__xludf.DUMMYFUNCTION("""COMPUTED_VALUE"""),2023)</f>
        <v>2023</v>
      </c>
      <c r="D412" s="1">
        <f ca="1">IFERROR(__xludf.DUMMYFUNCTION("""COMPUTED_VALUE"""),11571)</f>
        <v>11571</v>
      </c>
      <c r="E412" s="1" t="str">
        <f ca="1">IFERROR(__xludf.DUMMYFUNCTION("""COMPUTED_VALUE"""),"Cognitive Neurodynamics")</f>
        <v>Cognitive Neurodynamics</v>
      </c>
      <c r="F412" s="1" t="str">
        <f ca="1">IFERROR(__xludf.DUMMYFUNCTION("""COMPUTED_VALUE"""),"1871-4099")</f>
        <v>1871-4099</v>
      </c>
      <c r="G412" s="1"/>
      <c r="H412" s="27" t="str">
        <f ca="1">IFERROR(__xludf.DUMMYFUNCTION("""COMPUTED_VALUE"""),"https://link.springer.com/journal/11571")</f>
        <v>https://link.springer.com/journal/11571</v>
      </c>
      <c r="I412" s="1" t="str">
        <f ca="1">IFERROR(__xludf.DUMMYFUNCTION("""COMPUTED_VALUE"""),"Springer")</f>
        <v>Springer</v>
      </c>
      <c r="J412" s="1">
        <f ca="1">IFERROR(__xludf.DUMMYFUNCTION("""COMPUTED_VALUE"""),2007)</f>
        <v>2007</v>
      </c>
      <c r="K412" s="1" t="str">
        <f ca="1">IFERROR(__xludf.DUMMYFUNCTION("""COMPUTED_VALUE"""),"Biomedical and Life Sciences")</f>
        <v>Biomedical and Life Sciences</v>
      </c>
      <c r="L412" s="1"/>
      <c r="M412" s="1" t="str">
        <f ca="1">IFERROR(__xludf.DUMMYFUNCTION("""COMPUTED_VALUE"""),"〇")</f>
        <v>〇</v>
      </c>
      <c r="N412" s="1" t="str">
        <f ca="1">IFERROR(__xludf.DUMMYFUNCTION("""COMPUTED_VALUE"""),"SNS7")</f>
        <v>SNS7</v>
      </c>
      <c r="O412" s="1"/>
      <c r="P412" s="1"/>
    </row>
    <row r="413" spans="1:16" ht="14.25" customHeight="1" x14ac:dyDescent="0.25">
      <c r="A413" s="1"/>
      <c r="B413" s="1">
        <f ca="1"/>
        <v>401</v>
      </c>
      <c r="C413" s="1">
        <f ca="1">IFERROR(__xludf.DUMMYFUNCTION("""COMPUTED_VALUE"""),2023)</f>
        <v>2023</v>
      </c>
      <c r="D413" s="1">
        <f ca="1">IFERROR(__xludf.DUMMYFUNCTION("""COMPUTED_VALUE"""),10339)</f>
        <v>10339</v>
      </c>
      <c r="E413" s="1" t="str">
        <f ca="1">IFERROR(__xludf.DUMMYFUNCTION("""COMPUTED_VALUE"""),"Cognitive Processing")</f>
        <v>Cognitive Processing</v>
      </c>
      <c r="F413" s="1" t="str">
        <f ca="1">IFERROR(__xludf.DUMMYFUNCTION("""COMPUTED_VALUE"""),"1612-4790")</f>
        <v>1612-4790</v>
      </c>
      <c r="G413" s="1" t="str">
        <f ca="1">IFERROR(__xludf.DUMMYFUNCTION("""COMPUTED_VALUE"""),"1612-4782")</f>
        <v>1612-4782</v>
      </c>
      <c r="H413" s="27" t="str">
        <f ca="1">IFERROR(__xludf.DUMMYFUNCTION("""COMPUTED_VALUE"""),"https://link.springer.com/journal/10339")</f>
        <v>https://link.springer.com/journal/10339</v>
      </c>
      <c r="I413" s="1" t="str">
        <f ca="1">IFERROR(__xludf.DUMMYFUNCTION("""COMPUTED_VALUE"""),"Springer")</f>
        <v>Springer</v>
      </c>
      <c r="J413" s="1">
        <f ca="1">IFERROR(__xludf.DUMMYFUNCTION("""COMPUTED_VALUE"""),2004)</f>
        <v>2004</v>
      </c>
      <c r="K413" s="1" t="str">
        <f ca="1">IFERROR(__xludf.DUMMYFUNCTION("""COMPUTED_VALUE"""),"Biomedical and Life Sciences")</f>
        <v>Biomedical and Life Sciences</v>
      </c>
      <c r="L413" s="1" t="str">
        <f ca="1">IFERROR(__xludf.DUMMYFUNCTION("""COMPUTED_VALUE"""),"〇")</f>
        <v>〇</v>
      </c>
      <c r="M413" s="1" t="str">
        <f ca="1">IFERROR(__xludf.DUMMYFUNCTION("""COMPUTED_VALUE"""),"〇")</f>
        <v>〇</v>
      </c>
      <c r="N413" s="1"/>
      <c r="O413" s="1"/>
      <c r="P413" s="1"/>
    </row>
    <row r="414" spans="1:16" ht="14.25" customHeight="1" x14ac:dyDescent="0.25">
      <c r="A414" s="1"/>
      <c r="B414" s="1">
        <f ca="1"/>
        <v>402</v>
      </c>
      <c r="C414" s="1">
        <f ca="1">IFERROR(__xludf.DUMMYFUNCTION("""COMPUTED_VALUE"""),2023)</f>
        <v>2023</v>
      </c>
      <c r="D414" s="1">
        <f ca="1">IFERROR(__xludf.DUMMYFUNCTION("""COMPUTED_VALUE"""),10608)</f>
        <v>10608</v>
      </c>
      <c r="E414" s="1" t="str">
        <f ca="1">IFERROR(__xludf.DUMMYFUNCTION("""COMPUTED_VALUE"""),"Cognitive Therapy and Research")</f>
        <v>Cognitive Therapy and Research</v>
      </c>
      <c r="F414" s="1" t="str">
        <f ca="1">IFERROR(__xludf.DUMMYFUNCTION("""COMPUTED_VALUE"""),"1573-2819")</f>
        <v>1573-2819</v>
      </c>
      <c r="G414" s="1" t="str">
        <f ca="1">IFERROR(__xludf.DUMMYFUNCTION("""COMPUTED_VALUE"""),"0147-5916")</f>
        <v>0147-5916</v>
      </c>
      <c r="H414" s="27" t="str">
        <f ca="1">IFERROR(__xludf.DUMMYFUNCTION("""COMPUTED_VALUE"""),"https://link.springer.com/journal/10608")</f>
        <v>https://link.springer.com/journal/10608</v>
      </c>
      <c r="I414" s="1" t="str">
        <f ca="1">IFERROR(__xludf.DUMMYFUNCTION("""COMPUTED_VALUE"""),"Springer")</f>
        <v>Springer</v>
      </c>
      <c r="J414" s="1">
        <f ca="1">IFERROR(__xludf.DUMMYFUNCTION("""COMPUTED_VALUE"""),2000)</f>
        <v>2000</v>
      </c>
      <c r="K414" s="1" t="str">
        <f ca="1">IFERROR(__xludf.DUMMYFUNCTION("""COMPUTED_VALUE"""),"Medicine")</f>
        <v>Medicine</v>
      </c>
      <c r="L414" s="1" t="str">
        <f ca="1">IFERROR(__xludf.DUMMYFUNCTION("""COMPUTED_VALUE"""),"〇")</f>
        <v>〇</v>
      </c>
      <c r="M414" s="1" t="str">
        <f ca="1">IFERROR(__xludf.DUMMYFUNCTION("""COMPUTED_VALUE"""),"〇")</f>
        <v>〇</v>
      </c>
      <c r="N414" s="1"/>
      <c r="O414" s="1"/>
      <c r="P414" s="1"/>
    </row>
    <row r="415" spans="1:16" ht="14.25" customHeight="1" x14ac:dyDescent="0.25">
      <c r="A415" s="1"/>
      <c r="B415" s="1">
        <f ca="1"/>
        <v>403</v>
      </c>
      <c r="C415" s="1">
        <f ca="1">IFERROR(__xludf.DUMMYFUNCTION("""COMPUTED_VALUE"""),2023)</f>
        <v>2023</v>
      </c>
      <c r="D415" s="1">
        <f ca="1">IFERROR(__xludf.DUMMYFUNCTION("""COMPUTED_VALUE"""),13415)</f>
        <v>13415</v>
      </c>
      <c r="E415" s="1" t="str">
        <f ca="1">IFERROR(__xludf.DUMMYFUNCTION("""COMPUTED_VALUE"""),"Cognitive, Affective, &amp; Behavioral Neuroscience")</f>
        <v>Cognitive, Affective, &amp; Behavioral Neuroscience</v>
      </c>
      <c r="F415" s="1" t="str">
        <f ca="1">IFERROR(__xludf.DUMMYFUNCTION("""COMPUTED_VALUE"""),"1531-135X")</f>
        <v>1531-135X</v>
      </c>
      <c r="G415" s="1" t="str">
        <f ca="1">IFERROR(__xludf.DUMMYFUNCTION("""COMPUTED_VALUE"""),"1530-7026")</f>
        <v>1530-7026</v>
      </c>
      <c r="H415" s="27" t="str">
        <f ca="1">IFERROR(__xludf.DUMMYFUNCTION("""COMPUTED_VALUE"""),"https://link.springer.com/journal/13415")</f>
        <v>https://link.springer.com/journal/13415</v>
      </c>
      <c r="I415" s="1" t="str">
        <f ca="1">IFERROR(__xludf.DUMMYFUNCTION("""COMPUTED_VALUE"""),"Springer")</f>
        <v>Springer</v>
      </c>
      <c r="J415" s="1">
        <f ca="1">IFERROR(__xludf.DUMMYFUNCTION("""COMPUTED_VALUE"""),2001)</f>
        <v>2001</v>
      </c>
      <c r="K415" s="1" t="str">
        <f ca="1">IFERROR(__xludf.DUMMYFUNCTION("""COMPUTED_VALUE"""),"Behavioral Science and Psychology")</f>
        <v>Behavioral Science and Psychology</v>
      </c>
      <c r="L415" s="1" t="str">
        <f ca="1">IFERROR(__xludf.DUMMYFUNCTION("""COMPUTED_VALUE"""),"〇")</f>
        <v>〇</v>
      </c>
      <c r="M415" s="1"/>
      <c r="N415" s="1" t="str">
        <f ca="1">IFERROR(__xludf.DUMMYFUNCTION("""COMPUTED_VALUE"""),"TO11")</f>
        <v>TO11</v>
      </c>
      <c r="O415" s="1"/>
      <c r="P415" s="1"/>
    </row>
    <row r="416" spans="1:16" ht="14.25" customHeight="1" x14ac:dyDescent="0.25">
      <c r="A416" s="1"/>
      <c r="B416" s="1">
        <f ca="1"/>
        <v>404</v>
      </c>
      <c r="C416" s="1">
        <f ca="1">IFERROR(__xludf.DUMMYFUNCTION("""COMPUTED_VALUE"""),2023)</f>
        <v>2023</v>
      </c>
      <c r="D416" s="1">
        <f ca="1">IFERROR(__xludf.DUMMYFUNCTION("""COMPUTED_VALUE"""),11955)</f>
        <v>11955</v>
      </c>
      <c r="E416" s="1" t="str">
        <f ca="1">IFERROR(__xludf.DUMMYFUNCTION("""COMPUTED_VALUE"""),"Coke and Chemistry")</f>
        <v>Coke and Chemistry</v>
      </c>
      <c r="F416" s="1" t="str">
        <f ca="1">IFERROR(__xludf.DUMMYFUNCTION("""COMPUTED_VALUE"""),"1934-8398")</f>
        <v>1934-8398</v>
      </c>
      <c r="G416" s="1" t="str">
        <f ca="1">IFERROR(__xludf.DUMMYFUNCTION("""COMPUTED_VALUE"""),"1068-364X")</f>
        <v>1068-364X</v>
      </c>
      <c r="H416" s="27" t="str">
        <f ca="1">IFERROR(__xludf.DUMMYFUNCTION("""COMPUTED_VALUE"""),"https://link.springer.com/journal/11955")</f>
        <v>https://link.springer.com/journal/11955</v>
      </c>
      <c r="I416" s="1" t="str">
        <f ca="1">IFERROR(__xludf.DUMMYFUNCTION("""COMPUTED_VALUE"""),"Pleiades Publishing")</f>
        <v>Pleiades Publishing</v>
      </c>
      <c r="J416" s="1">
        <f ca="1">IFERROR(__xludf.DUMMYFUNCTION("""COMPUTED_VALUE"""),2007)</f>
        <v>2007</v>
      </c>
      <c r="K416" s="1" t="str">
        <f ca="1">IFERROR(__xludf.DUMMYFUNCTION("""COMPUTED_VALUE"""),"Chemistry and Materials Science")</f>
        <v>Chemistry and Materials Science</v>
      </c>
      <c r="L416" s="1" t="str">
        <f ca="1">IFERROR(__xludf.DUMMYFUNCTION("""COMPUTED_VALUE"""),"〇")</f>
        <v>〇</v>
      </c>
      <c r="M416" s="1" t="str">
        <f ca="1">IFERROR(__xludf.DUMMYFUNCTION("""COMPUTED_VALUE"""),"〇")</f>
        <v>〇</v>
      </c>
      <c r="N416" s="1" t="str">
        <f ca="1">IFERROR(__xludf.DUMMYFUNCTION("""COMPUTED_VALUE"""),"TO7")</f>
        <v>TO7</v>
      </c>
      <c r="O416" s="1"/>
      <c r="P416" s="1"/>
    </row>
    <row r="417" spans="1:16" ht="14.25" customHeight="1" x14ac:dyDescent="0.25">
      <c r="A417" s="1"/>
      <c r="B417" s="1">
        <f ca="1"/>
        <v>405</v>
      </c>
      <c r="C417" s="1">
        <f ca="1">IFERROR(__xludf.DUMMYFUNCTION("""COMPUTED_VALUE"""),2023)</f>
        <v>2023</v>
      </c>
      <c r="D417" s="1">
        <f ca="1">IFERROR(__xludf.DUMMYFUNCTION("""COMPUTED_VALUE"""),13348)</f>
        <v>13348</v>
      </c>
      <c r="E417" s="1" t="str">
        <f ca="1">IFERROR(__xludf.DUMMYFUNCTION("""COMPUTED_VALUE"""),"Collectanea Mathematica")</f>
        <v>Collectanea Mathematica</v>
      </c>
      <c r="F417" s="1" t="str">
        <f ca="1">IFERROR(__xludf.DUMMYFUNCTION("""COMPUTED_VALUE"""),"2038-4815")</f>
        <v>2038-4815</v>
      </c>
      <c r="G417" s="1" t="str">
        <f ca="1">IFERROR(__xludf.DUMMYFUNCTION("""COMPUTED_VALUE"""),"0010-0757")</f>
        <v>0010-0757</v>
      </c>
      <c r="H417" s="27" t="str">
        <f ca="1">IFERROR(__xludf.DUMMYFUNCTION("""COMPUTED_VALUE"""),"https://link.springer.com/journal/13348")</f>
        <v>https://link.springer.com/journal/13348</v>
      </c>
      <c r="I417" s="1" t="str">
        <f ca="1">IFERROR(__xludf.DUMMYFUNCTION("""COMPUTED_VALUE"""),"Springer")</f>
        <v>Springer</v>
      </c>
      <c r="J417" s="1">
        <f ca="1">IFERROR(__xludf.DUMMYFUNCTION("""COMPUTED_VALUE"""),2008)</f>
        <v>2008</v>
      </c>
      <c r="K417" s="1" t="str">
        <f ca="1">IFERROR(__xludf.DUMMYFUNCTION("""COMPUTED_VALUE"""),"Mathematics and Statistics")</f>
        <v>Mathematics and Statistics</v>
      </c>
      <c r="L417" s="1" t="str">
        <f ca="1">IFERROR(__xludf.DUMMYFUNCTION("""COMPUTED_VALUE"""),"〇")</f>
        <v>〇</v>
      </c>
      <c r="M417" s="1"/>
      <c r="N417" s="1" t="str">
        <f ca="1">IFERROR(__xludf.DUMMYFUNCTION("""COMPUTED_VALUE"""),"TO11")</f>
        <v>TO11</v>
      </c>
      <c r="O417" s="1"/>
      <c r="P417" s="1"/>
    </row>
    <row r="418" spans="1:16" ht="14.25" customHeight="1" x14ac:dyDescent="0.25">
      <c r="A418" s="1"/>
      <c r="B418" s="1">
        <f ca="1"/>
        <v>406</v>
      </c>
      <c r="C418" s="1">
        <f ca="1">IFERROR(__xludf.DUMMYFUNCTION("""COMPUTED_VALUE"""),2023)</f>
        <v>2023</v>
      </c>
      <c r="D418" s="1">
        <f ca="1">IFERROR(__xludf.DUMMYFUNCTION("""COMPUTED_VALUE"""),396)</f>
        <v>396</v>
      </c>
      <c r="E418" s="1" t="str">
        <f ca="1">IFERROR(__xludf.DUMMYFUNCTION("""COMPUTED_VALUE"""),"Colloid and Polymer Science")</f>
        <v>Colloid and Polymer Science</v>
      </c>
      <c r="F418" s="1" t="str">
        <f ca="1">IFERROR(__xludf.DUMMYFUNCTION("""COMPUTED_VALUE"""),"1435-1536")</f>
        <v>1435-1536</v>
      </c>
      <c r="G418" s="1" t="str">
        <f ca="1">IFERROR(__xludf.DUMMYFUNCTION("""COMPUTED_VALUE"""),"0303-402X")</f>
        <v>0303-402X</v>
      </c>
      <c r="H418" s="27" t="str">
        <f ca="1">IFERROR(__xludf.DUMMYFUNCTION("""COMPUTED_VALUE"""),"https://link.springer.com/journal/396")</f>
        <v>https://link.springer.com/journal/396</v>
      </c>
      <c r="I418" s="1" t="str">
        <f ca="1">IFERROR(__xludf.DUMMYFUNCTION("""COMPUTED_VALUE"""),"Springer")</f>
        <v>Springer</v>
      </c>
      <c r="J418" s="1">
        <f ca="1">IFERROR(__xludf.DUMMYFUNCTION("""COMPUTED_VALUE"""),2000)</f>
        <v>2000</v>
      </c>
      <c r="K418" s="1" t="str">
        <f ca="1">IFERROR(__xludf.DUMMYFUNCTION("""COMPUTED_VALUE"""),"Chemistry and Materials Science")</f>
        <v>Chemistry and Materials Science</v>
      </c>
      <c r="L418" s="1" t="str">
        <f ca="1">IFERROR(__xludf.DUMMYFUNCTION("""COMPUTED_VALUE"""),"〇")</f>
        <v>〇</v>
      </c>
      <c r="M418" s="1" t="str">
        <f ca="1">IFERROR(__xludf.DUMMYFUNCTION("""COMPUTED_VALUE"""),"〇")</f>
        <v>〇</v>
      </c>
      <c r="N418" s="1"/>
      <c r="O418" s="1"/>
      <c r="P418" s="1"/>
    </row>
    <row r="419" spans="1:16" ht="14.25" customHeight="1" x14ac:dyDescent="0.25">
      <c r="A419" s="1"/>
      <c r="B419" s="1">
        <f ca="1"/>
        <v>407</v>
      </c>
      <c r="C419" s="1">
        <f ca="1">IFERROR(__xludf.DUMMYFUNCTION("""COMPUTED_VALUE"""),2023)</f>
        <v>2023</v>
      </c>
      <c r="D419" s="1">
        <f ca="1">IFERROR(__xludf.DUMMYFUNCTION("""COMPUTED_VALUE"""),10595)</f>
        <v>10595</v>
      </c>
      <c r="E419" s="1" t="str">
        <f ca="1">IFERROR(__xludf.DUMMYFUNCTION("""COMPUTED_VALUE"""),"Colloid Journal")</f>
        <v>Colloid Journal</v>
      </c>
      <c r="F419" s="1" t="str">
        <f ca="1">IFERROR(__xludf.DUMMYFUNCTION("""COMPUTED_VALUE"""),"1608-3067")</f>
        <v>1608-3067</v>
      </c>
      <c r="G419" s="1" t="str">
        <f ca="1">IFERROR(__xludf.DUMMYFUNCTION("""COMPUTED_VALUE"""),"1061-933X")</f>
        <v>1061-933X</v>
      </c>
      <c r="H419" s="27" t="str">
        <f ca="1">IFERROR(__xludf.DUMMYFUNCTION("""COMPUTED_VALUE"""),"https://link.springer.com/journal/10595")</f>
        <v>https://link.springer.com/journal/10595</v>
      </c>
      <c r="I419" s="1" t="str">
        <f ca="1">IFERROR(__xludf.DUMMYFUNCTION("""COMPUTED_VALUE"""),"Pleiades Publishing")</f>
        <v>Pleiades Publishing</v>
      </c>
      <c r="J419" s="1">
        <f ca="1">IFERROR(__xludf.DUMMYFUNCTION("""COMPUTED_VALUE"""),2000)</f>
        <v>2000</v>
      </c>
      <c r="K419" s="1" t="str">
        <f ca="1">IFERROR(__xludf.DUMMYFUNCTION("""COMPUTED_VALUE"""),"Chemistry and Materials Science")</f>
        <v>Chemistry and Materials Science</v>
      </c>
      <c r="L419" s="1" t="str">
        <f ca="1">IFERROR(__xludf.DUMMYFUNCTION("""COMPUTED_VALUE"""),"〇")</f>
        <v>〇</v>
      </c>
      <c r="M419" s="1" t="str">
        <f ca="1">IFERROR(__xludf.DUMMYFUNCTION("""COMPUTED_VALUE"""),"〇")</f>
        <v>〇</v>
      </c>
      <c r="N419" s="1"/>
      <c r="O419" s="1"/>
      <c r="P419" s="1"/>
    </row>
    <row r="420" spans="1:16" ht="14.25" customHeight="1" x14ac:dyDescent="0.25">
      <c r="A420" s="1"/>
      <c r="B420" s="1">
        <f ca="1"/>
        <v>408</v>
      </c>
      <c r="C420" s="1">
        <f ca="1">IFERROR(__xludf.DUMMYFUNCTION("""COMPUTED_VALUE"""),2023)</f>
        <v>2023</v>
      </c>
      <c r="D420" s="1">
        <f ca="1">IFERROR(__xludf.DUMMYFUNCTION("""COMPUTED_VALUE"""),53)</f>
        <v>53</v>
      </c>
      <c r="E420" s="1" t="str">
        <f ca="1">IFERROR(__xludf.DUMMYFUNCTION("""COMPUTED_VALUE"""),"coloproctology")</f>
        <v>coloproctology</v>
      </c>
      <c r="F420" s="1" t="str">
        <f ca="1">IFERROR(__xludf.DUMMYFUNCTION("""COMPUTED_VALUE"""),"1615-6730")</f>
        <v>1615-6730</v>
      </c>
      <c r="G420" s="1" t="str">
        <f ca="1">IFERROR(__xludf.DUMMYFUNCTION("""COMPUTED_VALUE"""),"0174-2442")</f>
        <v>0174-2442</v>
      </c>
      <c r="H420" s="27" t="str">
        <f ca="1">IFERROR(__xludf.DUMMYFUNCTION("""COMPUTED_VALUE"""),"https://link.springer.com/journal/53")</f>
        <v>https://link.springer.com/journal/53</v>
      </c>
      <c r="I420" s="1" t="str">
        <f ca="1">IFERROR(__xludf.DUMMYFUNCTION("""COMPUTED_VALUE"""),"SpringerMedizin")</f>
        <v>SpringerMedizin</v>
      </c>
      <c r="J420" s="1">
        <f ca="1">IFERROR(__xludf.DUMMYFUNCTION("""COMPUTED_VALUE"""),2000)</f>
        <v>2000</v>
      </c>
      <c r="K420" s="1" t="str">
        <f ca="1">IFERROR(__xludf.DUMMYFUNCTION("""COMPUTED_VALUE"""),"Medicine")</f>
        <v>Medicine</v>
      </c>
      <c r="L420" s="1" t="str">
        <f ca="1">IFERROR(__xludf.DUMMYFUNCTION("""COMPUTED_VALUE"""),"〇")</f>
        <v>〇</v>
      </c>
      <c r="M420" s="1" t="str">
        <f ca="1">IFERROR(__xludf.DUMMYFUNCTION("""COMPUTED_VALUE"""),"〇")</f>
        <v>〇</v>
      </c>
      <c r="N420" s="1"/>
      <c r="O420" s="1"/>
      <c r="P420" s="1"/>
    </row>
    <row r="421" spans="1:16" ht="14.25" customHeight="1" x14ac:dyDescent="0.25">
      <c r="A421" s="1"/>
      <c r="B421" s="1">
        <f ca="1"/>
        <v>409</v>
      </c>
      <c r="C421" s="1">
        <f ca="1">IFERROR(__xludf.DUMMYFUNCTION("""COMPUTED_VALUE"""),2023)</f>
        <v>2023</v>
      </c>
      <c r="D421" s="1">
        <f ca="1">IFERROR(__xludf.DUMMYFUNCTION("""COMPUTED_VALUE"""),493)</f>
        <v>493</v>
      </c>
      <c r="E421" s="1" t="str">
        <f ca="1">IFERROR(__xludf.DUMMYFUNCTION("""COMPUTED_VALUE"""),"Combinatorica")</f>
        <v>Combinatorica</v>
      </c>
      <c r="F421" s="1" t="str">
        <f ca="1">IFERROR(__xludf.DUMMYFUNCTION("""COMPUTED_VALUE"""),"1439-6912")</f>
        <v>1439-6912</v>
      </c>
      <c r="G421" s="1" t="str">
        <f ca="1">IFERROR(__xludf.DUMMYFUNCTION("""COMPUTED_VALUE"""),"0209-9683")</f>
        <v>0209-9683</v>
      </c>
      <c r="H421" s="27" t="str">
        <f ca="1">IFERROR(__xludf.DUMMYFUNCTION("""COMPUTED_VALUE"""),"https://link.springer.com/journal/493")</f>
        <v>https://link.springer.com/journal/493</v>
      </c>
      <c r="I421" s="1" t="str">
        <f ca="1">IFERROR(__xludf.DUMMYFUNCTION("""COMPUTED_VALUE"""),"Springer")</f>
        <v>Springer</v>
      </c>
      <c r="J421" s="1">
        <f ca="1">IFERROR(__xludf.DUMMYFUNCTION("""COMPUTED_VALUE"""),2000)</f>
        <v>2000</v>
      </c>
      <c r="K421" s="1" t="str">
        <f ca="1">IFERROR(__xludf.DUMMYFUNCTION("""COMPUTED_VALUE"""),"Mathematics and Statistics")</f>
        <v>Mathematics and Statistics</v>
      </c>
      <c r="L421" s="1" t="str">
        <f ca="1">IFERROR(__xludf.DUMMYFUNCTION("""COMPUTED_VALUE"""),"〇")</f>
        <v>〇</v>
      </c>
      <c r="M421" s="1" t="str">
        <f ca="1">IFERROR(__xludf.DUMMYFUNCTION("""COMPUTED_VALUE"""),"〇")</f>
        <v>〇</v>
      </c>
      <c r="N421" s="1"/>
      <c r="O421" s="1"/>
      <c r="P421" s="1"/>
    </row>
    <row r="422" spans="1:16" ht="14.25" customHeight="1" x14ac:dyDescent="0.25">
      <c r="A422" s="1"/>
      <c r="B422" s="1">
        <f ca="1"/>
        <v>410</v>
      </c>
      <c r="C422" s="1">
        <f ca="1">IFERROR(__xludf.DUMMYFUNCTION("""COMPUTED_VALUE"""),2023)</f>
        <v>2023</v>
      </c>
      <c r="D422" s="1">
        <f ca="1">IFERROR(__xludf.DUMMYFUNCTION("""COMPUTED_VALUE"""),10573)</f>
        <v>10573</v>
      </c>
      <c r="E422" s="1" t="str">
        <f ca="1">IFERROR(__xludf.DUMMYFUNCTION("""COMPUTED_VALUE"""),"Combustion, Explosion, and Shock Waves")</f>
        <v>Combustion, Explosion, and Shock Waves</v>
      </c>
      <c r="F422" s="1" t="str">
        <f ca="1">IFERROR(__xludf.DUMMYFUNCTION("""COMPUTED_VALUE"""),"1573-8345")</f>
        <v>1573-8345</v>
      </c>
      <c r="G422" s="1" t="str">
        <f ca="1">IFERROR(__xludf.DUMMYFUNCTION("""COMPUTED_VALUE"""),"0010-5082")</f>
        <v>0010-5082</v>
      </c>
      <c r="H422" s="27" t="str">
        <f ca="1">IFERROR(__xludf.DUMMYFUNCTION("""COMPUTED_VALUE"""),"https://link.springer.com/journal/10573")</f>
        <v>https://link.springer.com/journal/10573</v>
      </c>
      <c r="I422" s="1" t="str">
        <f ca="1">IFERROR(__xludf.DUMMYFUNCTION("""COMPUTED_VALUE"""),"Pleiades Publishing")</f>
        <v>Pleiades Publishing</v>
      </c>
      <c r="J422" s="1">
        <f ca="1">IFERROR(__xludf.DUMMYFUNCTION("""COMPUTED_VALUE"""),2000)</f>
        <v>2000</v>
      </c>
      <c r="K422" s="1" t="str">
        <f ca="1">IFERROR(__xludf.DUMMYFUNCTION("""COMPUTED_VALUE"""),"Physics and Astronomy")</f>
        <v>Physics and Astronomy</v>
      </c>
      <c r="L422" s="1" t="str">
        <f ca="1">IFERROR(__xludf.DUMMYFUNCTION("""COMPUTED_VALUE"""),"〇")</f>
        <v>〇</v>
      </c>
      <c r="M422" s="1" t="str">
        <f ca="1">IFERROR(__xludf.DUMMYFUNCTION("""COMPUTED_VALUE"""),"〇")</f>
        <v>〇</v>
      </c>
      <c r="N422" s="1"/>
      <c r="O422" s="1"/>
      <c r="P422" s="1"/>
    </row>
    <row r="423" spans="1:16" ht="14.25" customHeight="1" x14ac:dyDescent="0.25">
      <c r="A423" s="1"/>
      <c r="B423" s="1">
        <f ca="1"/>
        <v>411</v>
      </c>
      <c r="C423" s="1">
        <f ca="1">IFERROR(__xludf.DUMMYFUNCTION("""COMPUTED_VALUE"""),2023)</f>
        <v>2023</v>
      </c>
      <c r="D423" s="1">
        <f ca="1">IFERROR(__xludf.DUMMYFUNCTION("""COMPUTED_VALUE"""),220)</f>
        <v>220</v>
      </c>
      <c r="E423" s="1" t="str">
        <f ca="1">IFERROR(__xludf.DUMMYFUNCTION("""COMPUTED_VALUE"""),"Communications in Mathematical Physics")</f>
        <v>Communications in Mathematical Physics</v>
      </c>
      <c r="F423" s="1" t="str">
        <f ca="1">IFERROR(__xludf.DUMMYFUNCTION("""COMPUTED_VALUE"""),"1432-0916")</f>
        <v>1432-0916</v>
      </c>
      <c r="G423" s="1" t="str">
        <f ca="1">IFERROR(__xludf.DUMMYFUNCTION("""COMPUTED_VALUE"""),"0010-3616")</f>
        <v>0010-3616</v>
      </c>
      <c r="H423" s="27" t="str">
        <f ca="1">IFERROR(__xludf.DUMMYFUNCTION("""COMPUTED_VALUE"""),"https://link.springer.com/journal/220")</f>
        <v>https://link.springer.com/journal/220</v>
      </c>
      <c r="I423" s="1" t="str">
        <f ca="1">IFERROR(__xludf.DUMMYFUNCTION("""COMPUTED_VALUE"""),"Springer")</f>
        <v>Springer</v>
      </c>
      <c r="J423" s="1">
        <f ca="1">IFERROR(__xludf.DUMMYFUNCTION("""COMPUTED_VALUE"""),2000)</f>
        <v>2000</v>
      </c>
      <c r="K423" s="1" t="str">
        <f ca="1">IFERROR(__xludf.DUMMYFUNCTION("""COMPUTED_VALUE"""),"Physics and Astronomy")</f>
        <v>Physics and Astronomy</v>
      </c>
      <c r="L423" s="1" t="str">
        <f ca="1">IFERROR(__xludf.DUMMYFUNCTION("""COMPUTED_VALUE"""),"〇")</f>
        <v>〇</v>
      </c>
      <c r="M423" s="1" t="str">
        <f ca="1">IFERROR(__xludf.DUMMYFUNCTION("""COMPUTED_VALUE"""),"〇")</f>
        <v>〇</v>
      </c>
      <c r="N423" s="1"/>
      <c r="O423" s="1"/>
      <c r="P423" s="1"/>
    </row>
    <row r="424" spans="1:16" ht="14.25" customHeight="1" x14ac:dyDescent="0.25">
      <c r="A424" s="1"/>
      <c r="B424" s="1">
        <f ca="1"/>
        <v>412</v>
      </c>
      <c r="C424" s="1">
        <f ca="1">IFERROR(__xludf.DUMMYFUNCTION("""COMPUTED_VALUE"""),2023)</f>
        <v>2023</v>
      </c>
      <c r="D424" s="1">
        <f ca="1">IFERROR(__xludf.DUMMYFUNCTION("""COMPUTED_VALUE"""),40304)</f>
        <v>40304</v>
      </c>
      <c r="E424" s="1" t="str">
        <f ca="1">IFERROR(__xludf.DUMMYFUNCTION("""COMPUTED_VALUE"""),"Communications in Mathematics and Statistics")</f>
        <v>Communications in Mathematics and Statistics</v>
      </c>
      <c r="F424" s="1" t="str">
        <f ca="1">IFERROR(__xludf.DUMMYFUNCTION("""COMPUTED_VALUE"""),"2194-671X")</f>
        <v>2194-671X</v>
      </c>
      <c r="G424" s="1" t="str">
        <f ca="1">IFERROR(__xludf.DUMMYFUNCTION("""COMPUTED_VALUE"""),"2194-6701")</f>
        <v>2194-6701</v>
      </c>
      <c r="H424" s="27" t="str">
        <f ca="1">IFERROR(__xludf.DUMMYFUNCTION("""COMPUTED_VALUE"""),"https://link.springer.com/journal/40304")</f>
        <v>https://link.springer.com/journal/40304</v>
      </c>
      <c r="I424" s="1" t="str">
        <f ca="1">IFERROR(__xludf.DUMMYFUNCTION("""COMPUTED_VALUE"""),"Springer")</f>
        <v>Springer</v>
      </c>
      <c r="J424" s="1">
        <f ca="1">IFERROR(__xludf.DUMMYFUNCTION("""COMPUTED_VALUE"""),2013)</f>
        <v>2013</v>
      </c>
      <c r="K424" s="1" t="str">
        <f ca="1">IFERROR(__xludf.DUMMYFUNCTION("""COMPUTED_VALUE"""),"Mathematics and Statistics")</f>
        <v>Mathematics and Statistics</v>
      </c>
      <c r="L424" s="1" t="str">
        <f ca="1">IFERROR(__xludf.DUMMYFUNCTION("""COMPUTED_VALUE"""),"〇")</f>
        <v>〇</v>
      </c>
      <c r="M424" s="1"/>
      <c r="N424" s="1" t="str">
        <f ca="1">IFERROR(__xludf.DUMMYFUNCTION("""COMPUTED_VALUE"""),"SNS13")</f>
        <v>SNS13</v>
      </c>
      <c r="O424" s="1"/>
      <c r="P424" s="1"/>
    </row>
    <row r="425" spans="1:16" ht="14.25" customHeight="1" x14ac:dyDescent="0.25">
      <c r="A425" s="1"/>
      <c r="B425" s="1">
        <f ca="1"/>
        <v>413</v>
      </c>
      <c r="C425" s="1">
        <f ca="1">IFERROR(__xludf.DUMMYFUNCTION("""COMPUTED_VALUE"""),2023)</f>
        <v>2023</v>
      </c>
      <c r="D425" s="1">
        <f ca="1">IFERROR(__xludf.DUMMYFUNCTION("""COMPUTED_VALUE"""),42967)</f>
        <v>42967</v>
      </c>
      <c r="E425" s="1" t="str">
        <f ca="1">IFERROR(__xludf.DUMMYFUNCTION("""COMPUTED_VALUE"""),"Communications on Applied Mathematics and Computation")</f>
        <v>Communications on Applied Mathematics and Computation</v>
      </c>
      <c r="F425" s="1" t="str">
        <f ca="1">IFERROR(__xludf.DUMMYFUNCTION("""COMPUTED_VALUE"""),"2661-8893")</f>
        <v>2661-8893</v>
      </c>
      <c r="G425" s="1" t="str">
        <f ca="1">IFERROR(__xludf.DUMMYFUNCTION("""COMPUTED_VALUE"""),"2096-6385")</f>
        <v>2096-6385</v>
      </c>
      <c r="H425" s="27" t="str">
        <f ca="1">IFERROR(__xludf.DUMMYFUNCTION("""COMPUTED_VALUE"""),"https://link.springer.com/journal/42967")</f>
        <v>https://link.springer.com/journal/42967</v>
      </c>
      <c r="I425" s="1" t="str">
        <f ca="1">IFERROR(__xludf.DUMMYFUNCTION("""COMPUTED_VALUE"""),"Springer")</f>
        <v>Springer</v>
      </c>
      <c r="J425" s="1">
        <f ca="1">IFERROR(__xludf.DUMMYFUNCTION("""COMPUTED_VALUE"""),2019)</f>
        <v>2019</v>
      </c>
      <c r="K425" s="1" t="str">
        <f ca="1">IFERROR(__xludf.DUMMYFUNCTION("""COMPUTED_VALUE"""),"Mathematics and Statistics")</f>
        <v>Mathematics and Statistics</v>
      </c>
      <c r="L425" s="1" t="str">
        <f ca="1">IFERROR(__xludf.DUMMYFUNCTION("""COMPUTED_VALUE"""),"〇")</f>
        <v>〇</v>
      </c>
      <c r="M425" s="1"/>
      <c r="N425" s="1" t="str">
        <f ca="1">IFERROR(__xludf.DUMMYFUNCTION("""COMPUTED_VALUE"""),"SNS19")</f>
        <v>SNS19</v>
      </c>
      <c r="O425" s="1"/>
      <c r="P425" s="1"/>
    </row>
    <row r="426" spans="1:16" ht="14.25" customHeight="1" x14ac:dyDescent="0.25">
      <c r="A426" s="1"/>
      <c r="B426" s="1">
        <f ca="1"/>
        <v>414</v>
      </c>
      <c r="C426" s="1">
        <f ca="1">IFERROR(__xludf.DUMMYFUNCTION("""COMPUTED_VALUE"""),2023)</f>
        <v>2023</v>
      </c>
      <c r="D426" s="1">
        <f ca="1">IFERROR(__xludf.DUMMYFUNCTION("""COMPUTED_VALUE"""),42974)</f>
        <v>42974</v>
      </c>
      <c r="E426" s="1" t="str">
        <f ca="1">IFERROR(__xludf.DUMMYFUNCTION("""COMPUTED_VALUE"""),"Community Ecology")</f>
        <v>Community Ecology</v>
      </c>
      <c r="F426" s="1" t="str">
        <f ca="1">IFERROR(__xludf.DUMMYFUNCTION("""COMPUTED_VALUE"""),"1588-2756")</f>
        <v>1588-2756</v>
      </c>
      <c r="G426" s="1" t="str">
        <f ca="1">IFERROR(__xludf.DUMMYFUNCTION("""COMPUTED_VALUE"""),"1585-8553")</f>
        <v>1585-8553</v>
      </c>
      <c r="H426" s="27" t="str">
        <f ca="1">IFERROR(__xludf.DUMMYFUNCTION("""COMPUTED_VALUE"""),"https://link.springer.com/journal/42974")</f>
        <v>https://link.springer.com/journal/42974</v>
      </c>
      <c r="I426" s="1" t="str">
        <f ca="1">IFERROR(__xludf.DUMMYFUNCTION("""COMPUTED_VALUE"""),"Akadémiai Kiadó, co-published with Springer")</f>
        <v>Akadémiai Kiadó, co-published with Springer</v>
      </c>
      <c r="J426" s="1">
        <f ca="1">IFERROR(__xludf.DUMMYFUNCTION("""COMPUTED_VALUE"""),2000)</f>
        <v>2000</v>
      </c>
      <c r="K426" s="1" t="str">
        <f ca="1">IFERROR(__xludf.DUMMYFUNCTION("""COMPUTED_VALUE"""),"Biomedical and Life Sciences")</f>
        <v>Biomedical and Life Sciences</v>
      </c>
      <c r="L426" s="1" t="str">
        <f ca="1">IFERROR(__xludf.DUMMYFUNCTION("""COMPUTED_VALUE"""),"〇")</f>
        <v>〇</v>
      </c>
      <c r="M426" s="1"/>
      <c r="N426" s="1" t="str">
        <f ca="1">IFERROR(__xludf.DUMMYFUNCTION("""COMPUTED_VALUE"""),"TO20")</f>
        <v>TO20</v>
      </c>
      <c r="O426" s="1"/>
      <c r="P426" s="1"/>
    </row>
    <row r="427" spans="1:16" ht="14.25" customHeight="1" x14ac:dyDescent="0.25">
      <c r="A427" s="1"/>
      <c r="B427" s="1">
        <f ca="1"/>
        <v>415</v>
      </c>
      <c r="C427" s="1">
        <f ca="1">IFERROR(__xludf.DUMMYFUNCTION("""COMPUTED_VALUE"""),2023)</f>
        <v>2023</v>
      </c>
      <c r="D427" s="1">
        <f ca="1">IFERROR(__xludf.DUMMYFUNCTION("""COMPUTED_VALUE"""),10597)</f>
        <v>10597</v>
      </c>
      <c r="E427" s="1" t="str">
        <f ca="1">IFERROR(__xludf.DUMMYFUNCTION("""COMPUTED_VALUE"""),"Community Mental Health Journal")</f>
        <v>Community Mental Health Journal</v>
      </c>
      <c r="F427" s="1" t="str">
        <f ca="1">IFERROR(__xludf.DUMMYFUNCTION("""COMPUTED_VALUE"""),"1573-2789")</f>
        <v>1573-2789</v>
      </c>
      <c r="G427" s="1" t="str">
        <f ca="1">IFERROR(__xludf.DUMMYFUNCTION("""COMPUTED_VALUE"""),"0010-3853")</f>
        <v>0010-3853</v>
      </c>
      <c r="H427" s="27" t="str">
        <f ca="1">IFERROR(__xludf.DUMMYFUNCTION("""COMPUTED_VALUE"""),"https://link.springer.com/journal/10597")</f>
        <v>https://link.springer.com/journal/10597</v>
      </c>
      <c r="I427" s="1" t="str">
        <f ca="1">IFERROR(__xludf.DUMMYFUNCTION("""COMPUTED_VALUE"""),"Springer")</f>
        <v>Springer</v>
      </c>
      <c r="J427" s="1">
        <f ca="1">IFERROR(__xludf.DUMMYFUNCTION("""COMPUTED_VALUE"""),2000)</f>
        <v>2000</v>
      </c>
      <c r="K427" s="1" t="str">
        <f ca="1">IFERROR(__xludf.DUMMYFUNCTION("""COMPUTED_VALUE"""),"Medicine")</f>
        <v>Medicine</v>
      </c>
      <c r="L427" s="1" t="str">
        <f ca="1">IFERROR(__xludf.DUMMYFUNCTION("""COMPUTED_VALUE"""),"〇")</f>
        <v>〇</v>
      </c>
      <c r="M427" s="1" t="str">
        <f ca="1">IFERROR(__xludf.DUMMYFUNCTION("""COMPUTED_VALUE"""),"〇")</f>
        <v>〇</v>
      </c>
      <c r="N427" s="1"/>
      <c r="O427" s="1"/>
      <c r="P427" s="1"/>
    </row>
    <row r="428" spans="1:16" ht="14.25" customHeight="1" x14ac:dyDescent="0.25">
      <c r="A428" s="1"/>
      <c r="B428" s="1">
        <f ca="1"/>
        <v>416</v>
      </c>
      <c r="C428" s="1">
        <f ca="1">IFERROR(__xludf.DUMMYFUNCTION("""COMPUTED_VALUE"""),2023)</f>
        <v>2023</v>
      </c>
      <c r="D428" s="1">
        <f ca="1">IFERROR(__xludf.DUMMYFUNCTION("""COMPUTED_VALUE"""),580)</f>
        <v>580</v>
      </c>
      <c r="E428" s="1" t="str">
        <f ca="1">IFERROR(__xludf.DUMMYFUNCTION("""COMPUTED_VALUE"""),"Comparative Clinical Pathology")</f>
        <v>Comparative Clinical Pathology</v>
      </c>
      <c r="F428" s="1" t="str">
        <f ca="1">IFERROR(__xludf.DUMMYFUNCTION("""COMPUTED_VALUE"""),"1618-565X")</f>
        <v>1618-565X</v>
      </c>
      <c r="G428" s="1"/>
      <c r="H428" s="27" t="str">
        <f ca="1">IFERROR(__xludf.DUMMYFUNCTION("""COMPUTED_VALUE"""),"https://link.springer.com/journal/580")</f>
        <v>https://link.springer.com/journal/580</v>
      </c>
      <c r="I428" s="1" t="str">
        <f ca="1">IFERROR(__xludf.DUMMYFUNCTION("""COMPUTED_VALUE"""),"Springer")</f>
        <v>Springer</v>
      </c>
      <c r="J428" s="1">
        <f ca="1">IFERROR(__xludf.DUMMYFUNCTION("""COMPUTED_VALUE"""),2000)</f>
        <v>2000</v>
      </c>
      <c r="K428" s="1" t="str">
        <f ca="1">IFERROR(__xludf.DUMMYFUNCTION("""COMPUTED_VALUE"""),"Medicine")</f>
        <v>Medicine</v>
      </c>
      <c r="L428" s="1"/>
      <c r="M428" s="1" t="str">
        <f ca="1">IFERROR(__xludf.DUMMYFUNCTION("""COMPUTED_VALUE"""),"〇")</f>
        <v>〇</v>
      </c>
      <c r="N428" s="1"/>
      <c r="O428" s="1"/>
      <c r="P428" s="1"/>
    </row>
    <row r="429" spans="1:16" ht="14.25" customHeight="1" x14ac:dyDescent="0.25">
      <c r="A429" s="1"/>
      <c r="B429" s="1">
        <f ca="1"/>
        <v>417</v>
      </c>
      <c r="C429" s="1">
        <f ca="1">IFERROR(__xludf.DUMMYFUNCTION("""COMPUTED_VALUE"""),2023)</f>
        <v>2023</v>
      </c>
      <c r="D429" s="1">
        <f ca="1">IFERROR(__xludf.DUMMYFUNCTION("""COMPUTED_VALUE"""),40627)</f>
        <v>40627</v>
      </c>
      <c r="E429" s="1" t="str">
        <f ca="1">IFERROR(__xludf.DUMMYFUNCTION("""COMPUTED_VALUE"""),"Complex Analysis and its Synergies")</f>
        <v>Complex Analysis and its Synergies</v>
      </c>
      <c r="F429" s="1" t="str">
        <f ca="1">IFERROR(__xludf.DUMMYFUNCTION("""COMPUTED_VALUE"""),"2197-120X")</f>
        <v>2197-120X</v>
      </c>
      <c r="G429" s="1" t="str">
        <f ca="1">IFERROR(__xludf.DUMMYFUNCTION("""COMPUTED_VALUE"""),"2524-7581")</f>
        <v>2524-7581</v>
      </c>
      <c r="H429" s="27" t="str">
        <f ca="1">IFERROR(__xludf.DUMMYFUNCTION("""COMPUTED_VALUE"""),"https://link.springer.com/journal/40627")</f>
        <v>https://link.springer.com/journal/40627</v>
      </c>
      <c r="I429" s="1" t="str">
        <f ca="1">IFERROR(__xludf.DUMMYFUNCTION("""COMPUTED_VALUE"""),"Springer")</f>
        <v>Springer</v>
      </c>
      <c r="J429" s="1">
        <f ca="1">IFERROR(__xludf.DUMMYFUNCTION("""COMPUTED_VALUE"""),2015)</f>
        <v>2015</v>
      </c>
      <c r="K429" s="1" t="str">
        <f ca="1">IFERROR(__xludf.DUMMYFUNCTION("""COMPUTED_VALUE"""),"Mathematics and Statistics")</f>
        <v>Mathematics and Statistics</v>
      </c>
      <c r="L429" s="1" t="str">
        <f ca="1">IFERROR(__xludf.DUMMYFUNCTION("""COMPUTED_VALUE"""),"〇")</f>
        <v>〇</v>
      </c>
      <c r="M429" s="1"/>
      <c r="N429" s="1"/>
      <c r="O429" s="1"/>
      <c r="P429" s="1"/>
    </row>
    <row r="430" spans="1:16" ht="14.25" customHeight="1" x14ac:dyDescent="0.25">
      <c r="A430" s="1"/>
      <c r="B430" s="1">
        <f ca="1"/>
        <v>418</v>
      </c>
      <c r="C430" s="1">
        <f ca="1">IFERROR(__xludf.DUMMYFUNCTION("""COMPUTED_VALUE"""),2023)</f>
        <v>2023</v>
      </c>
      <c r="D430" s="1">
        <f ca="1">IFERROR(__xludf.DUMMYFUNCTION("""COMPUTED_VALUE"""),11785)</f>
        <v>11785</v>
      </c>
      <c r="E430" s="1" t="str">
        <f ca="1">IFERROR(__xludf.DUMMYFUNCTION("""COMPUTED_VALUE"""),"Complex Analysis and Operator Theory")</f>
        <v>Complex Analysis and Operator Theory</v>
      </c>
      <c r="F430" s="1" t="str">
        <f ca="1">IFERROR(__xludf.DUMMYFUNCTION("""COMPUTED_VALUE"""),"1661-8262")</f>
        <v>1661-8262</v>
      </c>
      <c r="G430" s="1" t="str">
        <f ca="1">IFERROR(__xludf.DUMMYFUNCTION("""COMPUTED_VALUE"""),"1661-8254")</f>
        <v>1661-8254</v>
      </c>
      <c r="H430" s="27" t="str">
        <f ca="1">IFERROR(__xludf.DUMMYFUNCTION("""COMPUTED_VALUE"""),"https://link.springer.com/journal/11785")</f>
        <v>https://link.springer.com/journal/11785</v>
      </c>
      <c r="I430" s="1" t="str">
        <f ca="1">IFERROR(__xludf.DUMMYFUNCTION("""COMPUTED_VALUE"""),"Birkhäuser")</f>
        <v>Birkhäuser</v>
      </c>
      <c r="J430" s="1">
        <f ca="1">IFERROR(__xludf.DUMMYFUNCTION("""COMPUTED_VALUE"""),2007)</f>
        <v>2007</v>
      </c>
      <c r="K430" s="1" t="str">
        <f ca="1">IFERROR(__xludf.DUMMYFUNCTION("""COMPUTED_VALUE"""),"Mathematics and Statistics")</f>
        <v>Mathematics and Statistics</v>
      </c>
      <c r="L430" s="1" t="str">
        <f ca="1">IFERROR(__xludf.DUMMYFUNCTION("""COMPUTED_VALUE"""),"〇")</f>
        <v>〇</v>
      </c>
      <c r="M430" s="1" t="str">
        <f ca="1">IFERROR(__xludf.DUMMYFUNCTION("""COMPUTED_VALUE"""),"〇")</f>
        <v>〇</v>
      </c>
      <c r="N430" s="1" t="str">
        <f ca="1">IFERROR(__xludf.DUMMYFUNCTION("""COMPUTED_VALUE"""),"SNS7")</f>
        <v>SNS7</v>
      </c>
      <c r="O430" s="1"/>
      <c r="P430" s="1"/>
    </row>
    <row r="431" spans="1:16" ht="14.25" customHeight="1" x14ac:dyDescent="0.25">
      <c r="A431" s="1"/>
      <c r="B431" s="1">
        <f ca="1"/>
        <v>419</v>
      </c>
      <c r="C431" s="1">
        <f ca="1">IFERROR(__xludf.DUMMYFUNCTION("""COMPUTED_VALUE"""),2023)</f>
        <v>2023</v>
      </c>
      <c r="D431" s="1">
        <f ca="1">IFERROR(__xludf.DUMMYFUNCTION("""COMPUTED_VALUE"""),40314)</f>
        <v>40314</v>
      </c>
      <c r="E431" s="1" t="str">
        <f ca="1">IFERROR(__xludf.DUMMYFUNCTION("""COMPUTED_VALUE"""),"Computational and Applied Mathematics")</f>
        <v>Computational and Applied Mathematics</v>
      </c>
      <c r="F431" s="1" t="str">
        <f ca="1">IFERROR(__xludf.DUMMYFUNCTION("""COMPUTED_VALUE"""),"1807-0302")</f>
        <v>1807-0302</v>
      </c>
      <c r="G431" s="1" t="str">
        <f ca="1">IFERROR(__xludf.DUMMYFUNCTION("""COMPUTED_VALUE"""),"2238-3603")</f>
        <v>2238-3603</v>
      </c>
      <c r="H431" s="27" t="str">
        <f ca="1">IFERROR(__xludf.DUMMYFUNCTION("""COMPUTED_VALUE"""),"https://link.springer.com/journal/40314")</f>
        <v>https://link.springer.com/journal/40314</v>
      </c>
      <c r="I431" s="1" t="str">
        <f ca="1">IFERROR(__xludf.DUMMYFUNCTION("""COMPUTED_VALUE"""),"Springer")</f>
        <v>Springer</v>
      </c>
      <c r="J431" s="1">
        <f ca="1">IFERROR(__xludf.DUMMYFUNCTION("""COMPUTED_VALUE"""),2013)</f>
        <v>2013</v>
      </c>
      <c r="K431" s="1" t="str">
        <f ca="1">IFERROR(__xludf.DUMMYFUNCTION("""COMPUTED_VALUE"""),"Mathematics and Statistics")</f>
        <v>Mathematics and Statistics</v>
      </c>
      <c r="L431" s="1" t="str">
        <f ca="1">IFERROR(__xludf.DUMMYFUNCTION("""COMPUTED_VALUE"""),"〇")</f>
        <v>〇</v>
      </c>
      <c r="M431" s="1"/>
      <c r="N431" s="1" t="str">
        <f ca="1">IFERROR(__xludf.DUMMYFUNCTION("""COMPUTED_VALUE"""),"TO13")</f>
        <v>TO13</v>
      </c>
      <c r="O431" s="1"/>
      <c r="P431" s="1"/>
    </row>
    <row r="432" spans="1:16" ht="14.25" customHeight="1" x14ac:dyDescent="0.25">
      <c r="A432" s="1"/>
      <c r="B432" s="1">
        <f ca="1"/>
        <v>420</v>
      </c>
      <c r="C432" s="1">
        <f ca="1">IFERROR(__xludf.DUMMYFUNCTION("""COMPUTED_VALUE"""),2023)</f>
        <v>2023</v>
      </c>
      <c r="D432" s="1">
        <f ca="1">IFERROR(__xludf.DUMMYFUNCTION("""COMPUTED_VALUE"""),10588)</f>
        <v>10588</v>
      </c>
      <c r="E432" s="1" t="str">
        <f ca="1">IFERROR(__xludf.DUMMYFUNCTION("""COMPUTED_VALUE"""),"Computational and Mathematical Organization Theory")</f>
        <v>Computational and Mathematical Organization Theory</v>
      </c>
      <c r="F432" s="1" t="str">
        <f ca="1">IFERROR(__xludf.DUMMYFUNCTION("""COMPUTED_VALUE"""),"1572-9346")</f>
        <v>1572-9346</v>
      </c>
      <c r="G432" s="1" t="str">
        <f ca="1">IFERROR(__xludf.DUMMYFUNCTION("""COMPUTED_VALUE"""),"1381-298X")</f>
        <v>1381-298X</v>
      </c>
      <c r="H432" s="27" t="str">
        <f ca="1">IFERROR(__xludf.DUMMYFUNCTION("""COMPUTED_VALUE"""),"https://link.springer.com/journal/10588")</f>
        <v>https://link.springer.com/journal/10588</v>
      </c>
      <c r="I432" s="1" t="str">
        <f ca="1">IFERROR(__xludf.DUMMYFUNCTION("""COMPUTED_VALUE"""),"Springer")</f>
        <v>Springer</v>
      </c>
      <c r="J432" s="1">
        <f ca="1">IFERROR(__xludf.DUMMYFUNCTION("""COMPUTED_VALUE"""),2000)</f>
        <v>2000</v>
      </c>
      <c r="K432" s="1" t="str">
        <f ca="1">IFERROR(__xludf.DUMMYFUNCTION("""COMPUTED_VALUE"""),"Business and Management")</f>
        <v>Business and Management</v>
      </c>
      <c r="L432" s="1" t="str">
        <f ca="1">IFERROR(__xludf.DUMMYFUNCTION("""COMPUTED_VALUE"""),"〇")</f>
        <v>〇</v>
      </c>
      <c r="M432" s="1" t="str">
        <f ca="1">IFERROR(__xludf.DUMMYFUNCTION("""COMPUTED_VALUE"""),"〇")</f>
        <v>〇</v>
      </c>
      <c r="N432" s="1"/>
      <c r="O432" s="1"/>
      <c r="P432" s="1"/>
    </row>
    <row r="433" spans="1:16" ht="14.25" customHeight="1" x14ac:dyDescent="0.25">
      <c r="A433" s="1"/>
      <c r="B433" s="1">
        <f ca="1"/>
        <v>421</v>
      </c>
      <c r="C433" s="1">
        <f ca="1">IFERROR(__xludf.DUMMYFUNCTION("""COMPUTED_VALUE"""),2023)</f>
        <v>2023</v>
      </c>
      <c r="D433" s="1">
        <f ca="1">IFERROR(__xludf.DUMMYFUNCTION("""COMPUTED_VALUE"""),42113)</f>
        <v>42113</v>
      </c>
      <c r="E433" s="1" t="str">
        <f ca="1">IFERROR(__xludf.DUMMYFUNCTION("""COMPUTED_VALUE"""),"Computational Brain &amp; Behavior")</f>
        <v>Computational Brain &amp; Behavior</v>
      </c>
      <c r="F433" s="1" t="str">
        <f ca="1">IFERROR(__xludf.DUMMYFUNCTION("""COMPUTED_VALUE"""),"2522-087X")</f>
        <v>2522-087X</v>
      </c>
      <c r="G433" s="1" t="str">
        <f ca="1">IFERROR(__xludf.DUMMYFUNCTION("""COMPUTED_VALUE"""),"2522-0861")</f>
        <v>2522-0861</v>
      </c>
      <c r="H433" s="27" t="str">
        <f ca="1">IFERROR(__xludf.DUMMYFUNCTION("""COMPUTED_VALUE"""),"https://link.springer.com/journal/42113")</f>
        <v>https://link.springer.com/journal/42113</v>
      </c>
      <c r="I433" s="1" t="str">
        <f ca="1">IFERROR(__xludf.DUMMYFUNCTION("""COMPUTED_VALUE"""),"Springer")</f>
        <v>Springer</v>
      </c>
      <c r="J433" s="1">
        <f ca="1">IFERROR(__xludf.DUMMYFUNCTION("""COMPUTED_VALUE"""),2018)</f>
        <v>2018</v>
      </c>
      <c r="K433" s="1" t="str">
        <f ca="1">IFERROR(__xludf.DUMMYFUNCTION("""COMPUTED_VALUE"""),"Behavioral Science and Psychology")</f>
        <v>Behavioral Science and Psychology</v>
      </c>
      <c r="L433" s="1" t="str">
        <f ca="1">IFERROR(__xludf.DUMMYFUNCTION("""COMPUTED_VALUE"""),"〇")</f>
        <v>〇</v>
      </c>
      <c r="M433" s="1"/>
      <c r="N433" s="1" t="str">
        <f ca="1">IFERROR(__xludf.DUMMYFUNCTION("""COMPUTED_VALUE"""),"SNS18")</f>
        <v>SNS18</v>
      </c>
      <c r="O433" s="1"/>
      <c r="P433" s="1"/>
    </row>
    <row r="434" spans="1:16" ht="14.25" customHeight="1" x14ac:dyDescent="0.25">
      <c r="A434" s="1"/>
      <c r="B434" s="1">
        <f ca="1"/>
        <v>422</v>
      </c>
      <c r="C434" s="1">
        <f ca="1">IFERROR(__xludf.DUMMYFUNCTION("""COMPUTED_VALUE"""),2023)</f>
        <v>2023</v>
      </c>
      <c r="D434" s="1">
        <f ca="1">IFERROR(__xludf.DUMMYFUNCTION("""COMPUTED_VALUE"""),37)</f>
        <v>37</v>
      </c>
      <c r="E434" s="1" t="str">
        <f ca="1">IFERROR(__xludf.DUMMYFUNCTION("""COMPUTED_VALUE"""),"computational complexity")</f>
        <v>computational complexity</v>
      </c>
      <c r="F434" s="1" t="str">
        <f ca="1">IFERROR(__xludf.DUMMYFUNCTION("""COMPUTED_VALUE"""),"1420-8954")</f>
        <v>1420-8954</v>
      </c>
      <c r="G434" s="1" t="str">
        <f ca="1">IFERROR(__xludf.DUMMYFUNCTION("""COMPUTED_VALUE"""),"1016-3328")</f>
        <v>1016-3328</v>
      </c>
      <c r="H434" s="27" t="str">
        <f ca="1">IFERROR(__xludf.DUMMYFUNCTION("""COMPUTED_VALUE"""),"https://link.springer.com/journal/37")</f>
        <v>https://link.springer.com/journal/37</v>
      </c>
      <c r="I434" s="1" t="str">
        <f ca="1">IFERROR(__xludf.DUMMYFUNCTION("""COMPUTED_VALUE"""),"Birkhäuser")</f>
        <v>Birkhäuser</v>
      </c>
      <c r="J434" s="1">
        <f ca="1">IFERROR(__xludf.DUMMYFUNCTION("""COMPUTED_VALUE"""),2000)</f>
        <v>2000</v>
      </c>
      <c r="K434" s="1" t="str">
        <f ca="1">IFERROR(__xludf.DUMMYFUNCTION("""COMPUTED_VALUE"""),"Computer Science")</f>
        <v>Computer Science</v>
      </c>
      <c r="L434" s="1" t="str">
        <f ca="1">IFERROR(__xludf.DUMMYFUNCTION("""COMPUTED_VALUE"""),"〇")</f>
        <v>〇</v>
      </c>
      <c r="M434" s="1" t="str">
        <f ca="1">IFERROR(__xludf.DUMMYFUNCTION("""COMPUTED_VALUE"""),"〇")</f>
        <v>〇</v>
      </c>
      <c r="N434" s="1"/>
      <c r="O434" s="1"/>
      <c r="P434" s="1"/>
    </row>
    <row r="435" spans="1:16" ht="14.25" customHeight="1" x14ac:dyDescent="0.25">
      <c r="A435" s="1"/>
      <c r="B435" s="1">
        <f ca="1"/>
        <v>423</v>
      </c>
      <c r="C435" s="1">
        <f ca="1">IFERROR(__xludf.DUMMYFUNCTION("""COMPUTED_VALUE"""),2023)</f>
        <v>2023</v>
      </c>
      <c r="D435" s="1">
        <f ca="1">IFERROR(__xludf.DUMMYFUNCTION("""COMPUTED_VALUE"""),10614)</f>
        <v>10614</v>
      </c>
      <c r="E435" s="1" t="str">
        <f ca="1">IFERROR(__xludf.DUMMYFUNCTION("""COMPUTED_VALUE"""),"Computational Economics")</f>
        <v>Computational Economics</v>
      </c>
      <c r="F435" s="1" t="str">
        <f ca="1">IFERROR(__xludf.DUMMYFUNCTION("""COMPUTED_VALUE"""),"1572-9974")</f>
        <v>1572-9974</v>
      </c>
      <c r="G435" s="1" t="str">
        <f ca="1">IFERROR(__xludf.DUMMYFUNCTION("""COMPUTED_VALUE"""),"0927-7099")</f>
        <v>0927-7099</v>
      </c>
      <c r="H435" s="27" t="str">
        <f ca="1">IFERROR(__xludf.DUMMYFUNCTION("""COMPUTED_VALUE"""),"https://link.springer.com/journal/10614")</f>
        <v>https://link.springer.com/journal/10614</v>
      </c>
      <c r="I435" s="1" t="str">
        <f ca="1">IFERROR(__xludf.DUMMYFUNCTION("""COMPUTED_VALUE"""),"Springer")</f>
        <v>Springer</v>
      </c>
      <c r="J435" s="1">
        <f ca="1">IFERROR(__xludf.DUMMYFUNCTION("""COMPUTED_VALUE"""),2000)</f>
        <v>2000</v>
      </c>
      <c r="K435" s="1" t="str">
        <f ca="1">IFERROR(__xludf.DUMMYFUNCTION("""COMPUTED_VALUE"""),"Economics and Finance")</f>
        <v>Economics and Finance</v>
      </c>
      <c r="L435" s="1" t="str">
        <f ca="1">IFERROR(__xludf.DUMMYFUNCTION("""COMPUTED_VALUE"""),"〇")</f>
        <v>〇</v>
      </c>
      <c r="M435" s="1" t="str">
        <f ca="1">IFERROR(__xludf.DUMMYFUNCTION("""COMPUTED_VALUE"""),"〇")</f>
        <v>〇</v>
      </c>
      <c r="N435" s="1"/>
      <c r="O435" s="1"/>
      <c r="P435" s="1"/>
    </row>
    <row r="436" spans="1:16" ht="14.25" customHeight="1" x14ac:dyDescent="0.25">
      <c r="A436" s="1"/>
      <c r="B436" s="1">
        <f ca="1"/>
        <v>424</v>
      </c>
      <c r="C436" s="1">
        <f ca="1">IFERROR(__xludf.DUMMYFUNCTION("""COMPUTED_VALUE"""),2023)</f>
        <v>2023</v>
      </c>
      <c r="D436" s="1">
        <f ca="1">IFERROR(__xludf.DUMMYFUNCTION("""COMPUTED_VALUE"""),10596)</f>
        <v>10596</v>
      </c>
      <c r="E436" s="1" t="str">
        <f ca="1">IFERROR(__xludf.DUMMYFUNCTION("""COMPUTED_VALUE"""),"Computational Geosciences")</f>
        <v>Computational Geosciences</v>
      </c>
      <c r="F436" s="1" t="str">
        <f ca="1">IFERROR(__xludf.DUMMYFUNCTION("""COMPUTED_VALUE"""),"1573-1499")</f>
        <v>1573-1499</v>
      </c>
      <c r="G436" s="1" t="str">
        <f ca="1">IFERROR(__xludf.DUMMYFUNCTION("""COMPUTED_VALUE"""),"1420-0597")</f>
        <v>1420-0597</v>
      </c>
      <c r="H436" s="27" t="str">
        <f ca="1">IFERROR(__xludf.DUMMYFUNCTION("""COMPUTED_VALUE"""),"https://link.springer.com/journal/10596")</f>
        <v>https://link.springer.com/journal/10596</v>
      </c>
      <c r="I436" s="1" t="str">
        <f ca="1">IFERROR(__xludf.DUMMYFUNCTION("""COMPUTED_VALUE"""),"Springer")</f>
        <v>Springer</v>
      </c>
      <c r="J436" s="1">
        <f ca="1">IFERROR(__xludf.DUMMYFUNCTION("""COMPUTED_VALUE"""),2000)</f>
        <v>2000</v>
      </c>
      <c r="K436" s="1" t="str">
        <f ca="1">IFERROR(__xludf.DUMMYFUNCTION("""COMPUTED_VALUE"""),"Earth and Environmental Science")</f>
        <v>Earth and Environmental Science</v>
      </c>
      <c r="L436" s="1" t="str">
        <f ca="1">IFERROR(__xludf.DUMMYFUNCTION("""COMPUTED_VALUE"""),"〇")</f>
        <v>〇</v>
      </c>
      <c r="M436" s="1" t="str">
        <f ca="1">IFERROR(__xludf.DUMMYFUNCTION("""COMPUTED_VALUE"""),"〇")</f>
        <v>〇</v>
      </c>
      <c r="N436" s="1"/>
      <c r="O436" s="1"/>
      <c r="P436" s="1"/>
    </row>
    <row r="437" spans="1:16" ht="14.25" customHeight="1" x14ac:dyDescent="0.25">
      <c r="A437" s="1"/>
      <c r="B437" s="1">
        <f ca="1"/>
        <v>425</v>
      </c>
      <c r="C437" s="1">
        <f ca="1">IFERROR(__xludf.DUMMYFUNCTION("""COMPUTED_VALUE"""),2023)</f>
        <v>2023</v>
      </c>
      <c r="D437" s="1">
        <f ca="1">IFERROR(__xludf.DUMMYFUNCTION("""COMPUTED_VALUE"""),10287)</f>
        <v>10287</v>
      </c>
      <c r="E437" s="1" t="str">
        <f ca="1">IFERROR(__xludf.DUMMYFUNCTION("""COMPUTED_VALUE"""),"Computational Management Science")</f>
        <v>Computational Management Science</v>
      </c>
      <c r="F437" s="1" t="str">
        <f ca="1">IFERROR(__xludf.DUMMYFUNCTION("""COMPUTED_VALUE"""),"1619-6988")</f>
        <v>1619-6988</v>
      </c>
      <c r="G437" s="1" t="str">
        <f ca="1">IFERROR(__xludf.DUMMYFUNCTION("""COMPUTED_VALUE"""),"1619-697X")</f>
        <v>1619-697X</v>
      </c>
      <c r="H437" s="27" t="str">
        <f ca="1">IFERROR(__xludf.DUMMYFUNCTION("""COMPUTED_VALUE"""),"https://link.springer.com/journal/10287")</f>
        <v>https://link.springer.com/journal/10287</v>
      </c>
      <c r="I437" s="1" t="str">
        <f ca="1">IFERROR(__xludf.DUMMYFUNCTION("""COMPUTED_VALUE"""),"Springer")</f>
        <v>Springer</v>
      </c>
      <c r="J437" s="1">
        <f ca="1">IFERROR(__xludf.DUMMYFUNCTION("""COMPUTED_VALUE"""),2003)</f>
        <v>2003</v>
      </c>
      <c r="K437" s="1" t="str">
        <f ca="1">IFERROR(__xludf.DUMMYFUNCTION("""COMPUTED_VALUE"""),"Business and Management")</f>
        <v>Business and Management</v>
      </c>
      <c r="L437" s="1" t="str">
        <f ca="1">IFERROR(__xludf.DUMMYFUNCTION("""COMPUTED_VALUE"""),"〇")</f>
        <v>〇</v>
      </c>
      <c r="M437" s="1" t="str">
        <f ca="1">IFERROR(__xludf.DUMMYFUNCTION("""COMPUTED_VALUE"""),"〇")</f>
        <v>〇</v>
      </c>
      <c r="N437" s="1"/>
      <c r="O437" s="1"/>
      <c r="P437" s="1"/>
    </row>
    <row r="438" spans="1:16" ht="14.25" customHeight="1" x14ac:dyDescent="0.25">
      <c r="A438" s="1"/>
      <c r="B438" s="1">
        <f ca="1"/>
        <v>426</v>
      </c>
      <c r="C438" s="1">
        <f ca="1">IFERROR(__xludf.DUMMYFUNCTION("""COMPUTED_VALUE"""),2023)</f>
        <v>2023</v>
      </c>
      <c r="D438" s="1">
        <f ca="1">IFERROR(__xludf.DUMMYFUNCTION("""COMPUTED_VALUE"""),11470)</f>
        <v>11470</v>
      </c>
      <c r="E438" s="1" t="str">
        <f ca="1">IFERROR(__xludf.DUMMYFUNCTION("""COMPUTED_VALUE"""),"Computational Mathematics and Mathematical Physics")</f>
        <v>Computational Mathematics and Mathematical Physics</v>
      </c>
      <c r="F438" s="1" t="str">
        <f ca="1">IFERROR(__xludf.DUMMYFUNCTION("""COMPUTED_VALUE"""),"1555-6662")</f>
        <v>1555-6662</v>
      </c>
      <c r="G438" s="1" t="str">
        <f ca="1">IFERROR(__xludf.DUMMYFUNCTION("""COMPUTED_VALUE"""),"0965-5425")</f>
        <v>0965-5425</v>
      </c>
      <c r="H438" s="27" t="str">
        <f ca="1">IFERROR(__xludf.DUMMYFUNCTION("""COMPUTED_VALUE"""),"https://link.springer.com/journal/11470")</f>
        <v>https://link.springer.com/journal/11470</v>
      </c>
      <c r="I438" s="1" t="str">
        <f ca="1">IFERROR(__xludf.DUMMYFUNCTION("""COMPUTED_VALUE"""),"Pleiades Publishing")</f>
        <v>Pleiades Publishing</v>
      </c>
      <c r="J438" s="1">
        <f ca="1">IFERROR(__xludf.DUMMYFUNCTION("""COMPUTED_VALUE"""),2006)</f>
        <v>2006</v>
      </c>
      <c r="K438" s="1" t="str">
        <f ca="1">IFERROR(__xludf.DUMMYFUNCTION("""COMPUTED_VALUE"""),"Mathematics and Statistics")</f>
        <v>Mathematics and Statistics</v>
      </c>
      <c r="L438" s="1" t="str">
        <f ca="1">IFERROR(__xludf.DUMMYFUNCTION("""COMPUTED_VALUE"""),"〇")</f>
        <v>〇</v>
      </c>
      <c r="M438" s="1" t="str">
        <f ca="1">IFERROR(__xludf.DUMMYFUNCTION("""COMPUTED_VALUE"""),"〇")</f>
        <v>〇</v>
      </c>
      <c r="N438" s="1"/>
      <c r="O438" s="1"/>
      <c r="P438" s="1"/>
    </row>
    <row r="439" spans="1:16" ht="14.25" customHeight="1" x14ac:dyDescent="0.25">
      <c r="A439" s="1"/>
      <c r="B439" s="1">
        <f ca="1"/>
        <v>427</v>
      </c>
      <c r="C439" s="1">
        <f ca="1">IFERROR(__xludf.DUMMYFUNCTION("""COMPUTED_VALUE"""),2023)</f>
        <v>2023</v>
      </c>
      <c r="D439" s="1">
        <f ca="1">IFERROR(__xludf.DUMMYFUNCTION("""COMPUTED_VALUE"""),10598)</f>
        <v>10598</v>
      </c>
      <c r="E439" s="1" t="str">
        <f ca="1">IFERROR(__xludf.DUMMYFUNCTION("""COMPUTED_VALUE"""),"Computational Mathematics and Modeling")</f>
        <v>Computational Mathematics and Modeling</v>
      </c>
      <c r="F439" s="1" t="str">
        <f ca="1">IFERROR(__xludf.DUMMYFUNCTION("""COMPUTED_VALUE"""),"1573-837X")</f>
        <v>1573-837X</v>
      </c>
      <c r="G439" s="1" t="str">
        <f ca="1">IFERROR(__xludf.DUMMYFUNCTION("""COMPUTED_VALUE"""),"1046-283X")</f>
        <v>1046-283X</v>
      </c>
      <c r="H439" s="27" t="str">
        <f ca="1">IFERROR(__xludf.DUMMYFUNCTION("""COMPUTED_VALUE"""),"https://link.springer.com/journal/10598")</f>
        <v>https://link.springer.com/journal/10598</v>
      </c>
      <c r="I439" s="1" t="str">
        <f ca="1">IFERROR(__xludf.DUMMYFUNCTION("""COMPUTED_VALUE"""),"Springer")</f>
        <v>Springer</v>
      </c>
      <c r="J439" s="1">
        <f ca="1">IFERROR(__xludf.DUMMYFUNCTION("""COMPUTED_VALUE"""),2000)</f>
        <v>2000</v>
      </c>
      <c r="K439" s="1" t="str">
        <f ca="1">IFERROR(__xludf.DUMMYFUNCTION("""COMPUTED_VALUE"""),"Mathematics and Statistics")</f>
        <v>Mathematics and Statistics</v>
      </c>
      <c r="L439" s="1" t="str">
        <f ca="1">IFERROR(__xludf.DUMMYFUNCTION("""COMPUTED_VALUE"""),"〇")</f>
        <v>〇</v>
      </c>
      <c r="M439" s="1" t="str">
        <f ca="1">IFERROR(__xludf.DUMMYFUNCTION("""COMPUTED_VALUE"""),"〇")</f>
        <v>〇</v>
      </c>
      <c r="N439" s="1"/>
      <c r="O439" s="1"/>
      <c r="P439" s="1"/>
    </row>
    <row r="440" spans="1:16" ht="14.25" customHeight="1" x14ac:dyDescent="0.25">
      <c r="A440" s="1"/>
      <c r="B440" s="1">
        <f ca="1"/>
        <v>428</v>
      </c>
      <c r="C440" s="1">
        <f ca="1">IFERROR(__xludf.DUMMYFUNCTION("""COMPUTED_VALUE"""),2023)</f>
        <v>2023</v>
      </c>
      <c r="D440" s="1">
        <f ca="1">IFERROR(__xludf.DUMMYFUNCTION("""COMPUTED_VALUE"""),466)</f>
        <v>466</v>
      </c>
      <c r="E440" s="1" t="str">
        <f ca="1">IFERROR(__xludf.DUMMYFUNCTION("""COMPUTED_VALUE"""),"Computational Mechanics")</f>
        <v>Computational Mechanics</v>
      </c>
      <c r="F440" s="1" t="str">
        <f ca="1">IFERROR(__xludf.DUMMYFUNCTION("""COMPUTED_VALUE"""),"1432-0924")</f>
        <v>1432-0924</v>
      </c>
      <c r="G440" s="1" t="str">
        <f ca="1">IFERROR(__xludf.DUMMYFUNCTION("""COMPUTED_VALUE"""),"0178-7675")</f>
        <v>0178-7675</v>
      </c>
      <c r="H440" s="27" t="str">
        <f ca="1">IFERROR(__xludf.DUMMYFUNCTION("""COMPUTED_VALUE"""),"https://link.springer.com/journal/466")</f>
        <v>https://link.springer.com/journal/466</v>
      </c>
      <c r="I440" s="1" t="str">
        <f ca="1">IFERROR(__xludf.DUMMYFUNCTION("""COMPUTED_VALUE"""),"Springer")</f>
        <v>Springer</v>
      </c>
      <c r="J440" s="1">
        <f ca="1">IFERROR(__xludf.DUMMYFUNCTION("""COMPUTED_VALUE"""),2000)</f>
        <v>2000</v>
      </c>
      <c r="K440" s="1" t="str">
        <f ca="1">IFERROR(__xludf.DUMMYFUNCTION("""COMPUTED_VALUE"""),"Engineering")</f>
        <v>Engineering</v>
      </c>
      <c r="L440" s="1" t="str">
        <f ca="1">IFERROR(__xludf.DUMMYFUNCTION("""COMPUTED_VALUE"""),"〇")</f>
        <v>〇</v>
      </c>
      <c r="M440" s="1" t="str">
        <f ca="1">IFERROR(__xludf.DUMMYFUNCTION("""COMPUTED_VALUE"""),"〇")</f>
        <v>〇</v>
      </c>
      <c r="N440" s="1"/>
      <c r="O440" s="1"/>
      <c r="P440" s="1"/>
    </row>
    <row r="441" spans="1:16" ht="14.25" customHeight="1" x14ac:dyDescent="0.25">
      <c r="A441" s="1"/>
      <c r="B441" s="1">
        <f ca="1"/>
        <v>429</v>
      </c>
      <c r="C441" s="1">
        <f ca="1">IFERROR(__xludf.DUMMYFUNCTION("""COMPUTED_VALUE"""),2023)</f>
        <v>2023</v>
      </c>
      <c r="D441" s="1">
        <f ca="1">IFERROR(__xludf.DUMMYFUNCTION("""COMPUTED_VALUE"""),40315)</f>
        <v>40315</v>
      </c>
      <c r="E441" s="1" t="str">
        <f ca="1">IFERROR(__xludf.DUMMYFUNCTION("""COMPUTED_VALUE"""),"Computational Methods and Function Theory")</f>
        <v>Computational Methods and Function Theory</v>
      </c>
      <c r="F441" s="1" t="str">
        <f ca="1">IFERROR(__xludf.DUMMYFUNCTION("""COMPUTED_VALUE"""),"2195-3724")</f>
        <v>2195-3724</v>
      </c>
      <c r="G441" s="1" t="str">
        <f ca="1">IFERROR(__xludf.DUMMYFUNCTION("""COMPUTED_VALUE"""),"1617-9447")</f>
        <v>1617-9447</v>
      </c>
      <c r="H441" s="27" t="str">
        <f ca="1">IFERROR(__xludf.DUMMYFUNCTION("""COMPUTED_VALUE"""),"https://link.springer.com/journal/40315")</f>
        <v>https://link.springer.com/journal/40315</v>
      </c>
      <c r="I441" s="1" t="str">
        <f ca="1">IFERROR(__xludf.DUMMYFUNCTION("""COMPUTED_VALUE"""),"Springer")</f>
        <v>Springer</v>
      </c>
      <c r="J441" s="1">
        <f ca="1">IFERROR(__xludf.DUMMYFUNCTION("""COMPUTED_VALUE"""),2001)</f>
        <v>2001</v>
      </c>
      <c r="K441" s="1" t="str">
        <f ca="1">IFERROR(__xludf.DUMMYFUNCTION("""COMPUTED_VALUE"""),"Mathematics and Statistics")</f>
        <v>Mathematics and Statistics</v>
      </c>
      <c r="L441" s="1" t="str">
        <f ca="1">IFERROR(__xludf.DUMMYFUNCTION("""COMPUTED_VALUE"""),"〇")</f>
        <v>〇</v>
      </c>
      <c r="M441" s="1"/>
      <c r="N441" s="1" t="str">
        <f ca="1">IFERROR(__xludf.DUMMYFUNCTION("""COMPUTED_VALUE"""),"TO13")</f>
        <v>TO13</v>
      </c>
      <c r="O441" s="1"/>
      <c r="P441" s="1"/>
    </row>
    <row r="442" spans="1:16" ht="14.25" customHeight="1" x14ac:dyDescent="0.25">
      <c r="A442" s="1"/>
      <c r="B442" s="1">
        <f ca="1"/>
        <v>430</v>
      </c>
      <c r="C442" s="1">
        <f ca="1">IFERROR(__xludf.DUMMYFUNCTION("""COMPUTED_VALUE"""),2023)</f>
        <v>2023</v>
      </c>
      <c r="D442" s="1">
        <f ca="1">IFERROR(__xludf.DUMMYFUNCTION("""COMPUTED_VALUE"""),10589)</f>
        <v>10589</v>
      </c>
      <c r="E442" s="1" t="str">
        <f ca="1">IFERROR(__xludf.DUMMYFUNCTION("""COMPUTED_VALUE"""),"Computational Optimization and Applications")</f>
        <v>Computational Optimization and Applications</v>
      </c>
      <c r="F442" s="1" t="str">
        <f ca="1">IFERROR(__xludf.DUMMYFUNCTION("""COMPUTED_VALUE"""),"1573-2894")</f>
        <v>1573-2894</v>
      </c>
      <c r="G442" s="1" t="str">
        <f ca="1">IFERROR(__xludf.DUMMYFUNCTION("""COMPUTED_VALUE"""),"0926-6003")</f>
        <v>0926-6003</v>
      </c>
      <c r="H442" s="27" t="str">
        <f ca="1">IFERROR(__xludf.DUMMYFUNCTION("""COMPUTED_VALUE"""),"https://link.springer.com/journal/10589")</f>
        <v>https://link.springer.com/journal/10589</v>
      </c>
      <c r="I442" s="1" t="str">
        <f ca="1">IFERROR(__xludf.DUMMYFUNCTION("""COMPUTED_VALUE"""),"Springer")</f>
        <v>Springer</v>
      </c>
      <c r="J442" s="1">
        <f ca="1">IFERROR(__xludf.DUMMYFUNCTION("""COMPUTED_VALUE"""),2000)</f>
        <v>2000</v>
      </c>
      <c r="K442" s="1" t="str">
        <f ca="1">IFERROR(__xludf.DUMMYFUNCTION("""COMPUTED_VALUE"""),"Mathematics and Statistics")</f>
        <v>Mathematics and Statistics</v>
      </c>
      <c r="L442" s="1" t="str">
        <f ca="1">IFERROR(__xludf.DUMMYFUNCTION("""COMPUTED_VALUE"""),"〇")</f>
        <v>〇</v>
      </c>
      <c r="M442" s="1" t="str">
        <f ca="1">IFERROR(__xludf.DUMMYFUNCTION("""COMPUTED_VALUE"""),"〇")</f>
        <v>〇</v>
      </c>
      <c r="N442" s="1"/>
      <c r="O442" s="1"/>
      <c r="P442" s="1"/>
    </row>
    <row r="443" spans="1:16" ht="14.25" customHeight="1" x14ac:dyDescent="0.25">
      <c r="A443" s="1"/>
      <c r="B443" s="1">
        <f ca="1"/>
        <v>431</v>
      </c>
      <c r="C443" s="1">
        <f ca="1">IFERROR(__xludf.DUMMYFUNCTION("""COMPUTED_VALUE"""),2023)</f>
        <v>2023</v>
      </c>
      <c r="D443" s="1">
        <f ca="1">IFERROR(__xludf.DUMMYFUNCTION("""COMPUTED_VALUE"""),40571)</f>
        <v>40571</v>
      </c>
      <c r="E443" s="1" t="str">
        <f ca="1">IFERROR(__xludf.DUMMYFUNCTION("""COMPUTED_VALUE"""),"Computational Particle Mechanics")</f>
        <v>Computational Particle Mechanics</v>
      </c>
      <c r="F443" s="1" t="str">
        <f ca="1">IFERROR(__xludf.DUMMYFUNCTION("""COMPUTED_VALUE"""),"2196-4386")</f>
        <v>2196-4386</v>
      </c>
      <c r="G443" s="1" t="str">
        <f ca="1">IFERROR(__xludf.DUMMYFUNCTION("""COMPUTED_VALUE"""),"2196-4378")</f>
        <v>2196-4378</v>
      </c>
      <c r="H443" s="27" t="str">
        <f ca="1">IFERROR(__xludf.DUMMYFUNCTION("""COMPUTED_VALUE"""),"https://link.springer.com/journal/40571")</f>
        <v>https://link.springer.com/journal/40571</v>
      </c>
      <c r="I443" s="1" t="str">
        <f ca="1">IFERROR(__xludf.DUMMYFUNCTION("""COMPUTED_VALUE"""),"Springer")</f>
        <v>Springer</v>
      </c>
      <c r="J443" s="1">
        <f ca="1">IFERROR(__xludf.DUMMYFUNCTION("""COMPUTED_VALUE"""),2014)</f>
        <v>2014</v>
      </c>
      <c r="K443" s="1" t="str">
        <f ca="1">IFERROR(__xludf.DUMMYFUNCTION("""COMPUTED_VALUE"""),"Engineering")</f>
        <v>Engineering</v>
      </c>
      <c r="L443" s="1" t="str">
        <f ca="1">IFERROR(__xludf.DUMMYFUNCTION("""COMPUTED_VALUE"""),"〇")</f>
        <v>〇</v>
      </c>
      <c r="M443" s="1"/>
      <c r="N443" s="1" t="str">
        <f ca="1">IFERROR(__xludf.DUMMYFUNCTION("""COMPUTED_VALUE"""),"SNS14")</f>
        <v>SNS14</v>
      </c>
      <c r="O443" s="1"/>
      <c r="P443" s="1"/>
    </row>
    <row r="444" spans="1:16" ht="14.25" customHeight="1" x14ac:dyDescent="0.25">
      <c r="A444" s="1"/>
      <c r="B444" s="1">
        <f ca="1"/>
        <v>432</v>
      </c>
      <c r="C444" s="1">
        <f ca="1">IFERROR(__xludf.DUMMYFUNCTION("""COMPUTED_VALUE"""),2023)</f>
        <v>2023</v>
      </c>
      <c r="D444" s="1">
        <f ca="1">IFERROR(__xludf.DUMMYFUNCTION("""COMPUTED_VALUE"""),180)</f>
        <v>180</v>
      </c>
      <c r="E444" s="1" t="str">
        <f ca="1">IFERROR(__xludf.DUMMYFUNCTION("""COMPUTED_VALUE"""),"Computational Statistics")</f>
        <v>Computational Statistics</v>
      </c>
      <c r="F444" s="1" t="str">
        <f ca="1">IFERROR(__xludf.DUMMYFUNCTION("""COMPUTED_VALUE"""),"1613-9658")</f>
        <v>1613-9658</v>
      </c>
      <c r="G444" s="1" t="str">
        <f ca="1">IFERROR(__xludf.DUMMYFUNCTION("""COMPUTED_VALUE"""),"0943-4062")</f>
        <v>0943-4062</v>
      </c>
      <c r="H444" s="27" t="str">
        <f ca="1">IFERROR(__xludf.DUMMYFUNCTION("""COMPUTED_VALUE"""),"https://link.springer.com/journal/180")</f>
        <v>https://link.springer.com/journal/180</v>
      </c>
      <c r="I444" s="1" t="str">
        <f ca="1">IFERROR(__xludf.DUMMYFUNCTION("""COMPUTED_VALUE"""),"Springer")</f>
        <v>Springer</v>
      </c>
      <c r="J444" s="1">
        <f ca="1">IFERROR(__xludf.DUMMYFUNCTION("""COMPUTED_VALUE"""),2000)</f>
        <v>2000</v>
      </c>
      <c r="K444" s="1" t="str">
        <f ca="1">IFERROR(__xludf.DUMMYFUNCTION("""COMPUTED_VALUE"""),"Mathematics and Statistics")</f>
        <v>Mathematics and Statistics</v>
      </c>
      <c r="L444" s="1" t="str">
        <f ca="1">IFERROR(__xludf.DUMMYFUNCTION("""COMPUTED_VALUE"""),"〇")</f>
        <v>〇</v>
      </c>
      <c r="M444" s="1" t="str">
        <f ca="1">IFERROR(__xludf.DUMMYFUNCTION("""COMPUTED_VALUE"""),"〇")</f>
        <v>〇</v>
      </c>
      <c r="N444" s="1"/>
      <c r="O444" s="1"/>
      <c r="P444" s="1"/>
    </row>
    <row r="445" spans="1:16" ht="14.25" customHeight="1" x14ac:dyDescent="0.25">
      <c r="A445" s="1"/>
      <c r="B445" s="1">
        <f ca="1"/>
        <v>433</v>
      </c>
      <c r="C445" s="1">
        <f ca="1">IFERROR(__xludf.DUMMYFUNCTION("""COMPUTED_VALUE"""),2023)</f>
        <v>2023</v>
      </c>
      <c r="D445" s="1">
        <f ca="1">IFERROR(__xludf.DUMMYFUNCTION("""COMPUTED_VALUE"""),10606)</f>
        <v>10606</v>
      </c>
      <c r="E445" s="1" t="str">
        <f ca="1">IFERROR(__xludf.DUMMYFUNCTION("""COMPUTED_VALUE"""),"Computer Supported Cooperative Work (CSCW)")</f>
        <v>Computer Supported Cooperative Work (CSCW)</v>
      </c>
      <c r="F445" s="1" t="str">
        <f ca="1">IFERROR(__xludf.DUMMYFUNCTION("""COMPUTED_VALUE"""),"1573-7551")</f>
        <v>1573-7551</v>
      </c>
      <c r="G445" s="1" t="str">
        <f ca="1">IFERROR(__xludf.DUMMYFUNCTION("""COMPUTED_VALUE"""),"0925-9724")</f>
        <v>0925-9724</v>
      </c>
      <c r="H445" s="27" t="str">
        <f ca="1">IFERROR(__xludf.DUMMYFUNCTION("""COMPUTED_VALUE"""),"https://link.springer.com/journal/10606")</f>
        <v>https://link.springer.com/journal/10606</v>
      </c>
      <c r="I445" s="1" t="str">
        <f ca="1">IFERROR(__xludf.DUMMYFUNCTION("""COMPUTED_VALUE"""),"Springer")</f>
        <v>Springer</v>
      </c>
      <c r="J445" s="1">
        <f ca="1">IFERROR(__xludf.DUMMYFUNCTION("""COMPUTED_VALUE"""),2000)</f>
        <v>2000</v>
      </c>
      <c r="K445" s="1" t="str">
        <f ca="1">IFERROR(__xludf.DUMMYFUNCTION("""COMPUTED_VALUE"""),"Computer Science")</f>
        <v>Computer Science</v>
      </c>
      <c r="L445" s="1" t="str">
        <f ca="1">IFERROR(__xludf.DUMMYFUNCTION("""COMPUTED_VALUE"""),"〇")</f>
        <v>〇</v>
      </c>
      <c r="M445" s="1" t="str">
        <f ca="1">IFERROR(__xludf.DUMMYFUNCTION("""COMPUTED_VALUE"""),"〇")</f>
        <v>〇</v>
      </c>
      <c r="N445" s="1"/>
      <c r="O445" s="1"/>
      <c r="P445" s="1"/>
    </row>
    <row r="446" spans="1:16" ht="14.25" customHeight="1" x14ac:dyDescent="0.25">
      <c r="A446" s="1"/>
      <c r="B446" s="1">
        <f ca="1"/>
        <v>434</v>
      </c>
      <c r="C446" s="1">
        <f ca="1">IFERROR(__xludf.DUMMYFUNCTION("""COMPUTED_VALUE"""),2023)</f>
        <v>2023</v>
      </c>
      <c r="D446" s="1">
        <f ca="1">IFERROR(__xludf.DUMMYFUNCTION("""COMPUTED_VALUE"""),607)</f>
        <v>607</v>
      </c>
      <c r="E446" s="1" t="str">
        <f ca="1">IFERROR(__xludf.DUMMYFUNCTION("""COMPUTED_VALUE"""),"Computing")</f>
        <v>Computing</v>
      </c>
      <c r="F446" s="1" t="str">
        <f ca="1">IFERROR(__xludf.DUMMYFUNCTION("""COMPUTED_VALUE"""),"1436-5057")</f>
        <v>1436-5057</v>
      </c>
      <c r="G446" s="1" t="str">
        <f ca="1">IFERROR(__xludf.DUMMYFUNCTION("""COMPUTED_VALUE"""),"0010-485X")</f>
        <v>0010-485X</v>
      </c>
      <c r="H446" s="27" t="str">
        <f ca="1">IFERROR(__xludf.DUMMYFUNCTION("""COMPUTED_VALUE"""),"https://link.springer.com/journal/607")</f>
        <v>https://link.springer.com/journal/607</v>
      </c>
      <c r="I446" s="1" t="str">
        <f ca="1">IFERROR(__xludf.DUMMYFUNCTION("""COMPUTED_VALUE"""),"Springer")</f>
        <v>Springer</v>
      </c>
      <c r="J446" s="1">
        <f ca="1">IFERROR(__xludf.DUMMYFUNCTION("""COMPUTED_VALUE"""),2000)</f>
        <v>2000</v>
      </c>
      <c r="K446" s="1" t="str">
        <f ca="1">IFERROR(__xludf.DUMMYFUNCTION("""COMPUTED_VALUE"""),"Computer Science")</f>
        <v>Computer Science</v>
      </c>
      <c r="L446" s="1" t="str">
        <f ca="1">IFERROR(__xludf.DUMMYFUNCTION("""COMPUTED_VALUE"""),"〇")</f>
        <v>〇</v>
      </c>
      <c r="M446" s="1" t="str">
        <f ca="1">IFERROR(__xludf.DUMMYFUNCTION("""COMPUTED_VALUE"""),"〇")</f>
        <v>〇</v>
      </c>
      <c r="N446" s="1"/>
      <c r="O446" s="1"/>
      <c r="P446" s="1"/>
    </row>
    <row r="447" spans="1:16" ht="14.25" customHeight="1" x14ac:dyDescent="0.25">
      <c r="A447" s="1"/>
      <c r="B447" s="1">
        <f ca="1"/>
        <v>435</v>
      </c>
      <c r="C447" s="1">
        <f ca="1">IFERROR(__xludf.DUMMYFUNCTION("""COMPUTED_VALUE"""),2023)</f>
        <v>2023</v>
      </c>
      <c r="D447" s="1">
        <f ca="1">IFERROR(__xludf.DUMMYFUNCTION("""COMPUTED_VALUE"""),10592)</f>
        <v>10592</v>
      </c>
      <c r="E447" s="1" t="str">
        <f ca="1">IFERROR(__xludf.DUMMYFUNCTION("""COMPUTED_VALUE"""),"Conservation Genetics")</f>
        <v>Conservation Genetics</v>
      </c>
      <c r="F447" s="1" t="str">
        <f ca="1">IFERROR(__xludf.DUMMYFUNCTION("""COMPUTED_VALUE"""),"1572-9737")</f>
        <v>1572-9737</v>
      </c>
      <c r="G447" s="1" t="str">
        <f ca="1">IFERROR(__xludf.DUMMYFUNCTION("""COMPUTED_VALUE"""),"1566-0621")</f>
        <v>1566-0621</v>
      </c>
      <c r="H447" s="27" t="str">
        <f ca="1">IFERROR(__xludf.DUMMYFUNCTION("""COMPUTED_VALUE"""),"https://link.springer.com/journal/10592")</f>
        <v>https://link.springer.com/journal/10592</v>
      </c>
      <c r="I447" s="1" t="str">
        <f ca="1">IFERROR(__xludf.DUMMYFUNCTION("""COMPUTED_VALUE"""),"Springer")</f>
        <v>Springer</v>
      </c>
      <c r="J447" s="1">
        <f ca="1">IFERROR(__xludf.DUMMYFUNCTION("""COMPUTED_VALUE"""),2000)</f>
        <v>2000</v>
      </c>
      <c r="K447" s="1" t="str">
        <f ca="1">IFERROR(__xludf.DUMMYFUNCTION("""COMPUTED_VALUE"""),"Biomedical and Life Sciences")</f>
        <v>Biomedical and Life Sciences</v>
      </c>
      <c r="L447" s="1" t="str">
        <f ca="1">IFERROR(__xludf.DUMMYFUNCTION("""COMPUTED_VALUE"""),"〇")</f>
        <v>〇</v>
      </c>
      <c r="M447" s="1" t="str">
        <f ca="1">IFERROR(__xludf.DUMMYFUNCTION("""COMPUTED_VALUE"""),"〇")</f>
        <v>〇</v>
      </c>
      <c r="N447" s="1"/>
      <c r="O447" s="1"/>
      <c r="P447" s="1"/>
    </row>
    <row r="448" spans="1:16" ht="14.25" customHeight="1" x14ac:dyDescent="0.25">
      <c r="A448" s="1"/>
      <c r="B448" s="1">
        <f ca="1"/>
        <v>436</v>
      </c>
      <c r="C448" s="1">
        <f ca="1">IFERROR(__xludf.DUMMYFUNCTION("""COMPUTED_VALUE"""),2023)</f>
        <v>2023</v>
      </c>
      <c r="D448" s="1">
        <f ca="1">IFERROR(__xludf.DUMMYFUNCTION("""COMPUTED_VALUE"""),12686)</f>
        <v>12686</v>
      </c>
      <c r="E448" s="1" t="str">
        <f ca="1">IFERROR(__xludf.DUMMYFUNCTION("""COMPUTED_VALUE"""),"Conservation Genetics Resources")</f>
        <v>Conservation Genetics Resources</v>
      </c>
      <c r="F448" s="1" t="str">
        <f ca="1">IFERROR(__xludf.DUMMYFUNCTION("""COMPUTED_VALUE"""),"1877-7260")</f>
        <v>1877-7260</v>
      </c>
      <c r="G448" s="1"/>
      <c r="H448" s="27" t="str">
        <f ca="1">IFERROR(__xludf.DUMMYFUNCTION("""COMPUTED_VALUE"""),"https://link.springer.com/journal/12686")</f>
        <v>https://link.springer.com/journal/12686</v>
      </c>
      <c r="I448" s="1" t="str">
        <f ca="1">IFERROR(__xludf.DUMMYFUNCTION("""COMPUTED_VALUE"""),"Springer")</f>
        <v>Springer</v>
      </c>
      <c r="J448" s="1">
        <f ca="1">IFERROR(__xludf.DUMMYFUNCTION("""COMPUTED_VALUE"""),2009)</f>
        <v>2009</v>
      </c>
      <c r="K448" s="1" t="str">
        <f ca="1">IFERROR(__xludf.DUMMYFUNCTION("""COMPUTED_VALUE"""),"Biomedical and Life Sciences")</f>
        <v>Biomedical and Life Sciences</v>
      </c>
      <c r="L448" s="1"/>
      <c r="M448" s="1" t="str">
        <f ca="1">IFERROR(__xludf.DUMMYFUNCTION("""COMPUTED_VALUE"""),"〇")</f>
        <v>〇</v>
      </c>
      <c r="N448" s="1" t="str">
        <f ca="1">IFERROR(__xludf.DUMMYFUNCTION("""COMPUTED_VALUE"""),"SNS9")</f>
        <v>SNS9</v>
      </c>
      <c r="O448" s="1"/>
      <c r="P448" s="1"/>
    </row>
    <row r="449" spans="1:16" ht="14.25" customHeight="1" x14ac:dyDescent="0.25">
      <c r="A449" s="1"/>
      <c r="B449" s="1">
        <f ca="1"/>
        <v>437</v>
      </c>
      <c r="C449" s="1">
        <f ca="1">IFERROR(__xludf.DUMMYFUNCTION("""COMPUTED_VALUE"""),2023)</f>
        <v>2023</v>
      </c>
      <c r="D449" s="1">
        <f ca="1">IFERROR(__xludf.DUMMYFUNCTION("""COMPUTED_VALUE"""),10602)</f>
        <v>10602</v>
      </c>
      <c r="E449" s="1" t="str">
        <f ca="1">IFERROR(__xludf.DUMMYFUNCTION("""COMPUTED_VALUE"""),"Constitutional Political Economy")</f>
        <v>Constitutional Political Economy</v>
      </c>
      <c r="F449" s="1" t="str">
        <f ca="1">IFERROR(__xludf.DUMMYFUNCTION("""COMPUTED_VALUE"""),"1572-9966")</f>
        <v>1572-9966</v>
      </c>
      <c r="G449" s="1" t="str">
        <f ca="1">IFERROR(__xludf.DUMMYFUNCTION("""COMPUTED_VALUE"""),"1043-4062")</f>
        <v>1043-4062</v>
      </c>
      <c r="H449" s="27" t="str">
        <f ca="1">IFERROR(__xludf.DUMMYFUNCTION("""COMPUTED_VALUE"""),"https://link.springer.com/journal/10602")</f>
        <v>https://link.springer.com/journal/10602</v>
      </c>
      <c r="I449" s="1" t="str">
        <f ca="1">IFERROR(__xludf.DUMMYFUNCTION("""COMPUTED_VALUE"""),"Springer")</f>
        <v>Springer</v>
      </c>
      <c r="J449" s="1">
        <f ca="1">IFERROR(__xludf.DUMMYFUNCTION("""COMPUTED_VALUE"""),2000)</f>
        <v>2000</v>
      </c>
      <c r="K449" s="1" t="str">
        <f ca="1">IFERROR(__xludf.DUMMYFUNCTION("""COMPUTED_VALUE"""),"Political Science and International Studies")</f>
        <v>Political Science and International Studies</v>
      </c>
      <c r="L449" s="1" t="str">
        <f ca="1">IFERROR(__xludf.DUMMYFUNCTION("""COMPUTED_VALUE"""),"〇")</f>
        <v>〇</v>
      </c>
      <c r="M449" s="1" t="str">
        <f ca="1">IFERROR(__xludf.DUMMYFUNCTION("""COMPUTED_VALUE"""),"〇")</f>
        <v>〇</v>
      </c>
      <c r="N449" s="1"/>
      <c r="O449" s="1"/>
      <c r="P449" s="1"/>
    </row>
    <row r="450" spans="1:16" ht="14.25" customHeight="1" x14ac:dyDescent="0.25">
      <c r="A450" s="1"/>
      <c r="B450" s="1">
        <f ca="1"/>
        <v>438</v>
      </c>
      <c r="C450" s="1">
        <f ca="1">IFERROR(__xludf.DUMMYFUNCTION("""COMPUTED_VALUE"""),2023)</f>
        <v>2023</v>
      </c>
      <c r="D450" s="1">
        <f ca="1">IFERROR(__xludf.DUMMYFUNCTION("""COMPUTED_VALUE"""),10601)</f>
        <v>10601</v>
      </c>
      <c r="E450" s="1" t="str">
        <f ca="1">IFERROR(__xludf.DUMMYFUNCTION("""COMPUTED_VALUE"""),"Constraints")</f>
        <v>Constraints</v>
      </c>
      <c r="F450" s="1" t="str">
        <f ca="1">IFERROR(__xludf.DUMMYFUNCTION("""COMPUTED_VALUE"""),"1572-9354")</f>
        <v>1572-9354</v>
      </c>
      <c r="G450" s="1" t="str">
        <f ca="1">IFERROR(__xludf.DUMMYFUNCTION("""COMPUTED_VALUE"""),"1383-7133")</f>
        <v>1383-7133</v>
      </c>
      <c r="H450" s="27" t="str">
        <f ca="1">IFERROR(__xludf.DUMMYFUNCTION("""COMPUTED_VALUE"""),"https://link.springer.com/journal/10601")</f>
        <v>https://link.springer.com/journal/10601</v>
      </c>
      <c r="I450" s="1" t="str">
        <f ca="1">IFERROR(__xludf.DUMMYFUNCTION("""COMPUTED_VALUE"""),"Springer")</f>
        <v>Springer</v>
      </c>
      <c r="J450" s="1">
        <f ca="1">IFERROR(__xludf.DUMMYFUNCTION("""COMPUTED_VALUE"""),2000)</f>
        <v>2000</v>
      </c>
      <c r="K450" s="1" t="str">
        <f ca="1">IFERROR(__xludf.DUMMYFUNCTION("""COMPUTED_VALUE"""),"Computer Science")</f>
        <v>Computer Science</v>
      </c>
      <c r="L450" s="1" t="str">
        <f ca="1">IFERROR(__xludf.DUMMYFUNCTION("""COMPUTED_VALUE"""),"〇")</f>
        <v>〇</v>
      </c>
      <c r="M450" s="1" t="str">
        <f ca="1">IFERROR(__xludf.DUMMYFUNCTION("""COMPUTED_VALUE"""),"〇")</f>
        <v>〇</v>
      </c>
      <c r="N450" s="1"/>
      <c r="O450" s="1"/>
      <c r="P450" s="1"/>
    </row>
    <row r="451" spans="1:16" ht="14.25" customHeight="1" x14ac:dyDescent="0.25">
      <c r="A451" s="1"/>
      <c r="B451" s="1">
        <f ca="1"/>
        <v>439</v>
      </c>
      <c r="C451" s="1">
        <f ca="1">IFERROR(__xludf.DUMMYFUNCTION("""COMPUTED_VALUE"""),2023)</f>
        <v>2023</v>
      </c>
      <c r="D451" s="1">
        <f ca="1">IFERROR(__xludf.DUMMYFUNCTION("""COMPUTED_VALUE"""),41693)</f>
        <v>41693</v>
      </c>
      <c r="E451" s="1" t="str">
        <f ca="1">IFERROR(__xludf.DUMMYFUNCTION("""COMPUTED_VALUE"""),"Construction Robotics")</f>
        <v>Construction Robotics</v>
      </c>
      <c r="F451" s="1" t="str">
        <f ca="1">IFERROR(__xludf.DUMMYFUNCTION("""COMPUTED_VALUE"""),"2509-8780")</f>
        <v>2509-8780</v>
      </c>
      <c r="G451" s="1" t="str">
        <f ca="1">IFERROR(__xludf.DUMMYFUNCTION("""COMPUTED_VALUE"""),"2509-811X")</f>
        <v>2509-811X</v>
      </c>
      <c r="H451" s="27" t="str">
        <f ca="1">IFERROR(__xludf.DUMMYFUNCTION("""COMPUTED_VALUE"""),"https://link.springer.com/journal/41693")</f>
        <v>https://link.springer.com/journal/41693</v>
      </c>
      <c r="I451" s="1" t="str">
        <f ca="1">IFERROR(__xludf.DUMMYFUNCTION("""COMPUTED_VALUE"""),"Springer")</f>
        <v>Springer</v>
      </c>
      <c r="J451" s="1">
        <f ca="1">IFERROR(__xludf.DUMMYFUNCTION("""COMPUTED_VALUE"""),2017)</f>
        <v>2017</v>
      </c>
      <c r="K451" s="1" t="str">
        <f ca="1">IFERROR(__xludf.DUMMYFUNCTION("""COMPUTED_VALUE"""),"Engineering")</f>
        <v>Engineering</v>
      </c>
      <c r="L451" s="1" t="str">
        <f ca="1">IFERROR(__xludf.DUMMYFUNCTION("""COMPUTED_VALUE"""),"〇")</f>
        <v>〇</v>
      </c>
      <c r="M451" s="1"/>
      <c r="N451" s="1" t="str">
        <f ca="1">IFERROR(__xludf.DUMMYFUNCTION("""COMPUTED_VALUE"""),"SNS17")</f>
        <v>SNS17</v>
      </c>
      <c r="O451" s="1"/>
      <c r="P451" s="1"/>
    </row>
    <row r="452" spans="1:16" ht="14.25" customHeight="1" x14ac:dyDescent="0.25">
      <c r="A452" s="1"/>
      <c r="B452" s="1">
        <f ca="1"/>
        <v>440</v>
      </c>
      <c r="C452" s="1">
        <f ca="1">IFERROR(__xludf.DUMMYFUNCTION("""COMPUTED_VALUE"""),2023)</f>
        <v>2023</v>
      </c>
      <c r="D452" s="1">
        <f ca="1">IFERROR(__xludf.DUMMYFUNCTION("""COMPUTED_VALUE"""),365)</f>
        <v>365</v>
      </c>
      <c r="E452" s="1" t="str">
        <f ca="1">IFERROR(__xludf.DUMMYFUNCTION("""COMPUTED_VALUE"""),"Constructive Approximation")</f>
        <v>Constructive Approximation</v>
      </c>
      <c r="F452" s="1" t="str">
        <f ca="1">IFERROR(__xludf.DUMMYFUNCTION("""COMPUTED_VALUE"""),"1432-0940")</f>
        <v>1432-0940</v>
      </c>
      <c r="G452" s="1" t="str">
        <f ca="1">IFERROR(__xludf.DUMMYFUNCTION("""COMPUTED_VALUE"""),"0176-4276")</f>
        <v>0176-4276</v>
      </c>
      <c r="H452" s="27" t="str">
        <f ca="1">IFERROR(__xludf.DUMMYFUNCTION("""COMPUTED_VALUE"""),"https://link.springer.com/journal/365")</f>
        <v>https://link.springer.com/journal/365</v>
      </c>
      <c r="I452" s="1" t="str">
        <f ca="1">IFERROR(__xludf.DUMMYFUNCTION("""COMPUTED_VALUE"""),"Springer")</f>
        <v>Springer</v>
      </c>
      <c r="J452" s="1">
        <f ca="1">IFERROR(__xludf.DUMMYFUNCTION("""COMPUTED_VALUE"""),2000)</f>
        <v>2000</v>
      </c>
      <c r="K452" s="1" t="str">
        <f ca="1">IFERROR(__xludf.DUMMYFUNCTION("""COMPUTED_VALUE"""),"Mathematics and Statistics")</f>
        <v>Mathematics and Statistics</v>
      </c>
      <c r="L452" s="1" t="str">
        <f ca="1">IFERROR(__xludf.DUMMYFUNCTION("""COMPUTED_VALUE"""),"〇")</f>
        <v>〇</v>
      </c>
      <c r="M452" s="1" t="str">
        <f ca="1">IFERROR(__xludf.DUMMYFUNCTION("""COMPUTED_VALUE"""),"〇")</f>
        <v>〇</v>
      </c>
      <c r="N452" s="1"/>
      <c r="O452" s="1"/>
      <c r="P452" s="1"/>
    </row>
    <row r="453" spans="1:16" ht="14.25" customHeight="1" x14ac:dyDescent="0.25">
      <c r="A453" s="1"/>
      <c r="B453" s="1">
        <f ca="1"/>
        <v>441</v>
      </c>
      <c r="C453" s="1">
        <f ca="1">IFERROR(__xludf.DUMMYFUNCTION("""COMPUTED_VALUE"""),2023)</f>
        <v>2023</v>
      </c>
      <c r="D453" s="1">
        <f ca="1">IFERROR(__xludf.DUMMYFUNCTION("""COMPUTED_VALUE"""),10591)</f>
        <v>10591</v>
      </c>
      <c r="E453" s="1" t="str">
        <f ca="1">IFERROR(__xludf.DUMMYFUNCTION("""COMPUTED_VALUE"""),"Contemporary Family Therapy")</f>
        <v>Contemporary Family Therapy</v>
      </c>
      <c r="F453" s="1" t="str">
        <f ca="1">IFERROR(__xludf.DUMMYFUNCTION("""COMPUTED_VALUE"""),"1573-3335")</f>
        <v>1573-3335</v>
      </c>
      <c r="G453" s="1" t="str">
        <f ca="1">IFERROR(__xludf.DUMMYFUNCTION("""COMPUTED_VALUE"""),"0892-2764")</f>
        <v>0892-2764</v>
      </c>
      <c r="H453" s="27" t="str">
        <f ca="1">IFERROR(__xludf.DUMMYFUNCTION("""COMPUTED_VALUE"""),"https://link.springer.com/journal/10591")</f>
        <v>https://link.springer.com/journal/10591</v>
      </c>
      <c r="I453" s="1" t="str">
        <f ca="1">IFERROR(__xludf.DUMMYFUNCTION("""COMPUTED_VALUE"""),"Springer")</f>
        <v>Springer</v>
      </c>
      <c r="J453" s="1">
        <f ca="1">IFERROR(__xludf.DUMMYFUNCTION("""COMPUTED_VALUE"""),2000)</f>
        <v>2000</v>
      </c>
      <c r="K453" s="1" t="str">
        <f ca="1">IFERROR(__xludf.DUMMYFUNCTION("""COMPUTED_VALUE"""),"Behavioral Science and Psychology")</f>
        <v>Behavioral Science and Psychology</v>
      </c>
      <c r="L453" s="1" t="str">
        <f ca="1">IFERROR(__xludf.DUMMYFUNCTION("""COMPUTED_VALUE"""),"〇")</f>
        <v>〇</v>
      </c>
      <c r="M453" s="1" t="str">
        <f ca="1">IFERROR(__xludf.DUMMYFUNCTION("""COMPUTED_VALUE"""),"〇")</f>
        <v>〇</v>
      </c>
      <c r="N453" s="1"/>
      <c r="O453" s="1"/>
      <c r="P453" s="1"/>
    </row>
    <row r="454" spans="1:16" ht="14.25" customHeight="1" x14ac:dyDescent="0.25">
      <c r="A454" s="1"/>
      <c r="B454" s="1">
        <f ca="1"/>
        <v>442</v>
      </c>
      <c r="C454" s="1">
        <f ca="1">IFERROR(__xludf.DUMMYFUNCTION("""COMPUTED_VALUE"""),2023)</f>
        <v>2023</v>
      </c>
      <c r="D454" s="1">
        <f ca="1">IFERROR(__xludf.DUMMYFUNCTION("""COMPUTED_VALUE"""),11562)</f>
        <v>11562</v>
      </c>
      <c r="E454" s="1" t="str">
        <f ca="1">IFERROR(__xludf.DUMMYFUNCTION("""COMPUTED_VALUE"""),"Contemporary Islam")</f>
        <v>Contemporary Islam</v>
      </c>
      <c r="F454" s="1" t="str">
        <f ca="1">IFERROR(__xludf.DUMMYFUNCTION("""COMPUTED_VALUE"""),"1872-0226")</f>
        <v>1872-0226</v>
      </c>
      <c r="G454" s="1" t="str">
        <f ca="1">IFERROR(__xludf.DUMMYFUNCTION("""COMPUTED_VALUE"""),"1872-0218")</f>
        <v>1872-0218</v>
      </c>
      <c r="H454" s="27" t="str">
        <f ca="1">IFERROR(__xludf.DUMMYFUNCTION("""COMPUTED_VALUE"""),"https://link.springer.com/journal/11562")</f>
        <v>https://link.springer.com/journal/11562</v>
      </c>
      <c r="I454" s="1" t="str">
        <f ca="1">IFERROR(__xludf.DUMMYFUNCTION("""COMPUTED_VALUE"""),"Springer")</f>
        <v>Springer</v>
      </c>
      <c r="J454" s="1">
        <f ca="1">IFERROR(__xludf.DUMMYFUNCTION("""COMPUTED_VALUE"""),2007)</f>
        <v>2007</v>
      </c>
      <c r="K454" s="1" t="str">
        <f ca="1">IFERROR(__xludf.DUMMYFUNCTION("""COMPUTED_VALUE"""),"Social Sciences")</f>
        <v>Social Sciences</v>
      </c>
      <c r="L454" s="1" t="str">
        <f ca="1">IFERROR(__xludf.DUMMYFUNCTION("""COMPUTED_VALUE"""),"〇")</f>
        <v>〇</v>
      </c>
      <c r="M454" s="1" t="str">
        <f ca="1">IFERROR(__xludf.DUMMYFUNCTION("""COMPUTED_VALUE"""),"〇")</f>
        <v>〇</v>
      </c>
      <c r="N454" s="1" t="str">
        <f ca="1">IFERROR(__xludf.DUMMYFUNCTION("""COMPUTED_VALUE"""),"SNS7")</f>
        <v>SNS7</v>
      </c>
      <c r="O454" s="1"/>
      <c r="P454" s="1"/>
    </row>
    <row r="455" spans="1:16" ht="14.25" customHeight="1" x14ac:dyDescent="0.25">
      <c r="A455" s="1"/>
      <c r="B455" s="1">
        <f ca="1"/>
        <v>443</v>
      </c>
      <c r="C455" s="1">
        <f ca="1">IFERROR(__xludf.DUMMYFUNCTION("""COMPUTED_VALUE"""),2023)</f>
        <v>2023</v>
      </c>
      <c r="D455" s="1">
        <f ca="1">IFERROR(__xludf.DUMMYFUNCTION("""COMPUTED_VALUE"""),12397)</f>
        <v>12397</v>
      </c>
      <c r="E455" s="1" t="str">
        <f ca="1">IFERROR(__xludf.DUMMYFUNCTION("""COMPUTED_VALUE"""),"Contemporary Jewry")</f>
        <v>Contemporary Jewry</v>
      </c>
      <c r="F455" s="1" t="str">
        <f ca="1">IFERROR(__xludf.DUMMYFUNCTION("""COMPUTED_VALUE"""),"1876-5165")</f>
        <v>1876-5165</v>
      </c>
      <c r="G455" s="1" t="str">
        <f ca="1">IFERROR(__xludf.DUMMYFUNCTION("""COMPUTED_VALUE"""),"0147-1694")</f>
        <v>0147-1694</v>
      </c>
      <c r="H455" s="27" t="str">
        <f ca="1">IFERROR(__xludf.DUMMYFUNCTION("""COMPUTED_VALUE"""),"https://link.springer.com/journal/12397")</f>
        <v>https://link.springer.com/journal/12397</v>
      </c>
      <c r="I455" s="1" t="str">
        <f ca="1">IFERROR(__xludf.DUMMYFUNCTION("""COMPUTED_VALUE"""),"Springer")</f>
        <v>Springer</v>
      </c>
      <c r="J455" s="1">
        <f ca="1">IFERROR(__xludf.DUMMYFUNCTION("""COMPUTED_VALUE"""),2000)</f>
        <v>2000</v>
      </c>
      <c r="K455" s="1" t="str">
        <f ca="1">IFERROR(__xludf.DUMMYFUNCTION("""COMPUTED_VALUE"""),"Social Sciences")</f>
        <v>Social Sciences</v>
      </c>
      <c r="L455" s="1" t="str">
        <f ca="1">IFERROR(__xludf.DUMMYFUNCTION("""COMPUTED_VALUE"""),"〇")</f>
        <v>〇</v>
      </c>
      <c r="M455" s="1"/>
      <c r="N455" s="1" t="str">
        <f ca="1">IFERROR(__xludf.DUMMYFUNCTION("""COMPUTED_VALUE"""),"TO9")</f>
        <v>TO9</v>
      </c>
      <c r="O455" s="1"/>
      <c r="P455" s="1"/>
    </row>
    <row r="456" spans="1:16" ht="14.25" customHeight="1" x14ac:dyDescent="0.25">
      <c r="A456" s="1"/>
      <c r="B456" s="1">
        <f ca="1"/>
        <v>444</v>
      </c>
      <c r="C456" s="1">
        <f ca="1">IFERROR(__xludf.DUMMYFUNCTION("""COMPUTED_VALUE"""),2023)</f>
        <v>2023</v>
      </c>
      <c r="D456" s="1">
        <f ca="1">IFERROR(__xludf.DUMMYFUNCTION("""COMPUTED_VALUE"""),12259)</f>
        <v>12259</v>
      </c>
      <c r="E456" s="1" t="str">
        <f ca="1">IFERROR(__xludf.DUMMYFUNCTION("""COMPUTED_VALUE"""),"Contemporary Problems of Ecology")</f>
        <v>Contemporary Problems of Ecology</v>
      </c>
      <c r="F456" s="1" t="str">
        <f ca="1">IFERROR(__xludf.DUMMYFUNCTION("""COMPUTED_VALUE"""),"1995-4263")</f>
        <v>1995-4263</v>
      </c>
      <c r="G456" s="1" t="str">
        <f ca="1">IFERROR(__xludf.DUMMYFUNCTION("""COMPUTED_VALUE"""),"1995-4255")</f>
        <v>1995-4255</v>
      </c>
      <c r="H456" s="27" t="str">
        <f ca="1">IFERROR(__xludf.DUMMYFUNCTION("""COMPUTED_VALUE"""),"https://link.springer.com/journal/12259")</f>
        <v>https://link.springer.com/journal/12259</v>
      </c>
      <c r="I456" s="1" t="str">
        <f ca="1">IFERROR(__xludf.DUMMYFUNCTION("""COMPUTED_VALUE"""),"Pleiades Publishing")</f>
        <v>Pleiades Publishing</v>
      </c>
      <c r="J456" s="1">
        <f ca="1">IFERROR(__xludf.DUMMYFUNCTION("""COMPUTED_VALUE"""),2008)</f>
        <v>2008</v>
      </c>
      <c r="K456" s="1" t="str">
        <f ca="1">IFERROR(__xludf.DUMMYFUNCTION("""COMPUTED_VALUE"""),"Biomedical and Life Sciences")</f>
        <v>Biomedical and Life Sciences</v>
      </c>
      <c r="L456" s="1" t="str">
        <f ca="1">IFERROR(__xludf.DUMMYFUNCTION("""COMPUTED_VALUE"""),"〇")</f>
        <v>〇</v>
      </c>
      <c r="M456" s="1" t="str">
        <f ca="1">IFERROR(__xludf.DUMMYFUNCTION("""COMPUTED_VALUE"""),"〇")</f>
        <v>〇</v>
      </c>
      <c r="N456" s="1" t="str">
        <f ca="1">IFERROR(__xludf.DUMMYFUNCTION("""COMPUTED_VALUE"""),"SNS8")</f>
        <v>SNS8</v>
      </c>
      <c r="O456" s="1"/>
      <c r="P456" s="1"/>
    </row>
    <row r="457" spans="1:16" ht="14.25" customHeight="1" x14ac:dyDescent="0.25">
      <c r="A457" s="1"/>
      <c r="B457" s="1">
        <f ca="1"/>
        <v>445</v>
      </c>
      <c r="C457" s="1">
        <f ca="1">IFERROR(__xludf.DUMMYFUNCTION("""COMPUTED_VALUE"""),2023)</f>
        <v>2023</v>
      </c>
      <c r="D457" s="1">
        <f ca="1">IFERROR(__xludf.DUMMYFUNCTION("""COMPUTED_VALUE"""),40688)</f>
        <v>40688</v>
      </c>
      <c r="E457" s="1" t="str">
        <f ca="1">IFERROR(__xludf.DUMMYFUNCTION("""COMPUTED_VALUE"""),"Contemporary School Psychology")</f>
        <v>Contemporary School Psychology</v>
      </c>
      <c r="F457" s="1" t="str">
        <f ca="1">IFERROR(__xludf.DUMMYFUNCTION("""COMPUTED_VALUE"""),"2161-1505")</f>
        <v>2161-1505</v>
      </c>
      <c r="G457" s="1" t="str">
        <f ca="1">IFERROR(__xludf.DUMMYFUNCTION("""COMPUTED_VALUE"""),"2159-2020")</f>
        <v>2159-2020</v>
      </c>
      <c r="H457" s="27" t="str">
        <f ca="1">IFERROR(__xludf.DUMMYFUNCTION("""COMPUTED_VALUE"""),"https://link.springer.com/journal/40688")</f>
        <v>https://link.springer.com/journal/40688</v>
      </c>
      <c r="I457" s="1" t="str">
        <f ca="1">IFERROR(__xludf.DUMMYFUNCTION("""COMPUTED_VALUE"""),"Springer")</f>
        <v>Springer</v>
      </c>
      <c r="J457" s="1">
        <f ca="1">IFERROR(__xludf.DUMMYFUNCTION("""COMPUTED_VALUE"""),2000)</f>
        <v>2000</v>
      </c>
      <c r="K457" s="1" t="str">
        <f ca="1">IFERROR(__xludf.DUMMYFUNCTION("""COMPUTED_VALUE"""),"Behavioral Science and Psychology")</f>
        <v>Behavioral Science and Psychology</v>
      </c>
      <c r="L457" s="1" t="str">
        <f ca="1">IFERROR(__xludf.DUMMYFUNCTION("""COMPUTED_VALUE"""),"〇")</f>
        <v>〇</v>
      </c>
      <c r="M457" s="1"/>
      <c r="N457" s="1" t="str">
        <f ca="1">IFERROR(__xludf.DUMMYFUNCTION("""COMPUTED_VALUE"""),"TO14")</f>
        <v>TO14</v>
      </c>
      <c r="O457" s="1"/>
      <c r="P457" s="1"/>
    </row>
    <row r="458" spans="1:16" ht="14.25" customHeight="1" x14ac:dyDescent="0.25">
      <c r="A458" s="1"/>
      <c r="B458" s="1">
        <f ca="1"/>
        <v>446</v>
      </c>
      <c r="C458" s="1">
        <f ca="1">IFERROR(__xludf.DUMMYFUNCTION("""COMPUTED_VALUE"""),2023)</f>
        <v>2023</v>
      </c>
      <c r="D458" s="1">
        <f ca="1">IFERROR(__xludf.DUMMYFUNCTION("""COMPUTED_VALUE"""),11007)</f>
        <v>11007</v>
      </c>
      <c r="E458" s="1" t="str">
        <f ca="1">IFERROR(__xludf.DUMMYFUNCTION("""COMPUTED_VALUE"""),"Continental Philosophy Review")</f>
        <v>Continental Philosophy Review</v>
      </c>
      <c r="F458" s="1" t="str">
        <f ca="1">IFERROR(__xludf.DUMMYFUNCTION("""COMPUTED_VALUE"""),"1573-1103")</f>
        <v>1573-1103</v>
      </c>
      <c r="G458" s="1" t="str">
        <f ca="1">IFERROR(__xludf.DUMMYFUNCTION("""COMPUTED_VALUE"""),"1387-2842")</f>
        <v>1387-2842</v>
      </c>
      <c r="H458" s="27" t="str">
        <f ca="1">IFERROR(__xludf.DUMMYFUNCTION("""COMPUTED_VALUE"""),"https://link.springer.com/journal/11007")</f>
        <v>https://link.springer.com/journal/11007</v>
      </c>
      <c r="I458" s="1" t="str">
        <f ca="1">IFERROR(__xludf.DUMMYFUNCTION("""COMPUTED_VALUE"""),"Springer")</f>
        <v>Springer</v>
      </c>
      <c r="J458" s="1">
        <f ca="1">IFERROR(__xludf.DUMMYFUNCTION("""COMPUTED_VALUE"""),2000)</f>
        <v>2000</v>
      </c>
      <c r="K458" s="1" t="str">
        <f ca="1">IFERROR(__xludf.DUMMYFUNCTION("""COMPUTED_VALUE"""),"Education")</f>
        <v>Education</v>
      </c>
      <c r="L458" s="1" t="str">
        <f ca="1">IFERROR(__xludf.DUMMYFUNCTION("""COMPUTED_VALUE"""),"〇")</f>
        <v>〇</v>
      </c>
      <c r="M458" s="1" t="str">
        <f ca="1">IFERROR(__xludf.DUMMYFUNCTION("""COMPUTED_VALUE"""),"〇")</f>
        <v>〇</v>
      </c>
      <c r="N458" s="1"/>
      <c r="O458" s="1"/>
      <c r="P458" s="1"/>
    </row>
    <row r="459" spans="1:16" ht="14.25" customHeight="1" x14ac:dyDescent="0.25">
      <c r="A459" s="1"/>
      <c r="B459" s="1">
        <f ca="1"/>
        <v>447</v>
      </c>
      <c r="C459" s="1">
        <f ca="1">IFERROR(__xludf.DUMMYFUNCTION("""COMPUTED_VALUE"""),2023)</f>
        <v>2023</v>
      </c>
      <c r="D459" s="1">
        <f ca="1">IFERROR(__xludf.DUMMYFUNCTION("""COMPUTED_VALUE"""),161)</f>
        <v>161</v>
      </c>
      <c r="E459" s="1" t="str">
        <f ca="1">IFERROR(__xludf.DUMMYFUNCTION("""COMPUTED_VALUE"""),"Continuum Mechanics and Thermodynamics")</f>
        <v>Continuum Mechanics and Thermodynamics</v>
      </c>
      <c r="F459" s="1" t="str">
        <f ca="1">IFERROR(__xludf.DUMMYFUNCTION("""COMPUTED_VALUE"""),"1432-0959")</f>
        <v>1432-0959</v>
      </c>
      <c r="G459" s="1" t="str">
        <f ca="1">IFERROR(__xludf.DUMMYFUNCTION("""COMPUTED_VALUE"""),"0935-1175")</f>
        <v>0935-1175</v>
      </c>
      <c r="H459" s="27" t="str">
        <f ca="1">IFERROR(__xludf.DUMMYFUNCTION("""COMPUTED_VALUE"""),"https://link.springer.com/journal/161")</f>
        <v>https://link.springer.com/journal/161</v>
      </c>
      <c r="I459" s="1" t="str">
        <f ca="1">IFERROR(__xludf.DUMMYFUNCTION("""COMPUTED_VALUE"""),"Springer")</f>
        <v>Springer</v>
      </c>
      <c r="J459" s="1">
        <f ca="1">IFERROR(__xludf.DUMMYFUNCTION("""COMPUTED_VALUE"""),2000)</f>
        <v>2000</v>
      </c>
      <c r="K459" s="1" t="str">
        <f ca="1">IFERROR(__xludf.DUMMYFUNCTION("""COMPUTED_VALUE"""),"Physics and Astronomy")</f>
        <v>Physics and Astronomy</v>
      </c>
      <c r="L459" s="1" t="str">
        <f ca="1">IFERROR(__xludf.DUMMYFUNCTION("""COMPUTED_VALUE"""),"〇")</f>
        <v>〇</v>
      </c>
      <c r="M459" s="1" t="str">
        <f ca="1">IFERROR(__xludf.DUMMYFUNCTION("""COMPUTED_VALUE"""),"〇")</f>
        <v>〇</v>
      </c>
      <c r="N459" s="1"/>
      <c r="O459" s="1"/>
      <c r="P459" s="1"/>
    </row>
    <row r="460" spans="1:16" ht="14.25" customHeight="1" x14ac:dyDescent="0.25">
      <c r="A460" s="1"/>
      <c r="B460" s="1">
        <f ca="1"/>
        <v>448</v>
      </c>
      <c r="C460" s="1">
        <f ca="1">IFERROR(__xludf.DUMMYFUNCTION("""COMPUTED_VALUE"""),2023)</f>
        <v>2023</v>
      </c>
      <c r="D460" s="1">
        <f ca="1">IFERROR(__xludf.DUMMYFUNCTION("""COMPUTED_VALUE"""),410)</f>
        <v>410</v>
      </c>
      <c r="E460" s="1" t="str">
        <f ca="1">IFERROR(__xludf.DUMMYFUNCTION("""COMPUTED_VALUE"""),"Contributions to Mineralogy and Petrology")</f>
        <v>Contributions to Mineralogy and Petrology</v>
      </c>
      <c r="F460" s="1" t="str">
        <f ca="1">IFERROR(__xludf.DUMMYFUNCTION("""COMPUTED_VALUE"""),"1432-0967")</f>
        <v>1432-0967</v>
      </c>
      <c r="G460" s="1" t="str">
        <f ca="1">IFERROR(__xludf.DUMMYFUNCTION("""COMPUTED_VALUE"""),"0010-7999")</f>
        <v>0010-7999</v>
      </c>
      <c r="H460" s="27" t="str">
        <f ca="1">IFERROR(__xludf.DUMMYFUNCTION("""COMPUTED_VALUE"""),"https://link.springer.com/journal/410")</f>
        <v>https://link.springer.com/journal/410</v>
      </c>
      <c r="I460" s="1" t="str">
        <f ca="1">IFERROR(__xludf.DUMMYFUNCTION("""COMPUTED_VALUE"""),"Springer")</f>
        <v>Springer</v>
      </c>
      <c r="J460" s="1">
        <f ca="1">IFERROR(__xludf.DUMMYFUNCTION("""COMPUTED_VALUE"""),2000)</f>
        <v>2000</v>
      </c>
      <c r="K460" s="1" t="str">
        <f ca="1">IFERROR(__xludf.DUMMYFUNCTION("""COMPUTED_VALUE"""),"Earth and Environmental Science")</f>
        <v>Earth and Environmental Science</v>
      </c>
      <c r="L460" s="1" t="str">
        <f ca="1">IFERROR(__xludf.DUMMYFUNCTION("""COMPUTED_VALUE"""),"〇")</f>
        <v>〇</v>
      </c>
      <c r="M460" s="1" t="str">
        <f ca="1">IFERROR(__xludf.DUMMYFUNCTION("""COMPUTED_VALUE"""),"〇")</f>
        <v>〇</v>
      </c>
      <c r="N460" s="1"/>
      <c r="O460" s="1"/>
      <c r="P460" s="1"/>
    </row>
    <row r="461" spans="1:16" ht="14.25" customHeight="1" x14ac:dyDescent="0.25">
      <c r="A461" s="1"/>
      <c r="B461" s="1">
        <f ca="1"/>
        <v>449</v>
      </c>
      <c r="C461" s="1">
        <f ca="1">IFERROR(__xludf.DUMMYFUNCTION("""COMPUTED_VALUE"""),2023)</f>
        <v>2023</v>
      </c>
      <c r="D461" s="1">
        <f ca="1">IFERROR(__xludf.DUMMYFUNCTION("""COMPUTED_VALUE"""),11768)</f>
        <v>11768</v>
      </c>
      <c r="E461" s="1" t="str">
        <f ca="1">IFERROR(__xludf.DUMMYFUNCTION("""COMPUTED_VALUE"""),"Control Theory and Technology")</f>
        <v>Control Theory and Technology</v>
      </c>
      <c r="F461" s="1" t="str">
        <f ca="1">IFERROR(__xludf.DUMMYFUNCTION("""COMPUTED_VALUE"""),"2198-0942")</f>
        <v>2198-0942</v>
      </c>
      <c r="G461" s="1" t="str">
        <f ca="1">IFERROR(__xludf.DUMMYFUNCTION("""COMPUTED_VALUE"""),"2095-6983")</f>
        <v>2095-6983</v>
      </c>
      <c r="H461" s="27" t="str">
        <f ca="1">IFERROR(__xludf.DUMMYFUNCTION("""COMPUTED_VALUE"""),"https://link.springer.com/journal/11768")</f>
        <v>https://link.springer.com/journal/11768</v>
      </c>
      <c r="I461" s="1" t="str">
        <f ca="1">IFERROR(__xludf.DUMMYFUNCTION("""COMPUTED_VALUE"""),"South China University of Technology and Academy of Mathematics and Systems Science, CAS, co-published with Springer")</f>
        <v>South China University of Technology and Academy of Mathematics and Systems Science, CAS, co-published with Springer</v>
      </c>
      <c r="J461" s="1">
        <f ca="1">IFERROR(__xludf.DUMMYFUNCTION("""COMPUTED_VALUE"""),2003)</f>
        <v>2003</v>
      </c>
      <c r="K461" s="1" t="str">
        <f ca="1">IFERROR(__xludf.DUMMYFUNCTION("""COMPUTED_VALUE"""),"Engineering")</f>
        <v>Engineering</v>
      </c>
      <c r="L461" s="1" t="str">
        <f ca="1">IFERROR(__xludf.DUMMYFUNCTION("""COMPUTED_VALUE"""),"〇")</f>
        <v>〇</v>
      </c>
      <c r="M461" s="1" t="str">
        <f ca="1">IFERROR(__xludf.DUMMYFUNCTION("""COMPUTED_VALUE"""),"〇")</f>
        <v>〇</v>
      </c>
      <c r="N461" s="1" t="str">
        <f ca="1">IFERROR(__xludf.DUMMYFUNCTION("""COMPUTED_VALUE"""),"TO7")</f>
        <v>TO7</v>
      </c>
      <c r="O461" s="1"/>
      <c r="P461" s="1"/>
    </row>
    <row r="462" spans="1:16" ht="14.25" customHeight="1" x14ac:dyDescent="0.25">
      <c r="A462" s="1"/>
      <c r="B462" s="1">
        <f ca="1"/>
        <v>450</v>
      </c>
      <c r="C462" s="1">
        <f ca="1">IFERROR(__xludf.DUMMYFUNCTION("""COMPUTED_VALUE"""),2023)</f>
        <v>2023</v>
      </c>
      <c r="D462" s="1">
        <f ca="1">IFERROR(__xludf.DUMMYFUNCTION("""COMPUTED_VALUE"""),12176)</f>
        <v>12176</v>
      </c>
      <c r="E462" s="1" t="str">
        <f ca="1">IFERROR(__xludf.DUMMYFUNCTION("""COMPUTED_VALUE"""),"Controlling &amp; Management Review")</f>
        <v>Controlling &amp; Management Review</v>
      </c>
      <c r="F462" s="1" t="str">
        <f ca="1">IFERROR(__xludf.DUMMYFUNCTION("""COMPUTED_VALUE"""),"2195-8270")</f>
        <v>2195-8270</v>
      </c>
      <c r="G462" s="1" t="str">
        <f ca="1">IFERROR(__xludf.DUMMYFUNCTION("""COMPUTED_VALUE"""),"2195-8262")</f>
        <v>2195-8262</v>
      </c>
      <c r="H462" s="27" t="str">
        <f ca="1">IFERROR(__xludf.DUMMYFUNCTION("""COMPUTED_VALUE"""),"https://link.springer.com/journal/12176")</f>
        <v>https://link.springer.com/journal/12176</v>
      </c>
      <c r="I462" s="1" t="str">
        <f ca="1">IFERROR(__xludf.DUMMYFUNCTION("""COMPUTED_VALUE"""),"Springer Gabler")</f>
        <v>Springer Gabler</v>
      </c>
      <c r="J462" s="1">
        <f ca="1">IFERROR(__xludf.DUMMYFUNCTION("""COMPUTED_VALUE"""),2000)</f>
        <v>2000</v>
      </c>
      <c r="K462" s="1" t="str">
        <f ca="1">IFERROR(__xludf.DUMMYFUNCTION("""COMPUTED_VALUE"""),"Business and Management")</f>
        <v>Business and Management</v>
      </c>
      <c r="L462" s="1" t="str">
        <f ca="1">IFERROR(__xludf.DUMMYFUNCTION("""COMPUTED_VALUE"""),"〇")</f>
        <v>〇</v>
      </c>
      <c r="M462" s="1" t="str">
        <f ca="1">IFERROR(__xludf.DUMMYFUNCTION("""COMPUTED_VALUE"""),"〇")</f>
        <v>〇</v>
      </c>
      <c r="N462" s="1" t="str">
        <f ca="1">IFERROR(__xludf.DUMMYFUNCTION("""COMPUTED_VALUE"""),"SNS7")</f>
        <v>SNS7</v>
      </c>
      <c r="O462" s="1"/>
      <c r="P462" s="1"/>
    </row>
    <row r="463" spans="1:16" ht="14.25" customHeight="1" x14ac:dyDescent="0.25">
      <c r="A463" s="1"/>
      <c r="B463" s="1">
        <f ca="1"/>
        <v>451</v>
      </c>
      <c r="C463" s="1">
        <f ca="1">IFERROR(__xludf.DUMMYFUNCTION("""COMPUTED_VALUE"""),2023)</f>
        <v>2023</v>
      </c>
      <c r="D463" s="1">
        <f ca="1">IFERROR(__xludf.DUMMYFUNCTION("""COMPUTED_VALUE"""),338)</f>
        <v>338</v>
      </c>
      <c r="E463" s="1" t="str">
        <f ca="1">IFERROR(__xludf.DUMMYFUNCTION("""COMPUTED_VALUE"""),"Coral Reefs")</f>
        <v>Coral Reefs</v>
      </c>
      <c r="F463" s="1" t="str">
        <f ca="1">IFERROR(__xludf.DUMMYFUNCTION("""COMPUTED_VALUE"""),"1432-0975")</f>
        <v>1432-0975</v>
      </c>
      <c r="G463" s="1" t="str">
        <f ca="1">IFERROR(__xludf.DUMMYFUNCTION("""COMPUTED_VALUE"""),"0722-4028")</f>
        <v>0722-4028</v>
      </c>
      <c r="H463" s="27" t="str">
        <f ca="1">IFERROR(__xludf.DUMMYFUNCTION("""COMPUTED_VALUE"""),"https://link.springer.com/journal/338")</f>
        <v>https://link.springer.com/journal/338</v>
      </c>
      <c r="I463" s="1" t="str">
        <f ca="1">IFERROR(__xludf.DUMMYFUNCTION("""COMPUTED_VALUE"""),"Springer")</f>
        <v>Springer</v>
      </c>
      <c r="J463" s="1">
        <f ca="1">IFERROR(__xludf.DUMMYFUNCTION("""COMPUTED_VALUE"""),2000)</f>
        <v>2000</v>
      </c>
      <c r="K463" s="1" t="str">
        <f ca="1">IFERROR(__xludf.DUMMYFUNCTION("""COMPUTED_VALUE"""),"Biomedical and Life Sciences")</f>
        <v>Biomedical and Life Sciences</v>
      </c>
      <c r="L463" s="1" t="str">
        <f ca="1">IFERROR(__xludf.DUMMYFUNCTION("""COMPUTED_VALUE"""),"〇")</f>
        <v>〇</v>
      </c>
      <c r="M463" s="1" t="str">
        <f ca="1">IFERROR(__xludf.DUMMYFUNCTION("""COMPUTED_VALUE"""),"〇")</f>
        <v>〇</v>
      </c>
      <c r="N463" s="1"/>
      <c r="O463" s="1"/>
      <c r="P463" s="1"/>
    </row>
    <row r="464" spans="1:16" ht="14.25" customHeight="1" x14ac:dyDescent="0.25">
      <c r="A464" s="1"/>
      <c r="B464" s="1">
        <f ca="1"/>
        <v>452</v>
      </c>
      <c r="C464" s="1">
        <f ca="1">IFERROR(__xludf.DUMMYFUNCTION("""COMPUTED_VALUE"""),2023)</f>
        <v>2023</v>
      </c>
      <c r="D464" s="1">
        <f ca="1">IFERROR(__xludf.DUMMYFUNCTION("""COMPUTED_VALUE"""),41701)</f>
        <v>41701</v>
      </c>
      <c r="E464" s="1" t="str">
        <f ca="1">IFERROR(__xludf.DUMMYFUNCTION("""COMPUTED_VALUE"""),"Corpus Pragmatics")</f>
        <v>Corpus Pragmatics</v>
      </c>
      <c r="F464" s="1" t="str">
        <f ca="1">IFERROR(__xludf.DUMMYFUNCTION("""COMPUTED_VALUE"""),"2509-9515")</f>
        <v>2509-9515</v>
      </c>
      <c r="G464" s="1" t="str">
        <f ca="1">IFERROR(__xludf.DUMMYFUNCTION("""COMPUTED_VALUE"""),"2509-9507")</f>
        <v>2509-9507</v>
      </c>
      <c r="H464" s="27" t="str">
        <f ca="1">IFERROR(__xludf.DUMMYFUNCTION("""COMPUTED_VALUE"""),"https://link.springer.com/journal/41701")</f>
        <v>https://link.springer.com/journal/41701</v>
      </c>
      <c r="I464" s="1" t="str">
        <f ca="1">IFERROR(__xludf.DUMMYFUNCTION("""COMPUTED_VALUE"""),"Springer")</f>
        <v>Springer</v>
      </c>
      <c r="J464" s="1">
        <f ca="1">IFERROR(__xludf.DUMMYFUNCTION("""COMPUTED_VALUE"""),2017)</f>
        <v>2017</v>
      </c>
      <c r="K464" s="1" t="str">
        <f ca="1">IFERROR(__xludf.DUMMYFUNCTION("""COMPUTED_VALUE"""),"Social Sciences")</f>
        <v>Social Sciences</v>
      </c>
      <c r="L464" s="1" t="str">
        <f ca="1">IFERROR(__xludf.DUMMYFUNCTION("""COMPUTED_VALUE"""),"〇")</f>
        <v>〇</v>
      </c>
      <c r="M464" s="1"/>
      <c r="N464" s="1" t="str">
        <f ca="1">IFERROR(__xludf.DUMMYFUNCTION("""COMPUTED_VALUE"""),"SNS17")</f>
        <v>SNS17</v>
      </c>
      <c r="O464" s="1"/>
      <c r="P464" s="1"/>
    </row>
    <row r="465" spans="1:16" ht="14.25" customHeight="1" x14ac:dyDescent="0.25">
      <c r="A465" s="1"/>
      <c r="B465" s="1">
        <f ca="1"/>
        <v>453</v>
      </c>
      <c r="C465" s="1">
        <f ca="1">IFERROR(__xludf.DUMMYFUNCTION("""COMPUTED_VALUE"""),2023)</f>
        <v>2023</v>
      </c>
      <c r="D465" s="1">
        <f ca="1">IFERROR(__xludf.DUMMYFUNCTION("""COMPUTED_VALUE"""),10604)</f>
        <v>10604</v>
      </c>
      <c r="E465" s="1" t="str">
        <f ca="1">IFERROR(__xludf.DUMMYFUNCTION("""COMPUTED_VALUE"""),"Cosmic Research")</f>
        <v>Cosmic Research</v>
      </c>
      <c r="F465" s="1" t="str">
        <f ca="1">IFERROR(__xludf.DUMMYFUNCTION("""COMPUTED_VALUE"""),"1608-3075")</f>
        <v>1608-3075</v>
      </c>
      <c r="G465" s="1" t="str">
        <f ca="1">IFERROR(__xludf.DUMMYFUNCTION("""COMPUTED_VALUE"""),"0010-9525")</f>
        <v>0010-9525</v>
      </c>
      <c r="H465" s="27" t="str">
        <f ca="1">IFERROR(__xludf.DUMMYFUNCTION("""COMPUTED_VALUE"""),"https://link.springer.com/journal/10604")</f>
        <v>https://link.springer.com/journal/10604</v>
      </c>
      <c r="I465" s="1" t="str">
        <f ca="1">IFERROR(__xludf.DUMMYFUNCTION("""COMPUTED_VALUE"""),"Pleiades Publishing")</f>
        <v>Pleiades Publishing</v>
      </c>
      <c r="J465" s="1">
        <f ca="1">IFERROR(__xludf.DUMMYFUNCTION("""COMPUTED_VALUE"""),2000)</f>
        <v>2000</v>
      </c>
      <c r="K465" s="1" t="str">
        <f ca="1">IFERROR(__xludf.DUMMYFUNCTION("""COMPUTED_VALUE"""),"Physics and Astronomy")</f>
        <v>Physics and Astronomy</v>
      </c>
      <c r="L465" s="1" t="str">
        <f ca="1">IFERROR(__xludf.DUMMYFUNCTION("""COMPUTED_VALUE"""),"〇")</f>
        <v>〇</v>
      </c>
      <c r="M465" s="1" t="str">
        <f ca="1">IFERROR(__xludf.DUMMYFUNCTION("""COMPUTED_VALUE"""),"〇")</f>
        <v>〇</v>
      </c>
      <c r="N465" s="1"/>
      <c r="O465" s="1"/>
      <c r="P465" s="1"/>
    </row>
    <row r="466" spans="1:16" ht="14.25" customHeight="1" x14ac:dyDescent="0.25">
      <c r="A466" s="1"/>
      <c r="B466" s="1">
        <f ca="1"/>
        <v>454</v>
      </c>
      <c r="C466" s="1">
        <f ca="1">IFERROR(__xludf.DUMMYFUNCTION("""COMPUTED_VALUE"""),2023)</f>
        <v>2023</v>
      </c>
      <c r="D466" s="1">
        <f ca="1">IFERROR(__xludf.DUMMYFUNCTION("""COMPUTED_VALUE"""),10611)</f>
        <v>10611</v>
      </c>
      <c r="E466" s="1" t="str">
        <f ca="1">IFERROR(__xludf.DUMMYFUNCTION("""COMPUTED_VALUE"""),"Crime, Law and Social Change")</f>
        <v>Crime, Law and Social Change</v>
      </c>
      <c r="F466" s="1" t="str">
        <f ca="1">IFERROR(__xludf.DUMMYFUNCTION("""COMPUTED_VALUE"""),"1573-0751")</f>
        <v>1573-0751</v>
      </c>
      <c r="G466" s="1" t="str">
        <f ca="1">IFERROR(__xludf.DUMMYFUNCTION("""COMPUTED_VALUE"""),"0925-4994")</f>
        <v>0925-4994</v>
      </c>
      <c r="H466" s="27" t="str">
        <f ca="1">IFERROR(__xludf.DUMMYFUNCTION("""COMPUTED_VALUE"""),"https://link.springer.com/journal/10611")</f>
        <v>https://link.springer.com/journal/10611</v>
      </c>
      <c r="I466" s="1" t="str">
        <f ca="1">IFERROR(__xludf.DUMMYFUNCTION("""COMPUTED_VALUE"""),"Springer")</f>
        <v>Springer</v>
      </c>
      <c r="J466" s="1">
        <f ca="1">IFERROR(__xludf.DUMMYFUNCTION("""COMPUTED_VALUE"""),2000)</f>
        <v>2000</v>
      </c>
      <c r="K466" s="1" t="str">
        <f ca="1">IFERROR(__xludf.DUMMYFUNCTION("""COMPUTED_VALUE"""),"Law and Criminology")</f>
        <v>Law and Criminology</v>
      </c>
      <c r="L466" s="1" t="str">
        <f ca="1">IFERROR(__xludf.DUMMYFUNCTION("""COMPUTED_VALUE"""),"〇")</f>
        <v>〇</v>
      </c>
      <c r="M466" s="1" t="str">
        <f ca="1">IFERROR(__xludf.DUMMYFUNCTION("""COMPUTED_VALUE"""),"〇")</f>
        <v>〇</v>
      </c>
      <c r="N466" s="1"/>
      <c r="O466" s="1"/>
      <c r="P466" s="1"/>
    </row>
    <row r="467" spans="1:16" ht="14.25" customHeight="1" x14ac:dyDescent="0.25">
      <c r="A467" s="1"/>
      <c r="B467" s="1">
        <f ca="1"/>
        <v>455</v>
      </c>
      <c r="C467" s="1">
        <f ca="1">IFERROR(__xludf.DUMMYFUNCTION("""COMPUTED_VALUE"""),2023)</f>
        <v>2023</v>
      </c>
      <c r="D467" s="1">
        <f ca="1">IFERROR(__xludf.DUMMYFUNCTION("""COMPUTED_VALUE"""),11572)</f>
        <v>11572</v>
      </c>
      <c r="E467" s="1" t="str">
        <f ca="1">IFERROR(__xludf.DUMMYFUNCTION("""COMPUTED_VALUE"""),"Criminal Law and Philosophy")</f>
        <v>Criminal Law and Philosophy</v>
      </c>
      <c r="F467" s="1" t="str">
        <f ca="1">IFERROR(__xludf.DUMMYFUNCTION("""COMPUTED_VALUE"""),"1871-9805")</f>
        <v>1871-9805</v>
      </c>
      <c r="G467" s="1" t="str">
        <f ca="1">IFERROR(__xludf.DUMMYFUNCTION("""COMPUTED_VALUE"""),"1871-9791")</f>
        <v>1871-9791</v>
      </c>
      <c r="H467" s="27" t="str">
        <f ca="1">IFERROR(__xludf.DUMMYFUNCTION("""COMPUTED_VALUE"""),"https://link.springer.com/journal/11572")</f>
        <v>https://link.springer.com/journal/11572</v>
      </c>
      <c r="I467" s="1" t="str">
        <f ca="1">IFERROR(__xludf.DUMMYFUNCTION("""COMPUTED_VALUE"""),"Springer")</f>
        <v>Springer</v>
      </c>
      <c r="J467" s="1">
        <f ca="1">IFERROR(__xludf.DUMMYFUNCTION("""COMPUTED_VALUE"""),2007)</f>
        <v>2007</v>
      </c>
      <c r="K467" s="1" t="str">
        <f ca="1">IFERROR(__xludf.DUMMYFUNCTION("""COMPUTED_VALUE"""),"Law and Criminology")</f>
        <v>Law and Criminology</v>
      </c>
      <c r="L467" s="1" t="str">
        <f ca="1">IFERROR(__xludf.DUMMYFUNCTION("""COMPUTED_VALUE"""),"〇")</f>
        <v>〇</v>
      </c>
      <c r="M467" s="1" t="str">
        <f ca="1">IFERROR(__xludf.DUMMYFUNCTION("""COMPUTED_VALUE"""),"〇")</f>
        <v>〇</v>
      </c>
      <c r="N467" s="1" t="str">
        <f ca="1">IFERROR(__xludf.DUMMYFUNCTION("""COMPUTED_VALUE"""),"SNS7")</f>
        <v>SNS7</v>
      </c>
      <c r="O467" s="1"/>
      <c r="P467" s="1"/>
    </row>
    <row r="468" spans="1:16" ht="14.25" customHeight="1" x14ac:dyDescent="0.25">
      <c r="A468" s="1"/>
      <c r="B468" s="1">
        <f ca="1"/>
        <v>456</v>
      </c>
      <c r="C468" s="1">
        <f ca="1">IFERROR(__xludf.DUMMYFUNCTION("""COMPUTED_VALUE"""),2023)</f>
        <v>2023</v>
      </c>
      <c r="D468" s="1">
        <f ca="1">IFERROR(__xludf.DUMMYFUNCTION("""COMPUTED_VALUE"""),10609)</f>
        <v>10609</v>
      </c>
      <c r="E468" s="1" t="str">
        <f ca="1">IFERROR(__xludf.DUMMYFUNCTION("""COMPUTED_VALUE"""),"Criminal Law Forum")</f>
        <v>Criminal Law Forum</v>
      </c>
      <c r="F468" s="1" t="str">
        <f ca="1">IFERROR(__xludf.DUMMYFUNCTION("""COMPUTED_VALUE"""),"1572-9850")</f>
        <v>1572-9850</v>
      </c>
      <c r="G468" s="1" t="str">
        <f ca="1">IFERROR(__xludf.DUMMYFUNCTION("""COMPUTED_VALUE"""),"1046-8374")</f>
        <v>1046-8374</v>
      </c>
      <c r="H468" s="27" t="str">
        <f ca="1">IFERROR(__xludf.DUMMYFUNCTION("""COMPUTED_VALUE"""),"https://link.springer.com/journal/10609")</f>
        <v>https://link.springer.com/journal/10609</v>
      </c>
      <c r="I468" s="1" t="str">
        <f ca="1">IFERROR(__xludf.DUMMYFUNCTION("""COMPUTED_VALUE"""),"Springer")</f>
        <v>Springer</v>
      </c>
      <c r="J468" s="1">
        <f ca="1">IFERROR(__xludf.DUMMYFUNCTION("""COMPUTED_VALUE"""),2000)</f>
        <v>2000</v>
      </c>
      <c r="K468" s="1" t="str">
        <f ca="1">IFERROR(__xludf.DUMMYFUNCTION("""COMPUTED_VALUE"""),"Law and Criminology")</f>
        <v>Law and Criminology</v>
      </c>
      <c r="L468" s="1" t="str">
        <f ca="1">IFERROR(__xludf.DUMMYFUNCTION("""COMPUTED_VALUE"""),"〇")</f>
        <v>〇</v>
      </c>
      <c r="M468" s="1" t="str">
        <f ca="1">IFERROR(__xludf.DUMMYFUNCTION("""COMPUTED_VALUE"""),"〇")</f>
        <v>〇</v>
      </c>
      <c r="N468" s="1"/>
      <c r="O468" s="1"/>
      <c r="P468" s="1"/>
    </row>
    <row r="469" spans="1:16" ht="14.25" customHeight="1" x14ac:dyDescent="0.25">
      <c r="A469" s="1"/>
      <c r="B469" s="1">
        <f ca="1"/>
        <v>457</v>
      </c>
      <c r="C469" s="1">
        <f ca="1">IFERROR(__xludf.DUMMYFUNCTION("""COMPUTED_VALUE"""),2023)</f>
        <v>2023</v>
      </c>
      <c r="D469" s="1">
        <f ca="1">IFERROR(__xludf.DUMMYFUNCTION("""COMPUTED_VALUE"""),10612)</f>
        <v>10612</v>
      </c>
      <c r="E469" s="1" t="str">
        <f ca="1">IFERROR(__xludf.DUMMYFUNCTION("""COMPUTED_VALUE"""),"Critical Criminology")</f>
        <v>Critical Criminology</v>
      </c>
      <c r="F469" s="1" t="str">
        <f ca="1">IFERROR(__xludf.DUMMYFUNCTION("""COMPUTED_VALUE"""),"1572-9877")</f>
        <v>1572-9877</v>
      </c>
      <c r="G469" s="1" t="str">
        <f ca="1">IFERROR(__xludf.DUMMYFUNCTION("""COMPUTED_VALUE"""),"1205-8629")</f>
        <v>1205-8629</v>
      </c>
      <c r="H469" s="27" t="str">
        <f ca="1">IFERROR(__xludf.DUMMYFUNCTION("""COMPUTED_VALUE"""),"https://link.springer.com/journal/10612")</f>
        <v>https://link.springer.com/journal/10612</v>
      </c>
      <c r="I469" s="1" t="str">
        <f ca="1">IFERROR(__xludf.DUMMYFUNCTION("""COMPUTED_VALUE"""),"Springer")</f>
        <v>Springer</v>
      </c>
      <c r="J469" s="1">
        <f ca="1">IFERROR(__xludf.DUMMYFUNCTION("""COMPUTED_VALUE"""),2000)</f>
        <v>2000</v>
      </c>
      <c r="K469" s="1" t="str">
        <f ca="1">IFERROR(__xludf.DUMMYFUNCTION("""COMPUTED_VALUE"""),"Law and Criminology")</f>
        <v>Law and Criminology</v>
      </c>
      <c r="L469" s="1" t="str">
        <f ca="1">IFERROR(__xludf.DUMMYFUNCTION("""COMPUTED_VALUE"""),"〇")</f>
        <v>〇</v>
      </c>
      <c r="M469" s="1" t="str">
        <f ca="1">IFERROR(__xludf.DUMMYFUNCTION("""COMPUTED_VALUE"""),"〇")</f>
        <v>〇</v>
      </c>
      <c r="N469" s="1"/>
      <c r="O469" s="1"/>
      <c r="P469" s="1"/>
    </row>
    <row r="470" spans="1:16" ht="14.25" customHeight="1" x14ac:dyDescent="0.25">
      <c r="A470" s="1"/>
      <c r="B470" s="1">
        <f ca="1"/>
        <v>458</v>
      </c>
      <c r="C470" s="1">
        <f ca="1">IFERROR(__xludf.DUMMYFUNCTION("""COMPUTED_VALUE"""),2023)</f>
        <v>2023</v>
      </c>
      <c r="D470" s="1">
        <f ca="1">IFERROR(__xludf.DUMMYFUNCTION("""COMPUTED_VALUE"""),12095)</f>
        <v>12095</v>
      </c>
      <c r="E470" s="1" t="str">
        <f ca="1">IFERROR(__xludf.DUMMYFUNCTION("""COMPUTED_VALUE"""),"Cryptography and Communications")</f>
        <v>Cryptography and Communications</v>
      </c>
      <c r="F470" s="1" t="str">
        <f ca="1">IFERROR(__xludf.DUMMYFUNCTION("""COMPUTED_VALUE"""),"1936-2455")</f>
        <v>1936-2455</v>
      </c>
      <c r="G470" s="1"/>
      <c r="H470" s="27" t="str">
        <f ca="1">IFERROR(__xludf.DUMMYFUNCTION("""COMPUTED_VALUE"""),"https://link.springer.com/journal/12095")</f>
        <v>https://link.springer.com/journal/12095</v>
      </c>
      <c r="I470" s="1" t="str">
        <f ca="1">IFERROR(__xludf.DUMMYFUNCTION("""COMPUTED_VALUE"""),"Springer")</f>
        <v>Springer</v>
      </c>
      <c r="J470" s="1">
        <f ca="1">IFERROR(__xludf.DUMMYFUNCTION("""COMPUTED_VALUE"""),2009)</f>
        <v>2009</v>
      </c>
      <c r="K470" s="1" t="str">
        <f ca="1">IFERROR(__xludf.DUMMYFUNCTION("""COMPUTED_VALUE"""),"Computer Science")</f>
        <v>Computer Science</v>
      </c>
      <c r="L470" s="1"/>
      <c r="M470" s="1" t="str">
        <f ca="1">IFERROR(__xludf.DUMMYFUNCTION("""COMPUTED_VALUE"""),"〇")</f>
        <v>〇</v>
      </c>
      <c r="N470" s="1" t="str">
        <f ca="1">IFERROR(__xludf.DUMMYFUNCTION("""COMPUTED_VALUE"""),"SNS9")</f>
        <v>SNS9</v>
      </c>
      <c r="O470" s="1"/>
      <c r="P470" s="1"/>
    </row>
    <row r="471" spans="1:16" ht="14.25" customHeight="1" x14ac:dyDescent="0.25">
      <c r="A471" s="1"/>
      <c r="B471" s="1">
        <f ca="1"/>
        <v>459</v>
      </c>
      <c r="C471" s="1">
        <f ca="1">IFERROR(__xludf.DUMMYFUNCTION("""COMPUTED_VALUE"""),2023)</f>
        <v>2023</v>
      </c>
      <c r="D471" s="1">
        <f ca="1">IFERROR(__xludf.DUMMYFUNCTION("""COMPUTED_VALUE"""),11445)</f>
        <v>11445</v>
      </c>
      <c r="E471" s="1" t="str">
        <f ca="1">IFERROR(__xludf.DUMMYFUNCTION("""COMPUTED_VALUE"""),"Crystallography Reports")</f>
        <v>Crystallography Reports</v>
      </c>
      <c r="F471" s="1" t="str">
        <f ca="1">IFERROR(__xludf.DUMMYFUNCTION("""COMPUTED_VALUE"""),"1562-689X")</f>
        <v>1562-689X</v>
      </c>
      <c r="G471" s="1" t="str">
        <f ca="1">IFERROR(__xludf.DUMMYFUNCTION("""COMPUTED_VALUE"""),"1063-7745")</f>
        <v>1063-7745</v>
      </c>
      <c r="H471" s="27" t="str">
        <f ca="1">IFERROR(__xludf.DUMMYFUNCTION("""COMPUTED_VALUE"""),"https://link.springer.com/journal/11445")</f>
        <v>https://link.springer.com/journal/11445</v>
      </c>
      <c r="I471" s="1" t="str">
        <f ca="1">IFERROR(__xludf.DUMMYFUNCTION("""COMPUTED_VALUE"""),"Pleiades Publishing")</f>
        <v>Pleiades Publishing</v>
      </c>
      <c r="J471" s="1">
        <f ca="1">IFERROR(__xludf.DUMMYFUNCTION("""COMPUTED_VALUE"""),2000)</f>
        <v>2000</v>
      </c>
      <c r="K471" s="1" t="str">
        <f ca="1">IFERROR(__xludf.DUMMYFUNCTION("""COMPUTED_VALUE"""),"Physics and Astronomy")</f>
        <v>Physics and Astronomy</v>
      </c>
      <c r="L471" s="1" t="str">
        <f ca="1">IFERROR(__xludf.DUMMYFUNCTION("""COMPUTED_VALUE"""),"〇")</f>
        <v>〇</v>
      </c>
      <c r="M471" s="1" t="str">
        <f ca="1">IFERROR(__xludf.DUMMYFUNCTION("""COMPUTED_VALUE"""),"〇")</f>
        <v>〇</v>
      </c>
      <c r="N471" s="1"/>
      <c r="O471" s="1"/>
      <c r="P471" s="1"/>
    </row>
    <row r="472" spans="1:16" ht="14.25" customHeight="1" x14ac:dyDescent="0.25">
      <c r="A472" s="1"/>
      <c r="B472" s="1">
        <f ca="1"/>
        <v>460</v>
      </c>
      <c r="C472" s="1">
        <f ca="1">IFERROR(__xludf.DUMMYFUNCTION("""COMPUTED_VALUE"""),2023)</f>
        <v>2023</v>
      </c>
      <c r="D472" s="1">
        <f ca="1">IFERROR(__xludf.DUMMYFUNCTION("""COMPUTED_VALUE"""),40012)</f>
        <v>40012</v>
      </c>
      <c r="E472" s="1" t="str">
        <f ca="1">IFERROR(__xludf.DUMMYFUNCTION("""COMPUTED_VALUE"""),"CSI Transactions on ICT")</f>
        <v>CSI Transactions on ICT</v>
      </c>
      <c r="F472" s="1" t="str">
        <f ca="1">IFERROR(__xludf.DUMMYFUNCTION("""COMPUTED_VALUE"""),"2277-9086")</f>
        <v>2277-9086</v>
      </c>
      <c r="G472" s="1" t="str">
        <f ca="1">IFERROR(__xludf.DUMMYFUNCTION("""COMPUTED_VALUE"""),"2277-9078")</f>
        <v>2277-9078</v>
      </c>
      <c r="H472" s="27" t="str">
        <f ca="1">IFERROR(__xludf.DUMMYFUNCTION("""COMPUTED_VALUE"""),"https://link.springer.com/journal/40012")</f>
        <v>https://link.springer.com/journal/40012</v>
      </c>
      <c r="I472" s="1" t="str">
        <f ca="1">IFERROR(__xludf.DUMMYFUNCTION("""COMPUTED_VALUE"""),"Springer")</f>
        <v>Springer</v>
      </c>
      <c r="J472" s="1">
        <f ca="1">IFERROR(__xludf.DUMMYFUNCTION("""COMPUTED_VALUE"""),2013)</f>
        <v>2013</v>
      </c>
      <c r="K472" s="1" t="str">
        <f ca="1">IFERROR(__xludf.DUMMYFUNCTION("""COMPUTED_VALUE"""),"Computer Science")</f>
        <v>Computer Science</v>
      </c>
      <c r="L472" s="1" t="str">
        <f ca="1">IFERROR(__xludf.DUMMYFUNCTION("""COMPUTED_VALUE"""),"〇")</f>
        <v>〇</v>
      </c>
      <c r="M472" s="1"/>
      <c r="N472" s="1" t="str">
        <f ca="1">IFERROR(__xludf.DUMMYFUNCTION("""COMPUTED_VALUE"""),"SNS13")</f>
        <v>SNS13</v>
      </c>
      <c r="O472" s="1"/>
      <c r="P472" s="1"/>
    </row>
    <row r="473" spans="1:16" ht="14.25" customHeight="1" x14ac:dyDescent="0.25">
      <c r="A473" s="1"/>
      <c r="B473" s="1">
        <f ca="1"/>
        <v>461</v>
      </c>
      <c r="C473" s="1">
        <f ca="1">IFERROR(__xludf.DUMMYFUNCTION("""COMPUTED_VALUE"""),2023)</f>
        <v>2023</v>
      </c>
      <c r="D473" s="1">
        <f ca="1">IFERROR(__xludf.DUMMYFUNCTION("""COMPUTED_VALUE"""),43638)</f>
        <v>43638</v>
      </c>
      <c r="E473" s="1" t="str">
        <f ca="1">IFERROR(__xludf.DUMMYFUNCTION("""COMPUTED_VALUE"""),"cultura &amp; psyché")</f>
        <v>cultura &amp; psyché</v>
      </c>
      <c r="F473" s="1" t="str">
        <f ca="1">IFERROR(__xludf.DUMMYFUNCTION("""COMPUTED_VALUE"""),"2730-5732")</f>
        <v>2730-5732</v>
      </c>
      <c r="G473" s="1"/>
      <c r="H473" s="27" t="str">
        <f ca="1">IFERROR(__xludf.DUMMYFUNCTION("""COMPUTED_VALUE"""),"https://link.springer.com/journal/43638")</f>
        <v>https://link.springer.com/journal/43638</v>
      </c>
      <c r="I473" s="1" t="str">
        <f ca="1">IFERROR(__xludf.DUMMYFUNCTION("""COMPUTED_VALUE"""),"Springer")</f>
        <v>Springer</v>
      </c>
      <c r="J473" s="1">
        <f ca="1">IFERROR(__xludf.DUMMYFUNCTION("""COMPUTED_VALUE"""),2020)</f>
        <v>2020</v>
      </c>
      <c r="K473" s="1" t="str">
        <f ca="1">IFERROR(__xludf.DUMMYFUNCTION("""COMPUTED_VALUE"""),"Social Sciences")</f>
        <v>Social Sciences</v>
      </c>
      <c r="L473" s="1"/>
      <c r="M473" s="1"/>
      <c r="N473" s="1" t="str">
        <f ca="1">IFERROR(__xludf.DUMMYFUNCTION("""COMPUTED_VALUE"""),"SNS20")</f>
        <v>SNS20</v>
      </c>
      <c r="O473" s="1"/>
      <c r="P473" s="1"/>
    </row>
    <row r="474" spans="1:16" ht="14.25" customHeight="1" x14ac:dyDescent="0.25">
      <c r="A474" s="1"/>
      <c r="B474" s="1">
        <f ca="1"/>
        <v>462</v>
      </c>
      <c r="C474" s="1">
        <f ca="1">IFERROR(__xludf.DUMMYFUNCTION("""COMPUTED_VALUE"""),2023)</f>
        <v>2023</v>
      </c>
      <c r="D474" s="1">
        <f ca="1">IFERROR(__xludf.DUMMYFUNCTION("""COMPUTED_VALUE"""),11422)</f>
        <v>11422</v>
      </c>
      <c r="E474" s="1" t="str">
        <f ca="1">IFERROR(__xludf.DUMMYFUNCTION("""COMPUTED_VALUE"""),"Cultural Studies of Science Education")</f>
        <v>Cultural Studies of Science Education</v>
      </c>
      <c r="F474" s="1" t="str">
        <f ca="1">IFERROR(__xludf.DUMMYFUNCTION("""COMPUTED_VALUE"""),"1871-1510")</f>
        <v>1871-1510</v>
      </c>
      <c r="G474" s="1"/>
      <c r="H474" s="27" t="str">
        <f ca="1">IFERROR(__xludf.DUMMYFUNCTION("""COMPUTED_VALUE"""),"https://link.springer.com/journal/11422")</f>
        <v>https://link.springer.com/journal/11422</v>
      </c>
      <c r="I474" s="1" t="str">
        <f ca="1">IFERROR(__xludf.DUMMYFUNCTION("""COMPUTED_VALUE"""),"Springer")</f>
        <v>Springer</v>
      </c>
      <c r="J474" s="1">
        <f ca="1">IFERROR(__xludf.DUMMYFUNCTION("""COMPUTED_VALUE"""),2006)</f>
        <v>2006</v>
      </c>
      <c r="K474" s="1" t="str">
        <f ca="1">IFERROR(__xludf.DUMMYFUNCTION("""COMPUTED_VALUE"""),"Education")</f>
        <v>Education</v>
      </c>
      <c r="L474" s="1"/>
      <c r="M474" s="1" t="str">
        <f ca="1">IFERROR(__xludf.DUMMYFUNCTION("""COMPUTED_VALUE"""),"〇")</f>
        <v>〇</v>
      </c>
      <c r="N474" s="1"/>
      <c r="O474" s="1"/>
      <c r="P474" s="1"/>
    </row>
    <row r="475" spans="1:16" ht="14.25" customHeight="1" x14ac:dyDescent="0.25">
      <c r="A475" s="1"/>
      <c r="B475" s="1">
        <f ca="1"/>
        <v>463</v>
      </c>
      <c r="C475" s="1">
        <f ca="1">IFERROR(__xludf.DUMMYFUNCTION("""COMPUTED_VALUE"""),2023)</f>
        <v>2023</v>
      </c>
      <c r="D475" s="1">
        <f ca="1">IFERROR(__xludf.DUMMYFUNCTION("""COMPUTED_VALUE"""),11013)</f>
        <v>11013</v>
      </c>
      <c r="E475" s="1" t="str">
        <f ca="1">IFERROR(__xludf.DUMMYFUNCTION("""COMPUTED_VALUE"""),"Culture, Medicine, and Psychiatry")</f>
        <v>Culture, Medicine, and Psychiatry</v>
      </c>
      <c r="F475" s="1" t="str">
        <f ca="1">IFERROR(__xludf.DUMMYFUNCTION("""COMPUTED_VALUE"""),"1573-076X")</f>
        <v>1573-076X</v>
      </c>
      <c r="G475" s="1" t="str">
        <f ca="1">IFERROR(__xludf.DUMMYFUNCTION("""COMPUTED_VALUE"""),"0165-005X")</f>
        <v>0165-005X</v>
      </c>
      <c r="H475" s="27" t="str">
        <f ca="1">IFERROR(__xludf.DUMMYFUNCTION("""COMPUTED_VALUE"""),"https://link.springer.com/journal/11013")</f>
        <v>https://link.springer.com/journal/11013</v>
      </c>
      <c r="I475" s="1" t="str">
        <f ca="1">IFERROR(__xludf.DUMMYFUNCTION("""COMPUTED_VALUE"""),"Springer")</f>
        <v>Springer</v>
      </c>
      <c r="J475" s="1">
        <f ca="1">IFERROR(__xludf.DUMMYFUNCTION("""COMPUTED_VALUE"""),2000)</f>
        <v>2000</v>
      </c>
      <c r="K475" s="1" t="str">
        <f ca="1">IFERROR(__xludf.DUMMYFUNCTION("""COMPUTED_VALUE"""),"Social Sciences")</f>
        <v>Social Sciences</v>
      </c>
      <c r="L475" s="1" t="str">
        <f ca="1">IFERROR(__xludf.DUMMYFUNCTION("""COMPUTED_VALUE"""),"〇")</f>
        <v>〇</v>
      </c>
      <c r="M475" s="1" t="str">
        <f ca="1">IFERROR(__xludf.DUMMYFUNCTION("""COMPUTED_VALUE"""),"〇")</f>
        <v>〇</v>
      </c>
      <c r="N475" s="1"/>
      <c r="O475" s="1"/>
      <c r="P475" s="1"/>
    </row>
    <row r="476" spans="1:16" ht="14.25" customHeight="1" x14ac:dyDescent="0.25">
      <c r="A476" s="1"/>
      <c r="B476" s="1">
        <f ca="1"/>
        <v>464</v>
      </c>
      <c r="C476" s="1">
        <f ca="1">IFERROR(__xludf.DUMMYFUNCTION("""COMPUTED_VALUE"""),2023)</f>
        <v>2023</v>
      </c>
      <c r="D476" s="1">
        <f ca="1">IFERROR(__xludf.DUMMYFUNCTION("""COMPUTED_VALUE"""),40429)</f>
        <v>40429</v>
      </c>
      <c r="E476" s="1" t="str">
        <f ca="1">IFERROR(__xludf.DUMMYFUNCTION("""COMPUTED_VALUE"""),"Current Addiction Reports")</f>
        <v>Current Addiction Reports</v>
      </c>
      <c r="F476" s="1" t="str">
        <f ca="1">IFERROR(__xludf.DUMMYFUNCTION("""COMPUTED_VALUE"""),"2196-2952")</f>
        <v>2196-2952</v>
      </c>
      <c r="G476" s="1"/>
      <c r="H476" s="27" t="str">
        <f ca="1">IFERROR(__xludf.DUMMYFUNCTION("""COMPUTED_VALUE"""),"https://link.springer.com/journal/40429")</f>
        <v>https://link.springer.com/journal/40429</v>
      </c>
      <c r="I476" s="1" t="str">
        <f ca="1">IFERROR(__xludf.DUMMYFUNCTION("""COMPUTED_VALUE"""),"Springer")</f>
        <v>Springer</v>
      </c>
      <c r="J476" s="1">
        <f ca="1">IFERROR(__xludf.DUMMYFUNCTION("""COMPUTED_VALUE"""),2014)</f>
        <v>2014</v>
      </c>
      <c r="K476" s="1" t="str">
        <f ca="1">IFERROR(__xludf.DUMMYFUNCTION("""COMPUTED_VALUE"""),"Medicine")</f>
        <v>Medicine</v>
      </c>
      <c r="L476" s="1"/>
      <c r="M476" s="1"/>
      <c r="N476" s="1" t="str">
        <f ca="1">IFERROR(__xludf.DUMMYFUNCTION("""COMPUTED_VALUE"""),"SNS14")</f>
        <v>SNS14</v>
      </c>
      <c r="O476" s="1"/>
      <c r="P476" s="1"/>
    </row>
    <row r="477" spans="1:16" ht="14.25" customHeight="1" x14ac:dyDescent="0.25">
      <c r="A477" s="1"/>
      <c r="B477" s="1">
        <f ca="1"/>
        <v>465</v>
      </c>
      <c r="C477" s="1">
        <f ca="1">IFERROR(__xludf.DUMMYFUNCTION("""COMPUTED_VALUE"""),2023)</f>
        <v>2023</v>
      </c>
      <c r="D477" s="1">
        <f ca="1">IFERROR(__xludf.DUMMYFUNCTION("""COMPUTED_VALUE"""),11882)</f>
        <v>11882</v>
      </c>
      <c r="E477" s="1" t="str">
        <f ca="1">IFERROR(__xludf.DUMMYFUNCTION("""COMPUTED_VALUE"""),"Current Allergy and Asthma Reports")</f>
        <v>Current Allergy and Asthma Reports</v>
      </c>
      <c r="F477" s="1" t="str">
        <f ca="1">IFERROR(__xludf.DUMMYFUNCTION("""COMPUTED_VALUE"""),"1534-6315")</f>
        <v>1534-6315</v>
      </c>
      <c r="G477" s="1"/>
      <c r="H477" s="27" t="str">
        <f ca="1">IFERROR(__xludf.DUMMYFUNCTION("""COMPUTED_VALUE"""),"https://link.springer.com/journal/11882")</f>
        <v>https://link.springer.com/journal/11882</v>
      </c>
      <c r="I477" s="1" t="str">
        <f ca="1">IFERROR(__xludf.DUMMYFUNCTION("""COMPUTED_VALUE"""),"Springer")</f>
        <v>Springer</v>
      </c>
      <c r="J477" s="1">
        <f ca="1">IFERROR(__xludf.DUMMYFUNCTION("""COMPUTED_VALUE"""),2001)</f>
        <v>2001</v>
      </c>
      <c r="K477" s="1" t="str">
        <f ca="1">IFERROR(__xludf.DUMMYFUNCTION("""COMPUTED_VALUE"""),"Medicine")</f>
        <v>Medicine</v>
      </c>
      <c r="L477" s="1"/>
      <c r="M477" s="1" t="str">
        <f ca="1">IFERROR(__xludf.DUMMYFUNCTION("""COMPUTED_VALUE"""),"〇")</f>
        <v>〇</v>
      </c>
      <c r="N477" s="1" t="str">
        <f ca="1">IFERROR(__xludf.DUMMYFUNCTION("""COMPUTED_VALUE"""),"TO8")</f>
        <v>TO8</v>
      </c>
      <c r="O477" s="1"/>
      <c r="P477" s="1"/>
    </row>
    <row r="478" spans="1:16" ht="14.25" customHeight="1" x14ac:dyDescent="0.25">
      <c r="A478" s="1"/>
      <c r="B478" s="1">
        <f ca="1"/>
        <v>466</v>
      </c>
      <c r="C478" s="1">
        <f ca="1">IFERROR(__xludf.DUMMYFUNCTION("""COMPUTED_VALUE"""),2023)</f>
        <v>2023</v>
      </c>
      <c r="D478" s="1">
        <f ca="1">IFERROR(__xludf.DUMMYFUNCTION("""COMPUTED_VALUE"""),40140)</f>
        <v>40140</v>
      </c>
      <c r="E478" s="1" t="str">
        <f ca="1">IFERROR(__xludf.DUMMYFUNCTION("""COMPUTED_VALUE"""),"Current Anesthesiology Reports")</f>
        <v>Current Anesthesiology Reports</v>
      </c>
      <c r="F478" s="1" t="str">
        <f ca="1">IFERROR(__xludf.DUMMYFUNCTION("""COMPUTED_VALUE"""),"2167-6275")</f>
        <v>2167-6275</v>
      </c>
      <c r="G478" s="1"/>
      <c r="H478" s="27" t="str">
        <f ca="1">IFERROR(__xludf.DUMMYFUNCTION("""COMPUTED_VALUE"""),"https://link.springer.com/journal/40140")</f>
        <v>https://link.springer.com/journal/40140</v>
      </c>
      <c r="I478" s="1" t="str">
        <f ca="1">IFERROR(__xludf.DUMMYFUNCTION("""COMPUTED_VALUE"""),"Springer")</f>
        <v>Springer</v>
      </c>
      <c r="J478" s="1">
        <f ca="1">IFERROR(__xludf.DUMMYFUNCTION("""COMPUTED_VALUE"""),2013)</f>
        <v>2013</v>
      </c>
      <c r="K478" s="1" t="str">
        <f ca="1">IFERROR(__xludf.DUMMYFUNCTION("""COMPUTED_VALUE"""),"Medicine")</f>
        <v>Medicine</v>
      </c>
      <c r="L478" s="1"/>
      <c r="M478" s="1"/>
      <c r="N478" s="1" t="str">
        <f ca="1">IFERROR(__xludf.DUMMYFUNCTION("""COMPUTED_VALUE"""),"SNS13")</f>
        <v>SNS13</v>
      </c>
      <c r="O478" s="1"/>
      <c r="P478" s="1"/>
    </row>
    <row r="479" spans="1:16" ht="14.25" customHeight="1" x14ac:dyDescent="0.25">
      <c r="A479" s="1"/>
      <c r="B479" s="1">
        <f ca="1"/>
        <v>467</v>
      </c>
      <c r="C479" s="1">
        <f ca="1">IFERROR(__xludf.DUMMYFUNCTION("""COMPUTED_VALUE"""),2023)</f>
        <v>2023</v>
      </c>
      <c r="D479" s="1">
        <f ca="1">IFERROR(__xludf.DUMMYFUNCTION("""COMPUTED_VALUE"""),11883)</f>
        <v>11883</v>
      </c>
      <c r="E479" s="1" t="str">
        <f ca="1">IFERROR(__xludf.DUMMYFUNCTION("""COMPUTED_VALUE"""),"Current Atherosclerosis Reports")</f>
        <v>Current Atherosclerosis Reports</v>
      </c>
      <c r="F479" s="1" t="str">
        <f ca="1">IFERROR(__xludf.DUMMYFUNCTION("""COMPUTED_VALUE"""),"1534-6242")</f>
        <v>1534-6242</v>
      </c>
      <c r="G479" s="1"/>
      <c r="H479" s="27" t="str">
        <f ca="1">IFERROR(__xludf.DUMMYFUNCTION("""COMPUTED_VALUE"""),"https://link.springer.com/journal/11883")</f>
        <v>https://link.springer.com/journal/11883</v>
      </c>
      <c r="I479" s="1" t="str">
        <f ca="1">IFERROR(__xludf.DUMMYFUNCTION("""COMPUTED_VALUE"""),"Springer")</f>
        <v>Springer</v>
      </c>
      <c r="J479" s="1">
        <f ca="1">IFERROR(__xludf.DUMMYFUNCTION("""COMPUTED_VALUE"""),2000)</f>
        <v>2000</v>
      </c>
      <c r="K479" s="1" t="str">
        <f ca="1">IFERROR(__xludf.DUMMYFUNCTION("""COMPUTED_VALUE"""),"Medicine")</f>
        <v>Medicine</v>
      </c>
      <c r="L479" s="1"/>
      <c r="M479" s="1" t="str">
        <f ca="1">IFERROR(__xludf.DUMMYFUNCTION("""COMPUTED_VALUE"""),"〇")</f>
        <v>〇</v>
      </c>
      <c r="N479" s="1" t="str">
        <f ca="1">IFERROR(__xludf.DUMMYFUNCTION("""COMPUTED_VALUE"""),"TO8")</f>
        <v>TO8</v>
      </c>
      <c r="O479" s="1"/>
      <c r="P479" s="1"/>
    </row>
    <row r="480" spans="1:16" ht="14.25" customHeight="1" x14ac:dyDescent="0.25">
      <c r="A480" s="1"/>
      <c r="B480" s="1">
        <f ca="1"/>
        <v>468</v>
      </c>
      <c r="C480" s="1">
        <f ca="1">IFERROR(__xludf.DUMMYFUNCTION("""COMPUTED_VALUE"""),2023)</f>
        <v>2023</v>
      </c>
      <c r="D480" s="1">
        <f ca="1">IFERROR(__xludf.DUMMYFUNCTION("""COMPUTED_VALUE"""),40473)</f>
        <v>40473</v>
      </c>
      <c r="E480" s="1" t="str">
        <f ca="1">IFERROR(__xludf.DUMMYFUNCTION("""COMPUTED_VALUE"""),"Current Behavioral Neuroscience Reports")</f>
        <v>Current Behavioral Neuroscience Reports</v>
      </c>
      <c r="F480" s="1" t="str">
        <f ca="1">IFERROR(__xludf.DUMMYFUNCTION("""COMPUTED_VALUE"""),"2196-2979")</f>
        <v>2196-2979</v>
      </c>
      <c r="G480" s="1"/>
      <c r="H480" s="27" t="str">
        <f ca="1">IFERROR(__xludf.DUMMYFUNCTION("""COMPUTED_VALUE"""),"https://link.springer.com/journal/40473")</f>
        <v>https://link.springer.com/journal/40473</v>
      </c>
      <c r="I480" s="1" t="str">
        <f ca="1">IFERROR(__xludf.DUMMYFUNCTION("""COMPUTED_VALUE"""),"Springer")</f>
        <v>Springer</v>
      </c>
      <c r="J480" s="1">
        <f ca="1">IFERROR(__xludf.DUMMYFUNCTION("""COMPUTED_VALUE"""),2014)</f>
        <v>2014</v>
      </c>
      <c r="K480" s="1" t="str">
        <f ca="1">IFERROR(__xludf.DUMMYFUNCTION("""COMPUTED_VALUE"""),"Medicine")</f>
        <v>Medicine</v>
      </c>
      <c r="L480" s="1"/>
      <c r="M480" s="1"/>
      <c r="N480" s="1" t="str">
        <f ca="1">IFERROR(__xludf.DUMMYFUNCTION("""COMPUTED_VALUE"""),"SNS14")</f>
        <v>SNS14</v>
      </c>
      <c r="O480" s="1"/>
      <c r="P480" s="1"/>
    </row>
    <row r="481" spans="1:16" ht="14.25" customHeight="1" x14ac:dyDescent="0.25">
      <c r="A481" s="1"/>
      <c r="B481" s="1">
        <f ca="1"/>
        <v>469</v>
      </c>
      <c r="C481" s="1">
        <f ca="1">IFERROR(__xludf.DUMMYFUNCTION("""COMPUTED_VALUE"""),2023)</f>
        <v>2023</v>
      </c>
      <c r="D481" s="1">
        <f ca="1">IFERROR(__xludf.DUMMYFUNCTION("""COMPUTED_VALUE"""),11884)</f>
        <v>11884</v>
      </c>
      <c r="E481" s="1" t="str">
        <f ca="1">IFERROR(__xludf.DUMMYFUNCTION("""COMPUTED_VALUE"""),"Current Bladder Dysfunction Reports")</f>
        <v>Current Bladder Dysfunction Reports</v>
      </c>
      <c r="F481" s="1" t="str">
        <f ca="1">IFERROR(__xludf.DUMMYFUNCTION("""COMPUTED_VALUE"""),"1931-7220")</f>
        <v>1931-7220</v>
      </c>
      <c r="G481" s="1"/>
      <c r="H481" s="27" t="str">
        <f ca="1">IFERROR(__xludf.DUMMYFUNCTION("""COMPUTED_VALUE"""),"https://link.springer.com/journal/11884")</f>
        <v>https://link.springer.com/journal/11884</v>
      </c>
      <c r="I481" s="1" t="str">
        <f ca="1">IFERROR(__xludf.DUMMYFUNCTION("""COMPUTED_VALUE"""),"Springer")</f>
        <v>Springer</v>
      </c>
      <c r="J481" s="1">
        <f ca="1">IFERROR(__xludf.DUMMYFUNCTION("""COMPUTED_VALUE"""),2006)</f>
        <v>2006</v>
      </c>
      <c r="K481" s="1" t="str">
        <f ca="1">IFERROR(__xludf.DUMMYFUNCTION("""COMPUTED_VALUE"""),"Medicine")</f>
        <v>Medicine</v>
      </c>
      <c r="L481" s="1"/>
      <c r="M481" s="1" t="str">
        <f ca="1">IFERROR(__xludf.DUMMYFUNCTION("""COMPUTED_VALUE"""),"〇")</f>
        <v>〇</v>
      </c>
      <c r="N481" s="1" t="str">
        <f ca="1">IFERROR(__xludf.DUMMYFUNCTION("""COMPUTED_VALUE"""),"TO8")</f>
        <v>TO8</v>
      </c>
      <c r="O481" s="1"/>
      <c r="P481" s="1"/>
    </row>
    <row r="482" spans="1:16" ht="14.25" customHeight="1" x14ac:dyDescent="0.25">
      <c r="A482" s="1"/>
      <c r="B482" s="1">
        <f ca="1"/>
        <v>470</v>
      </c>
      <c r="C482" s="1">
        <f ca="1">IFERROR(__xludf.DUMMYFUNCTION("""COMPUTED_VALUE"""),2023)</f>
        <v>2023</v>
      </c>
      <c r="D482" s="1">
        <f ca="1">IFERROR(__xludf.DUMMYFUNCTION("""COMPUTED_VALUE"""),12609)</f>
        <v>12609</v>
      </c>
      <c r="E482" s="1" t="str">
        <f ca="1">IFERROR(__xludf.DUMMYFUNCTION("""COMPUTED_VALUE"""),"Current Breast Cancer Reports")</f>
        <v>Current Breast Cancer Reports</v>
      </c>
      <c r="F482" s="1" t="str">
        <f ca="1">IFERROR(__xludf.DUMMYFUNCTION("""COMPUTED_VALUE"""),"1943-4596")</f>
        <v>1943-4596</v>
      </c>
      <c r="G482" s="1"/>
      <c r="H482" s="27" t="str">
        <f ca="1">IFERROR(__xludf.DUMMYFUNCTION("""COMPUTED_VALUE"""),"https://link.springer.com/journal/12609")</f>
        <v>https://link.springer.com/journal/12609</v>
      </c>
      <c r="I482" s="1" t="str">
        <f ca="1">IFERROR(__xludf.DUMMYFUNCTION("""COMPUTED_VALUE"""),"Springer")</f>
        <v>Springer</v>
      </c>
      <c r="J482" s="1">
        <f ca="1">IFERROR(__xludf.DUMMYFUNCTION("""COMPUTED_VALUE"""),2009)</f>
        <v>2009</v>
      </c>
      <c r="K482" s="1" t="str">
        <f ca="1">IFERROR(__xludf.DUMMYFUNCTION("""COMPUTED_VALUE"""),"Medicine")</f>
        <v>Medicine</v>
      </c>
      <c r="L482" s="1"/>
      <c r="M482" s="1" t="str">
        <f ca="1">IFERROR(__xludf.DUMMYFUNCTION("""COMPUTED_VALUE"""),"〇")</f>
        <v>〇</v>
      </c>
      <c r="N482" s="1" t="str">
        <f ca="1">IFERROR(__xludf.DUMMYFUNCTION("""COMPUTED_VALUE"""),"SNS9")</f>
        <v>SNS9</v>
      </c>
      <c r="O482" s="1"/>
      <c r="P482" s="1"/>
    </row>
    <row r="483" spans="1:16" ht="14.25" customHeight="1" x14ac:dyDescent="0.25">
      <c r="A483" s="1"/>
      <c r="B483" s="1">
        <f ca="1"/>
        <v>471</v>
      </c>
      <c r="C483" s="1">
        <f ca="1">IFERROR(__xludf.DUMMYFUNCTION("""COMPUTED_VALUE"""),2023)</f>
        <v>2023</v>
      </c>
      <c r="D483" s="1">
        <f ca="1">IFERROR(__xludf.DUMMYFUNCTION("""COMPUTED_VALUE"""),11886)</f>
        <v>11886</v>
      </c>
      <c r="E483" s="1" t="str">
        <f ca="1">IFERROR(__xludf.DUMMYFUNCTION("""COMPUTED_VALUE"""),"Current Cardiology Reports")</f>
        <v>Current Cardiology Reports</v>
      </c>
      <c r="F483" s="1" t="str">
        <f ca="1">IFERROR(__xludf.DUMMYFUNCTION("""COMPUTED_VALUE"""),"1534-3170")</f>
        <v>1534-3170</v>
      </c>
      <c r="G483" s="1"/>
      <c r="H483" s="27" t="str">
        <f ca="1">IFERROR(__xludf.DUMMYFUNCTION("""COMPUTED_VALUE"""),"https://link.springer.com/journal/11886")</f>
        <v>https://link.springer.com/journal/11886</v>
      </c>
      <c r="I483" s="1" t="str">
        <f ca="1">IFERROR(__xludf.DUMMYFUNCTION("""COMPUTED_VALUE"""),"Springer")</f>
        <v>Springer</v>
      </c>
      <c r="J483" s="1">
        <f ca="1">IFERROR(__xludf.DUMMYFUNCTION("""COMPUTED_VALUE"""),2000)</f>
        <v>2000</v>
      </c>
      <c r="K483" s="1" t="str">
        <f ca="1">IFERROR(__xludf.DUMMYFUNCTION("""COMPUTED_VALUE"""),"Medicine")</f>
        <v>Medicine</v>
      </c>
      <c r="L483" s="1"/>
      <c r="M483" s="1" t="str">
        <f ca="1">IFERROR(__xludf.DUMMYFUNCTION("""COMPUTED_VALUE"""),"〇")</f>
        <v>〇</v>
      </c>
      <c r="N483" s="1" t="str">
        <f ca="1">IFERROR(__xludf.DUMMYFUNCTION("""COMPUTED_VALUE"""),"TO8")</f>
        <v>TO8</v>
      </c>
      <c r="O483" s="1"/>
      <c r="P483" s="1"/>
    </row>
    <row r="484" spans="1:16" ht="14.25" customHeight="1" x14ac:dyDescent="0.25">
      <c r="A484" s="1"/>
      <c r="B484" s="1">
        <f ca="1"/>
        <v>472</v>
      </c>
      <c r="C484" s="1">
        <f ca="1">IFERROR(__xludf.DUMMYFUNCTION("""COMPUTED_VALUE"""),2023)</f>
        <v>2023</v>
      </c>
      <c r="D484" s="1">
        <f ca="1">IFERROR(__xludf.DUMMYFUNCTION("""COMPUTED_VALUE"""),12410)</f>
        <v>12410</v>
      </c>
      <c r="E484" s="1" t="str">
        <f ca="1">IFERROR(__xludf.DUMMYFUNCTION("""COMPUTED_VALUE"""),"Current Cardiovascular Imaging Reports")</f>
        <v>Current Cardiovascular Imaging Reports</v>
      </c>
      <c r="F484" s="1" t="str">
        <f ca="1">IFERROR(__xludf.DUMMYFUNCTION("""COMPUTED_VALUE"""),"1941-9074")</f>
        <v>1941-9074</v>
      </c>
      <c r="G484" s="1"/>
      <c r="H484" s="27" t="str">
        <f ca="1">IFERROR(__xludf.DUMMYFUNCTION("""COMPUTED_VALUE"""),"https://link.springer.com/journal/12410")</f>
        <v>https://link.springer.com/journal/12410</v>
      </c>
      <c r="I484" s="1" t="str">
        <f ca="1">IFERROR(__xludf.DUMMYFUNCTION("""COMPUTED_VALUE"""),"Springer")</f>
        <v>Springer</v>
      </c>
      <c r="J484" s="1">
        <f ca="1">IFERROR(__xludf.DUMMYFUNCTION("""COMPUTED_VALUE"""),2008)</f>
        <v>2008</v>
      </c>
      <c r="K484" s="1" t="str">
        <f ca="1">IFERROR(__xludf.DUMMYFUNCTION("""COMPUTED_VALUE"""),"Medicine")</f>
        <v>Medicine</v>
      </c>
      <c r="L484" s="1"/>
      <c r="M484" s="1" t="str">
        <f ca="1">IFERROR(__xludf.DUMMYFUNCTION("""COMPUTED_VALUE"""),"〇")</f>
        <v>〇</v>
      </c>
      <c r="N484" s="1" t="str">
        <f ca="1">IFERROR(__xludf.DUMMYFUNCTION("""COMPUTED_VALUE"""),"SNS8")</f>
        <v>SNS8</v>
      </c>
      <c r="O484" s="1"/>
      <c r="P484" s="1"/>
    </row>
    <row r="485" spans="1:16" ht="14.25" customHeight="1" x14ac:dyDescent="0.25">
      <c r="A485" s="1"/>
      <c r="B485" s="1">
        <f ca="1"/>
        <v>473</v>
      </c>
      <c r="C485" s="1">
        <f ca="1">IFERROR(__xludf.DUMMYFUNCTION("""COMPUTED_VALUE"""),2023)</f>
        <v>2023</v>
      </c>
      <c r="D485" s="1">
        <f ca="1">IFERROR(__xludf.DUMMYFUNCTION("""COMPUTED_VALUE"""),12170)</f>
        <v>12170</v>
      </c>
      <c r="E485" s="1" t="str">
        <f ca="1">IFERROR(__xludf.DUMMYFUNCTION("""COMPUTED_VALUE"""),"Current Cardiovascular Risk Reports")</f>
        <v>Current Cardiovascular Risk Reports</v>
      </c>
      <c r="F485" s="1" t="str">
        <f ca="1">IFERROR(__xludf.DUMMYFUNCTION("""COMPUTED_VALUE"""),"1932-9563")</f>
        <v>1932-9563</v>
      </c>
      <c r="G485" s="1"/>
      <c r="H485" s="27" t="str">
        <f ca="1">IFERROR(__xludf.DUMMYFUNCTION("""COMPUTED_VALUE"""),"https://link.springer.com/journal/12170")</f>
        <v>https://link.springer.com/journal/12170</v>
      </c>
      <c r="I485" s="1" t="str">
        <f ca="1">IFERROR(__xludf.DUMMYFUNCTION("""COMPUTED_VALUE"""),"Springer")</f>
        <v>Springer</v>
      </c>
      <c r="J485" s="1">
        <f ca="1">IFERROR(__xludf.DUMMYFUNCTION("""COMPUTED_VALUE"""),2007)</f>
        <v>2007</v>
      </c>
      <c r="K485" s="1" t="str">
        <f ca="1">IFERROR(__xludf.DUMMYFUNCTION("""COMPUTED_VALUE"""),"Medicine")</f>
        <v>Medicine</v>
      </c>
      <c r="L485" s="1"/>
      <c r="M485" s="1" t="str">
        <f ca="1">IFERROR(__xludf.DUMMYFUNCTION("""COMPUTED_VALUE"""),"〇")</f>
        <v>〇</v>
      </c>
      <c r="N485" s="1" t="str">
        <f ca="1">IFERROR(__xludf.DUMMYFUNCTION("""COMPUTED_VALUE"""),"TO8")</f>
        <v>TO8</v>
      </c>
      <c r="O485" s="1"/>
      <c r="P485" s="1"/>
    </row>
    <row r="486" spans="1:16" ht="14.25" customHeight="1" x14ac:dyDescent="0.25">
      <c r="A486" s="1"/>
      <c r="B486" s="1">
        <f ca="1"/>
        <v>474</v>
      </c>
      <c r="C486" s="1">
        <f ca="1">IFERROR(__xludf.DUMMYFUNCTION("""COMPUTED_VALUE"""),2023)</f>
        <v>2023</v>
      </c>
      <c r="D486" s="1">
        <f ca="1">IFERROR(__xludf.DUMMYFUNCTION("""COMPUTED_VALUE"""),40641)</f>
        <v>40641</v>
      </c>
      <c r="E486" s="1" t="str">
        <f ca="1">IFERROR(__xludf.DUMMYFUNCTION("""COMPUTED_VALUE"""),"Current Climate Change Reports")</f>
        <v>Current Climate Change Reports</v>
      </c>
      <c r="F486" s="1" t="str">
        <f ca="1">IFERROR(__xludf.DUMMYFUNCTION("""COMPUTED_VALUE"""),"2198-6061")</f>
        <v>2198-6061</v>
      </c>
      <c r="G486" s="1"/>
      <c r="H486" s="27" t="str">
        <f ca="1">IFERROR(__xludf.DUMMYFUNCTION("""COMPUTED_VALUE"""),"https://link.springer.com/journal/40641")</f>
        <v>https://link.springer.com/journal/40641</v>
      </c>
      <c r="I486" s="1" t="str">
        <f ca="1">IFERROR(__xludf.DUMMYFUNCTION("""COMPUTED_VALUE"""),"Springer")</f>
        <v>Springer</v>
      </c>
      <c r="J486" s="1">
        <f ca="1">IFERROR(__xludf.DUMMYFUNCTION("""COMPUTED_VALUE"""),2015)</f>
        <v>2015</v>
      </c>
      <c r="K486" s="1" t="str">
        <f ca="1">IFERROR(__xludf.DUMMYFUNCTION("""COMPUTED_VALUE"""),"Earth and Environmental Science")</f>
        <v>Earth and Environmental Science</v>
      </c>
      <c r="L486" s="1"/>
      <c r="M486" s="1"/>
      <c r="N486" s="1" t="str">
        <f ca="1">IFERROR(__xludf.DUMMYFUNCTION("""COMPUTED_VALUE"""),"SNS15")</f>
        <v>SNS15</v>
      </c>
      <c r="O486" s="1"/>
      <c r="P486" s="1"/>
    </row>
    <row r="487" spans="1:16" ht="14.25" customHeight="1" x14ac:dyDescent="0.25">
      <c r="A487" s="1"/>
      <c r="B487" s="1">
        <f ca="1"/>
        <v>475</v>
      </c>
      <c r="C487" s="1">
        <f ca="1">IFERROR(__xludf.DUMMYFUNCTION("""COMPUTED_VALUE"""),2023)</f>
        <v>2023</v>
      </c>
      <c r="D487" s="1">
        <f ca="1">IFERROR(__xludf.DUMMYFUNCTION("""COMPUTED_VALUE"""),40588)</f>
        <v>40588</v>
      </c>
      <c r="E487" s="1" t="str">
        <f ca="1">IFERROR(__xludf.DUMMYFUNCTION("""COMPUTED_VALUE"""),"Current Clinical Microbiology Reports")</f>
        <v>Current Clinical Microbiology Reports</v>
      </c>
      <c r="F487" s="1" t="str">
        <f ca="1">IFERROR(__xludf.DUMMYFUNCTION("""COMPUTED_VALUE"""),"2196-5471")</f>
        <v>2196-5471</v>
      </c>
      <c r="G487" s="1"/>
      <c r="H487" s="27" t="str">
        <f ca="1">IFERROR(__xludf.DUMMYFUNCTION("""COMPUTED_VALUE"""),"https://link.springer.com/journal/40588")</f>
        <v>https://link.springer.com/journal/40588</v>
      </c>
      <c r="I487" s="1" t="str">
        <f ca="1">IFERROR(__xludf.DUMMYFUNCTION("""COMPUTED_VALUE"""),"Springer")</f>
        <v>Springer</v>
      </c>
      <c r="J487" s="1">
        <f ca="1">IFERROR(__xludf.DUMMYFUNCTION("""COMPUTED_VALUE"""),2014)</f>
        <v>2014</v>
      </c>
      <c r="K487" s="1" t="str">
        <f ca="1">IFERROR(__xludf.DUMMYFUNCTION("""COMPUTED_VALUE"""),"Biomedical and Life Sciences")</f>
        <v>Biomedical and Life Sciences</v>
      </c>
      <c r="L487" s="1"/>
      <c r="M487" s="1"/>
      <c r="N487" s="1" t="str">
        <f ca="1">IFERROR(__xludf.DUMMYFUNCTION("""COMPUTED_VALUE"""),"SNS14")</f>
        <v>SNS14</v>
      </c>
      <c r="O487" s="1"/>
      <c r="P487" s="1"/>
    </row>
    <row r="488" spans="1:16" ht="14.25" customHeight="1" x14ac:dyDescent="0.25">
      <c r="A488" s="1"/>
      <c r="B488" s="1">
        <f ca="1"/>
        <v>476</v>
      </c>
      <c r="C488" s="1">
        <f ca="1">IFERROR(__xludf.DUMMYFUNCTION("""COMPUTED_VALUE"""),2023)</f>
        <v>2023</v>
      </c>
      <c r="D488" s="1">
        <f ca="1">IFERROR(__xludf.DUMMYFUNCTION("""COMPUTED_VALUE"""),11888)</f>
        <v>11888</v>
      </c>
      <c r="E488" s="1" t="str">
        <f ca="1">IFERROR(__xludf.DUMMYFUNCTION("""COMPUTED_VALUE"""),"Current Colorectal Cancer Reports")</f>
        <v>Current Colorectal Cancer Reports</v>
      </c>
      <c r="F488" s="1" t="str">
        <f ca="1">IFERROR(__xludf.DUMMYFUNCTION("""COMPUTED_VALUE"""),"1556-3804")</f>
        <v>1556-3804</v>
      </c>
      <c r="G488" s="1"/>
      <c r="H488" s="27" t="str">
        <f ca="1">IFERROR(__xludf.DUMMYFUNCTION("""COMPUTED_VALUE"""),"https://link.springer.com/journal/11888")</f>
        <v>https://link.springer.com/journal/11888</v>
      </c>
      <c r="I488" s="1" t="str">
        <f ca="1">IFERROR(__xludf.DUMMYFUNCTION("""COMPUTED_VALUE"""),"Springer")</f>
        <v>Springer</v>
      </c>
      <c r="J488" s="1">
        <f ca="1">IFERROR(__xludf.DUMMYFUNCTION("""COMPUTED_VALUE"""),2005)</f>
        <v>2005</v>
      </c>
      <c r="K488" s="1" t="str">
        <f ca="1">IFERROR(__xludf.DUMMYFUNCTION("""COMPUTED_VALUE"""),"Medicine")</f>
        <v>Medicine</v>
      </c>
      <c r="L488" s="1"/>
      <c r="M488" s="1" t="str">
        <f ca="1">IFERROR(__xludf.DUMMYFUNCTION("""COMPUTED_VALUE"""),"〇")</f>
        <v>〇</v>
      </c>
      <c r="N488" s="1" t="str">
        <f ca="1">IFERROR(__xludf.DUMMYFUNCTION("""COMPUTED_VALUE"""),"TO8")</f>
        <v>TO8</v>
      </c>
      <c r="O488" s="1"/>
      <c r="P488" s="1"/>
    </row>
    <row r="489" spans="1:16" ht="14.25" customHeight="1" x14ac:dyDescent="0.25">
      <c r="A489" s="1"/>
      <c r="B489" s="1">
        <f ca="1"/>
        <v>477</v>
      </c>
      <c r="C489" s="1">
        <f ca="1">IFERROR(__xludf.DUMMYFUNCTION("""COMPUTED_VALUE"""),2023)</f>
        <v>2023</v>
      </c>
      <c r="D489" s="1">
        <f ca="1">IFERROR(__xludf.DUMMYFUNCTION("""COMPUTED_VALUE"""),13671)</f>
        <v>13671</v>
      </c>
      <c r="E489" s="1" t="str">
        <f ca="1">IFERROR(__xludf.DUMMYFUNCTION("""COMPUTED_VALUE"""),"Current Dermatology Reports")</f>
        <v>Current Dermatology Reports</v>
      </c>
      <c r="F489" s="1" t="str">
        <f ca="1">IFERROR(__xludf.DUMMYFUNCTION("""COMPUTED_VALUE"""),"2162-4933")</f>
        <v>2162-4933</v>
      </c>
      <c r="G489" s="1"/>
      <c r="H489" s="27" t="str">
        <f ca="1">IFERROR(__xludf.DUMMYFUNCTION("""COMPUTED_VALUE"""),"https://link.springer.com/journal/13671")</f>
        <v>https://link.springer.com/journal/13671</v>
      </c>
      <c r="I489" s="1" t="str">
        <f ca="1">IFERROR(__xludf.DUMMYFUNCTION("""COMPUTED_VALUE"""),"Springer")</f>
        <v>Springer</v>
      </c>
      <c r="J489" s="1">
        <f ca="1">IFERROR(__xludf.DUMMYFUNCTION("""COMPUTED_VALUE"""),2012)</f>
        <v>2012</v>
      </c>
      <c r="K489" s="1" t="str">
        <f ca="1">IFERROR(__xludf.DUMMYFUNCTION("""COMPUTED_VALUE"""),"Medicine")</f>
        <v>Medicine</v>
      </c>
      <c r="L489" s="1"/>
      <c r="M489" s="1"/>
      <c r="N489" s="1" t="str">
        <f ca="1">IFERROR(__xludf.DUMMYFUNCTION("""COMPUTED_VALUE"""),"SNS12")</f>
        <v>SNS12</v>
      </c>
      <c r="O489" s="1"/>
      <c r="P489" s="1"/>
    </row>
    <row r="490" spans="1:16" ht="14.25" customHeight="1" x14ac:dyDescent="0.25">
      <c r="A490" s="1"/>
      <c r="B490" s="1">
        <f ca="1"/>
        <v>478</v>
      </c>
      <c r="C490" s="1">
        <f ca="1">IFERROR(__xludf.DUMMYFUNCTION("""COMPUTED_VALUE"""),2023)</f>
        <v>2023</v>
      </c>
      <c r="D490" s="1">
        <f ca="1">IFERROR(__xludf.DUMMYFUNCTION("""COMPUTED_VALUE"""),40474)</f>
        <v>40474</v>
      </c>
      <c r="E490" s="1" t="str">
        <f ca="1">IFERROR(__xludf.DUMMYFUNCTION("""COMPUTED_VALUE"""),"Current Developmental Disorders Reports")</f>
        <v>Current Developmental Disorders Reports</v>
      </c>
      <c r="F490" s="1" t="str">
        <f ca="1">IFERROR(__xludf.DUMMYFUNCTION("""COMPUTED_VALUE"""),"2196-2987")</f>
        <v>2196-2987</v>
      </c>
      <c r="G490" s="1"/>
      <c r="H490" s="27" t="str">
        <f ca="1">IFERROR(__xludf.DUMMYFUNCTION("""COMPUTED_VALUE"""),"https://link.springer.com/journal/40474")</f>
        <v>https://link.springer.com/journal/40474</v>
      </c>
      <c r="I490" s="1" t="str">
        <f ca="1">IFERROR(__xludf.DUMMYFUNCTION("""COMPUTED_VALUE"""),"Springer")</f>
        <v>Springer</v>
      </c>
      <c r="J490" s="1">
        <f ca="1">IFERROR(__xludf.DUMMYFUNCTION("""COMPUTED_VALUE"""),2014)</f>
        <v>2014</v>
      </c>
      <c r="K490" s="1" t="str">
        <f ca="1">IFERROR(__xludf.DUMMYFUNCTION("""COMPUTED_VALUE"""),"Medicine")</f>
        <v>Medicine</v>
      </c>
      <c r="L490" s="1"/>
      <c r="M490" s="1"/>
      <c r="N490" s="1" t="str">
        <f ca="1">IFERROR(__xludf.DUMMYFUNCTION("""COMPUTED_VALUE"""),"SNS14")</f>
        <v>SNS14</v>
      </c>
      <c r="O490" s="1"/>
      <c r="P490" s="1"/>
    </row>
    <row r="491" spans="1:16" ht="14.25" customHeight="1" x14ac:dyDescent="0.25">
      <c r="A491" s="1"/>
      <c r="B491" s="1">
        <f ca="1"/>
        <v>479</v>
      </c>
      <c r="C491" s="1">
        <f ca="1">IFERROR(__xludf.DUMMYFUNCTION("""COMPUTED_VALUE"""),2023)</f>
        <v>2023</v>
      </c>
      <c r="D491" s="1">
        <f ca="1">IFERROR(__xludf.DUMMYFUNCTION("""COMPUTED_VALUE"""),11892)</f>
        <v>11892</v>
      </c>
      <c r="E491" s="1" t="str">
        <f ca="1">IFERROR(__xludf.DUMMYFUNCTION("""COMPUTED_VALUE"""),"Current Diabetes Reports")</f>
        <v>Current Diabetes Reports</v>
      </c>
      <c r="F491" s="1" t="str">
        <f ca="1">IFERROR(__xludf.DUMMYFUNCTION("""COMPUTED_VALUE"""),"1539-0829")</f>
        <v>1539-0829</v>
      </c>
      <c r="G491" s="1"/>
      <c r="H491" s="27" t="str">
        <f ca="1">IFERROR(__xludf.DUMMYFUNCTION("""COMPUTED_VALUE"""),"https://link.springer.com/journal/11892")</f>
        <v>https://link.springer.com/journal/11892</v>
      </c>
      <c r="I491" s="1" t="str">
        <f ca="1">IFERROR(__xludf.DUMMYFUNCTION("""COMPUTED_VALUE"""),"Springer")</f>
        <v>Springer</v>
      </c>
      <c r="J491" s="1">
        <f ca="1">IFERROR(__xludf.DUMMYFUNCTION("""COMPUTED_VALUE"""),2001)</f>
        <v>2001</v>
      </c>
      <c r="K491" s="1" t="str">
        <f ca="1">IFERROR(__xludf.DUMMYFUNCTION("""COMPUTED_VALUE"""),"Medicine")</f>
        <v>Medicine</v>
      </c>
      <c r="L491" s="1"/>
      <c r="M491" s="1" t="str">
        <f ca="1">IFERROR(__xludf.DUMMYFUNCTION("""COMPUTED_VALUE"""),"〇")</f>
        <v>〇</v>
      </c>
      <c r="N491" s="1" t="str">
        <f ca="1">IFERROR(__xludf.DUMMYFUNCTION("""COMPUTED_VALUE"""),"TO8")</f>
        <v>TO8</v>
      </c>
      <c r="O491" s="1"/>
      <c r="P491" s="1"/>
    </row>
    <row r="492" spans="1:16" ht="14.25" customHeight="1" x14ac:dyDescent="0.25">
      <c r="A492" s="1"/>
      <c r="B492" s="1">
        <f ca="1"/>
        <v>480</v>
      </c>
      <c r="C492" s="1">
        <f ca="1">IFERROR(__xludf.DUMMYFUNCTION("""COMPUTED_VALUE"""),2023)</f>
        <v>2023</v>
      </c>
      <c r="D492" s="1">
        <f ca="1">IFERROR(__xludf.DUMMYFUNCTION("""COMPUTED_VALUE"""),40138)</f>
        <v>40138</v>
      </c>
      <c r="E492" s="1" t="str">
        <f ca="1">IFERROR(__xludf.DUMMYFUNCTION("""COMPUTED_VALUE"""),"Current Emergency and Hospital Medicine Reports")</f>
        <v>Current Emergency and Hospital Medicine Reports</v>
      </c>
      <c r="F492" s="1" t="str">
        <f ca="1">IFERROR(__xludf.DUMMYFUNCTION("""COMPUTED_VALUE"""),"2167-4884")</f>
        <v>2167-4884</v>
      </c>
      <c r="G492" s="1"/>
      <c r="H492" s="27" t="str">
        <f ca="1">IFERROR(__xludf.DUMMYFUNCTION("""COMPUTED_VALUE"""),"https://link.springer.com/journal/40138")</f>
        <v>https://link.springer.com/journal/40138</v>
      </c>
      <c r="I492" s="1" t="str">
        <f ca="1">IFERROR(__xludf.DUMMYFUNCTION("""COMPUTED_VALUE"""),"Springer")</f>
        <v>Springer</v>
      </c>
      <c r="J492" s="1">
        <f ca="1">IFERROR(__xludf.DUMMYFUNCTION("""COMPUTED_VALUE"""),2013)</f>
        <v>2013</v>
      </c>
      <c r="K492" s="1" t="str">
        <f ca="1">IFERROR(__xludf.DUMMYFUNCTION("""COMPUTED_VALUE"""),"Medicine")</f>
        <v>Medicine</v>
      </c>
      <c r="L492" s="1"/>
      <c r="M492" s="1"/>
      <c r="N492" s="1" t="str">
        <f ca="1">IFERROR(__xludf.DUMMYFUNCTION("""COMPUTED_VALUE"""),"SNS13")</f>
        <v>SNS13</v>
      </c>
      <c r="O492" s="1"/>
      <c r="P492" s="1"/>
    </row>
    <row r="493" spans="1:16" ht="14.25" customHeight="1" x14ac:dyDescent="0.25">
      <c r="A493" s="1"/>
      <c r="B493" s="1">
        <f ca="1"/>
        <v>481</v>
      </c>
      <c r="C493" s="1">
        <f ca="1">IFERROR(__xludf.DUMMYFUNCTION("""COMPUTED_VALUE"""),2023)</f>
        <v>2023</v>
      </c>
      <c r="D493" s="1">
        <f ca="1">IFERROR(__xludf.DUMMYFUNCTION("""COMPUTED_VALUE"""),40572)</f>
        <v>40572</v>
      </c>
      <c r="E493" s="1" t="str">
        <f ca="1">IFERROR(__xludf.DUMMYFUNCTION("""COMPUTED_VALUE"""),"Current Environmental Health Reports")</f>
        <v>Current Environmental Health Reports</v>
      </c>
      <c r="F493" s="1" t="str">
        <f ca="1">IFERROR(__xludf.DUMMYFUNCTION("""COMPUTED_VALUE"""),"2196-5412")</f>
        <v>2196-5412</v>
      </c>
      <c r="G493" s="1"/>
      <c r="H493" s="27" t="str">
        <f ca="1">IFERROR(__xludf.DUMMYFUNCTION("""COMPUTED_VALUE"""),"https://link.springer.com/journal/40572")</f>
        <v>https://link.springer.com/journal/40572</v>
      </c>
      <c r="I493" s="1" t="str">
        <f ca="1">IFERROR(__xludf.DUMMYFUNCTION("""COMPUTED_VALUE"""),"Springer")</f>
        <v>Springer</v>
      </c>
      <c r="J493" s="1">
        <f ca="1">IFERROR(__xludf.DUMMYFUNCTION("""COMPUTED_VALUE"""),2014)</f>
        <v>2014</v>
      </c>
      <c r="K493" s="1" t="str">
        <f ca="1">IFERROR(__xludf.DUMMYFUNCTION("""COMPUTED_VALUE"""),"Biomedical and Life Sciences")</f>
        <v>Biomedical and Life Sciences</v>
      </c>
      <c r="L493" s="1"/>
      <c r="M493" s="1"/>
      <c r="N493" s="1" t="str">
        <f ca="1">IFERROR(__xludf.DUMMYFUNCTION("""COMPUTED_VALUE"""),"SNS14")</f>
        <v>SNS14</v>
      </c>
      <c r="O493" s="1"/>
      <c r="P493" s="1"/>
    </row>
    <row r="494" spans="1:16" ht="14.25" customHeight="1" x14ac:dyDescent="0.25">
      <c r="A494" s="1"/>
      <c r="B494" s="1">
        <f ca="1"/>
        <v>482</v>
      </c>
      <c r="C494" s="1">
        <f ca="1">IFERROR(__xludf.DUMMYFUNCTION("""COMPUTED_VALUE"""),2023)</f>
        <v>2023</v>
      </c>
      <c r="D494" s="1">
        <f ca="1">IFERROR(__xludf.DUMMYFUNCTION("""COMPUTED_VALUE"""),40471)</f>
        <v>40471</v>
      </c>
      <c r="E494" s="1" t="str">
        <f ca="1">IFERROR(__xludf.DUMMYFUNCTION("""COMPUTED_VALUE"""),"Current Epidemiology Reports")</f>
        <v>Current Epidemiology Reports</v>
      </c>
      <c r="F494" s="1" t="str">
        <f ca="1">IFERROR(__xludf.DUMMYFUNCTION("""COMPUTED_VALUE"""),"2196-2995")</f>
        <v>2196-2995</v>
      </c>
      <c r="G494" s="1"/>
      <c r="H494" s="27" t="str">
        <f ca="1">IFERROR(__xludf.DUMMYFUNCTION("""COMPUTED_VALUE"""),"https://link.springer.com/journal/40471")</f>
        <v>https://link.springer.com/journal/40471</v>
      </c>
      <c r="I494" s="1" t="str">
        <f ca="1">IFERROR(__xludf.DUMMYFUNCTION("""COMPUTED_VALUE"""),"Springer")</f>
        <v>Springer</v>
      </c>
      <c r="J494" s="1">
        <f ca="1">IFERROR(__xludf.DUMMYFUNCTION("""COMPUTED_VALUE"""),2014)</f>
        <v>2014</v>
      </c>
      <c r="K494" s="1" t="str">
        <f ca="1">IFERROR(__xludf.DUMMYFUNCTION("""COMPUTED_VALUE"""),"Medicine")</f>
        <v>Medicine</v>
      </c>
      <c r="L494" s="1"/>
      <c r="M494" s="1"/>
      <c r="N494" s="1" t="str">
        <f ca="1">IFERROR(__xludf.DUMMYFUNCTION("""COMPUTED_VALUE"""),"SNS14")</f>
        <v>SNS14</v>
      </c>
      <c r="O494" s="1"/>
      <c r="P494" s="1"/>
    </row>
    <row r="495" spans="1:16" ht="14.25" customHeight="1" x14ac:dyDescent="0.25">
      <c r="A495" s="1"/>
      <c r="B495" s="1">
        <f ca="1"/>
        <v>483</v>
      </c>
      <c r="C495" s="1">
        <f ca="1">IFERROR(__xludf.DUMMYFUNCTION("""COMPUTED_VALUE"""),2023)</f>
        <v>2023</v>
      </c>
      <c r="D495" s="1">
        <f ca="1">IFERROR(__xludf.DUMMYFUNCTION("""COMPUTED_VALUE"""),40725)</f>
        <v>40725</v>
      </c>
      <c r="E495" s="1" t="str">
        <f ca="1">IFERROR(__xludf.DUMMYFUNCTION("""COMPUTED_VALUE"""),"Current Forestry Reports")</f>
        <v>Current Forestry Reports</v>
      </c>
      <c r="F495" s="1" t="str">
        <f ca="1">IFERROR(__xludf.DUMMYFUNCTION("""COMPUTED_VALUE"""),"2198-6436")</f>
        <v>2198-6436</v>
      </c>
      <c r="G495" s="1"/>
      <c r="H495" s="27" t="str">
        <f ca="1">IFERROR(__xludf.DUMMYFUNCTION("""COMPUTED_VALUE"""),"https://link.springer.com/journal/40725")</f>
        <v>https://link.springer.com/journal/40725</v>
      </c>
      <c r="I495" s="1" t="str">
        <f ca="1">IFERROR(__xludf.DUMMYFUNCTION("""COMPUTED_VALUE"""),"Springer")</f>
        <v>Springer</v>
      </c>
      <c r="J495" s="1">
        <f ca="1">IFERROR(__xludf.DUMMYFUNCTION("""COMPUTED_VALUE"""),2015)</f>
        <v>2015</v>
      </c>
      <c r="K495" s="1" t="str">
        <f ca="1">IFERROR(__xludf.DUMMYFUNCTION("""COMPUTED_VALUE"""),"Earth and Environmental Science")</f>
        <v>Earth and Environmental Science</v>
      </c>
      <c r="L495" s="1"/>
      <c r="M495" s="1"/>
      <c r="N495" s="1" t="str">
        <f ca="1">IFERROR(__xludf.DUMMYFUNCTION("""COMPUTED_VALUE"""),"SNS15")</f>
        <v>SNS15</v>
      </c>
      <c r="O495" s="1"/>
      <c r="P495" s="1"/>
    </row>
    <row r="496" spans="1:16" ht="14.25" customHeight="1" x14ac:dyDescent="0.25">
      <c r="A496" s="1"/>
      <c r="B496" s="1">
        <f ca="1"/>
        <v>484</v>
      </c>
      <c r="C496" s="1">
        <f ca="1">IFERROR(__xludf.DUMMYFUNCTION("""COMPUTED_VALUE"""),2023)</f>
        <v>2023</v>
      </c>
      <c r="D496" s="1">
        <f ca="1">IFERROR(__xludf.DUMMYFUNCTION("""COMPUTED_VALUE"""),12281)</f>
        <v>12281</v>
      </c>
      <c r="E496" s="1" t="str">
        <f ca="1">IFERROR(__xludf.DUMMYFUNCTION("""COMPUTED_VALUE"""),"Current Fungal Infection Reports")</f>
        <v>Current Fungal Infection Reports</v>
      </c>
      <c r="F496" s="1" t="str">
        <f ca="1">IFERROR(__xludf.DUMMYFUNCTION("""COMPUTED_VALUE"""),"1936-377X")</f>
        <v>1936-377X</v>
      </c>
      <c r="G496" s="1"/>
      <c r="H496" s="27" t="str">
        <f ca="1">IFERROR(__xludf.DUMMYFUNCTION("""COMPUTED_VALUE"""),"https://link.springer.com/journal/12281")</f>
        <v>https://link.springer.com/journal/12281</v>
      </c>
      <c r="I496" s="1" t="str">
        <f ca="1">IFERROR(__xludf.DUMMYFUNCTION("""COMPUTED_VALUE"""),"Springer")</f>
        <v>Springer</v>
      </c>
      <c r="J496" s="1">
        <f ca="1">IFERROR(__xludf.DUMMYFUNCTION("""COMPUTED_VALUE"""),2007)</f>
        <v>2007</v>
      </c>
      <c r="K496" s="1" t="str">
        <f ca="1">IFERROR(__xludf.DUMMYFUNCTION("""COMPUTED_VALUE"""),"Medicine")</f>
        <v>Medicine</v>
      </c>
      <c r="L496" s="1"/>
      <c r="M496" s="1" t="str">
        <f ca="1">IFERROR(__xludf.DUMMYFUNCTION("""COMPUTED_VALUE"""),"〇")</f>
        <v>〇</v>
      </c>
      <c r="N496" s="1" t="str">
        <f ca="1">IFERROR(__xludf.DUMMYFUNCTION("""COMPUTED_VALUE"""),"TO8")</f>
        <v>TO8</v>
      </c>
      <c r="O496" s="1"/>
      <c r="P496" s="1"/>
    </row>
    <row r="497" spans="1:16" ht="14.25" customHeight="1" x14ac:dyDescent="0.25">
      <c r="A497" s="1"/>
      <c r="B497" s="1">
        <f ca="1"/>
        <v>485</v>
      </c>
      <c r="C497" s="1">
        <f ca="1">IFERROR(__xludf.DUMMYFUNCTION("""COMPUTED_VALUE"""),2023)</f>
        <v>2023</v>
      </c>
      <c r="D497" s="1">
        <f ca="1">IFERROR(__xludf.DUMMYFUNCTION("""COMPUTED_VALUE"""),11894)</f>
        <v>11894</v>
      </c>
      <c r="E497" s="1" t="str">
        <f ca="1">IFERROR(__xludf.DUMMYFUNCTION("""COMPUTED_VALUE"""),"Current Gastroenterology Reports")</f>
        <v>Current Gastroenterology Reports</v>
      </c>
      <c r="F497" s="1" t="str">
        <f ca="1">IFERROR(__xludf.DUMMYFUNCTION("""COMPUTED_VALUE"""),"1534-312X")</f>
        <v>1534-312X</v>
      </c>
      <c r="G497" s="1"/>
      <c r="H497" s="27" t="str">
        <f ca="1">IFERROR(__xludf.DUMMYFUNCTION("""COMPUTED_VALUE"""),"https://link.springer.com/journal/11894")</f>
        <v>https://link.springer.com/journal/11894</v>
      </c>
      <c r="I497" s="1" t="str">
        <f ca="1">IFERROR(__xludf.DUMMYFUNCTION("""COMPUTED_VALUE"""),"Springer")</f>
        <v>Springer</v>
      </c>
      <c r="J497" s="1">
        <f ca="1">IFERROR(__xludf.DUMMYFUNCTION("""COMPUTED_VALUE"""),2000)</f>
        <v>2000</v>
      </c>
      <c r="K497" s="1" t="str">
        <f ca="1">IFERROR(__xludf.DUMMYFUNCTION("""COMPUTED_VALUE"""),"Medicine")</f>
        <v>Medicine</v>
      </c>
      <c r="L497" s="1"/>
      <c r="M497" s="1" t="str">
        <f ca="1">IFERROR(__xludf.DUMMYFUNCTION("""COMPUTED_VALUE"""),"〇")</f>
        <v>〇</v>
      </c>
      <c r="N497" s="1" t="str">
        <f ca="1">IFERROR(__xludf.DUMMYFUNCTION("""COMPUTED_VALUE"""),"TO8")</f>
        <v>TO8</v>
      </c>
      <c r="O497" s="1"/>
      <c r="P497" s="1"/>
    </row>
    <row r="498" spans="1:16" ht="14.25" customHeight="1" x14ac:dyDescent="0.25">
      <c r="A498" s="1"/>
      <c r="B498" s="1">
        <f ca="1"/>
        <v>486</v>
      </c>
      <c r="C498" s="1">
        <f ca="1">IFERROR(__xludf.DUMMYFUNCTION("""COMPUTED_VALUE"""),2023)</f>
        <v>2023</v>
      </c>
      <c r="D498" s="1">
        <f ca="1">IFERROR(__xludf.DUMMYFUNCTION("""COMPUTED_VALUE"""),40142)</f>
        <v>40142</v>
      </c>
      <c r="E498" s="1" t="str">
        <f ca="1">IFERROR(__xludf.DUMMYFUNCTION("""COMPUTED_VALUE"""),"Current Genetic Medicine Reports")</f>
        <v>Current Genetic Medicine Reports</v>
      </c>
      <c r="F498" s="1" t="str">
        <f ca="1">IFERROR(__xludf.DUMMYFUNCTION("""COMPUTED_VALUE"""),"2167-4876")</f>
        <v>2167-4876</v>
      </c>
      <c r="G498" s="1"/>
      <c r="H498" s="27" t="str">
        <f ca="1">IFERROR(__xludf.DUMMYFUNCTION("""COMPUTED_VALUE"""),"https://link.springer.com/journal/40142")</f>
        <v>https://link.springer.com/journal/40142</v>
      </c>
      <c r="I498" s="1" t="str">
        <f ca="1">IFERROR(__xludf.DUMMYFUNCTION("""COMPUTED_VALUE"""),"Springer")</f>
        <v>Springer</v>
      </c>
      <c r="J498" s="1">
        <f ca="1">IFERROR(__xludf.DUMMYFUNCTION("""COMPUTED_VALUE"""),2013)</f>
        <v>2013</v>
      </c>
      <c r="K498" s="1" t="str">
        <f ca="1">IFERROR(__xludf.DUMMYFUNCTION("""COMPUTED_VALUE"""),"Medicine")</f>
        <v>Medicine</v>
      </c>
      <c r="L498" s="1"/>
      <c r="M498" s="1"/>
      <c r="N498" s="1" t="str">
        <f ca="1">IFERROR(__xludf.DUMMYFUNCTION("""COMPUTED_VALUE"""),"SNS13")</f>
        <v>SNS13</v>
      </c>
      <c r="O498" s="1"/>
      <c r="P498" s="1"/>
    </row>
    <row r="499" spans="1:16" ht="14.25" customHeight="1" x14ac:dyDescent="0.25">
      <c r="A499" s="1"/>
      <c r="B499" s="1">
        <f ca="1"/>
        <v>487</v>
      </c>
      <c r="C499" s="1">
        <f ca="1">IFERROR(__xludf.DUMMYFUNCTION("""COMPUTED_VALUE"""),2023)</f>
        <v>2023</v>
      </c>
      <c r="D499" s="1">
        <f ca="1">IFERROR(__xludf.DUMMYFUNCTION("""COMPUTED_VALUE"""),294)</f>
        <v>294</v>
      </c>
      <c r="E499" s="1" t="str">
        <f ca="1">IFERROR(__xludf.DUMMYFUNCTION("""COMPUTED_VALUE"""),"Current Genetics")</f>
        <v>Current Genetics</v>
      </c>
      <c r="F499" s="1" t="str">
        <f ca="1">IFERROR(__xludf.DUMMYFUNCTION("""COMPUTED_VALUE"""),"1432-0983")</f>
        <v>1432-0983</v>
      </c>
      <c r="G499" s="1" t="str">
        <f ca="1">IFERROR(__xludf.DUMMYFUNCTION("""COMPUTED_VALUE"""),"0172-8083")</f>
        <v>0172-8083</v>
      </c>
      <c r="H499" s="27" t="str">
        <f ca="1">IFERROR(__xludf.DUMMYFUNCTION("""COMPUTED_VALUE"""),"https://link.springer.com/journal/294")</f>
        <v>https://link.springer.com/journal/294</v>
      </c>
      <c r="I499" s="1" t="str">
        <f ca="1">IFERROR(__xludf.DUMMYFUNCTION("""COMPUTED_VALUE"""),"Springer")</f>
        <v>Springer</v>
      </c>
      <c r="J499" s="1">
        <f ca="1">IFERROR(__xludf.DUMMYFUNCTION("""COMPUTED_VALUE"""),2000)</f>
        <v>2000</v>
      </c>
      <c r="K499" s="1" t="str">
        <f ca="1">IFERROR(__xludf.DUMMYFUNCTION("""COMPUTED_VALUE"""),"Biomedical and Life Sciences")</f>
        <v>Biomedical and Life Sciences</v>
      </c>
      <c r="L499" s="1" t="str">
        <f ca="1">IFERROR(__xludf.DUMMYFUNCTION("""COMPUTED_VALUE"""),"〇")</f>
        <v>〇</v>
      </c>
      <c r="M499" s="1" t="str">
        <f ca="1">IFERROR(__xludf.DUMMYFUNCTION("""COMPUTED_VALUE"""),"〇")</f>
        <v>〇</v>
      </c>
      <c r="N499" s="1"/>
      <c r="O499" s="1"/>
      <c r="P499" s="1"/>
    </row>
    <row r="500" spans="1:16" ht="14.25" customHeight="1" x14ac:dyDescent="0.25">
      <c r="A500" s="1"/>
      <c r="B500" s="1">
        <f ca="1"/>
        <v>488</v>
      </c>
      <c r="C500" s="1">
        <f ca="1">IFERROR(__xludf.DUMMYFUNCTION("""COMPUTED_VALUE"""),2023)</f>
        <v>2023</v>
      </c>
      <c r="D500" s="1">
        <f ca="1">IFERROR(__xludf.DUMMYFUNCTION("""COMPUTED_VALUE"""),13670)</f>
        <v>13670</v>
      </c>
      <c r="E500" s="1" t="str">
        <f ca="1">IFERROR(__xludf.DUMMYFUNCTION("""COMPUTED_VALUE"""),"Current Geriatrics Reports")</f>
        <v>Current Geriatrics Reports</v>
      </c>
      <c r="F500" s="1" t="str">
        <f ca="1">IFERROR(__xludf.DUMMYFUNCTION("""COMPUTED_VALUE"""),"2196-7865")</f>
        <v>2196-7865</v>
      </c>
      <c r="G500" s="1"/>
      <c r="H500" s="27" t="str">
        <f ca="1">IFERROR(__xludf.DUMMYFUNCTION("""COMPUTED_VALUE"""),"https://link.springer.com/journal/13670")</f>
        <v>https://link.springer.com/journal/13670</v>
      </c>
      <c r="I500" s="1" t="str">
        <f ca="1">IFERROR(__xludf.DUMMYFUNCTION("""COMPUTED_VALUE"""),"Springer")</f>
        <v>Springer</v>
      </c>
      <c r="J500" s="1">
        <f ca="1">IFERROR(__xludf.DUMMYFUNCTION("""COMPUTED_VALUE"""),2012)</f>
        <v>2012</v>
      </c>
      <c r="K500" s="1" t="str">
        <f ca="1">IFERROR(__xludf.DUMMYFUNCTION("""COMPUTED_VALUE"""),"Medicine")</f>
        <v>Medicine</v>
      </c>
      <c r="L500" s="1"/>
      <c r="M500" s="1"/>
      <c r="N500" s="1" t="str">
        <f ca="1">IFERROR(__xludf.DUMMYFUNCTION("""COMPUTED_VALUE"""),"SNS12")</f>
        <v>SNS12</v>
      </c>
      <c r="O500" s="1"/>
      <c r="P500" s="1"/>
    </row>
    <row r="501" spans="1:16" ht="14.25" customHeight="1" x14ac:dyDescent="0.25">
      <c r="A501" s="1"/>
      <c r="B501" s="1">
        <f ca="1"/>
        <v>489</v>
      </c>
      <c r="C501" s="1">
        <f ca="1">IFERROR(__xludf.DUMMYFUNCTION("""COMPUTED_VALUE"""),2023)</f>
        <v>2023</v>
      </c>
      <c r="D501" s="1">
        <f ca="1">IFERROR(__xludf.DUMMYFUNCTION("""COMPUTED_VALUE"""),11897)</f>
        <v>11897</v>
      </c>
      <c r="E501" s="1" t="str">
        <f ca="1">IFERROR(__xludf.DUMMYFUNCTION("""COMPUTED_VALUE"""),"Current Heart Failure Reports")</f>
        <v>Current Heart Failure Reports</v>
      </c>
      <c r="F501" s="1" t="str">
        <f ca="1">IFERROR(__xludf.DUMMYFUNCTION("""COMPUTED_VALUE"""),"1546-9549")</f>
        <v>1546-9549</v>
      </c>
      <c r="G501" s="1"/>
      <c r="H501" s="27" t="str">
        <f ca="1">IFERROR(__xludf.DUMMYFUNCTION("""COMPUTED_VALUE"""),"https://link.springer.com/journal/11897")</f>
        <v>https://link.springer.com/journal/11897</v>
      </c>
      <c r="I501" s="1" t="str">
        <f ca="1">IFERROR(__xludf.DUMMYFUNCTION("""COMPUTED_VALUE"""),"Springer")</f>
        <v>Springer</v>
      </c>
      <c r="J501" s="1">
        <f ca="1">IFERROR(__xludf.DUMMYFUNCTION("""COMPUTED_VALUE"""),2004)</f>
        <v>2004</v>
      </c>
      <c r="K501" s="1" t="str">
        <f ca="1">IFERROR(__xludf.DUMMYFUNCTION("""COMPUTED_VALUE"""),"Medicine")</f>
        <v>Medicine</v>
      </c>
      <c r="L501" s="1"/>
      <c r="M501" s="1" t="str">
        <f ca="1">IFERROR(__xludf.DUMMYFUNCTION("""COMPUTED_VALUE"""),"〇")</f>
        <v>〇</v>
      </c>
      <c r="N501" s="1" t="str">
        <f ca="1">IFERROR(__xludf.DUMMYFUNCTION("""COMPUTED_VALUE"""),"TO8")</f>
        <v>TO8</v>
      </c>
      <c r="O501" s="1"/>
      <c r="P501" s="1"/>
    </row>
    <row r="502" spans="1:16" ht="14.25" customHeight="1" x14ac:dyDescent="0.25">
      <c r="A502" s="1"/>
      <c r="B502" s="1">
        <f ca="1"/>
        <v>490</v>
      </c>
      <c r="C502" s="1">
        <f ca="1">IFERROR(__xludf.DUMMYFUNCTION("""COMPUTED_VALUE"""),2023)</f>
        <v>2023</v>
      </c>
      <c r="D502" s="1">
        <f ca="1">IFERROR(__xludf.DUMMYFUNCTION("""COMPUTED_VALUE"""),11899)</f>
        <v>11899</v>
      </c>
      <c r="E502" s="1" t="str">
        <f ca="1">IFERROR(__xludf.DUMMYFUNCTION("""COMPUTED_VALUE"""),"Current Hematologic Malignancy Reports")</f>
        <v>Current Hematologic Malignancy Reports</v>
      </c>
      <c r="F502" s="1" t="str">
        <f ca="1">IFERROR(__xludf.DUMMYFUNCTION("""COMPUTED_VALUE"""),"1558-822X")</f>
        <v>1558-822X</v>
      </c>
      <c r="G502" s="1"/>
      <c r="H502" s="27" t="str">
        <f ca="1">IFERROR(__xludf.DUMMYFUNCTION("""COMPUTED_VALUE"""),"https://link.springer.com/journal/11899")</f>
        <v>https://link.springer.com/journal/11899</v>
      </c>
      <c r="I502" s="1" t="str">
        <f ca="1">IFERROR(__xludf.DUMMYFUNCTION("""COMPUTED_VALUE"""),"Springer")</f>
        <v>Springer</v>
      </c>
      <c r="J502" s="1">
        <f ca="1">IFERROR(__xludf.DUMMYFUNCTION("""COMPUTED_VALUE"""),2006)</f>
        <v>2006</v>
      </c>
      <c r="K502" s="1" t="str">
        <f ca="1">IFERROR(__xludf.DUMMYFUNCTION("""COMPUTED_VALUE"""),"Medicine")</f>
        <v>Medicine</v>
      </c>
      <c r="L502" s="1"/>
      <c r="M502" s="1" t="str">
        <f ca="1">IFERROR(__xludf.DUMMYFUNCTION("""COMPUTED_VALUE"""),"〇")</f>
        <v>〇</v>
      </c>
      <c r="N502" s="1" t="str">
        <f ca="1">IFERROR(__xludf.DUMMYFUNCTION("""COMPUTED_VALUE"""),"TO8")</f>
        <v>TO8</v>
      </c>
      <c r="O502" s="1"/>
      <c r="P502" s="1"/>
    </row>
    <row r="503" spans="1:16" ht="14.25" customHeight="1" x14ac:dyDescent="0.25">
      <c r="A503" s="1"/>
      <c r="B503" s="1">
        <f ca="1"/>
        <v>491</v>
      </c>
      <c r="C503" s="1">
        <f ca="1">IFERROR(__xludf.DUMMYFUNCTION("""COMPUTED_VALUE"""),2023)</f>
        <v>2023</v>
      </c>
      <c r="D503" s="1">
        <f ca="1">IFERROR(__xludf.DUMMYFUNCTION("""COMPUTED_VALUE"""),11901)</f>
        <v>11901</v>
      </c>
      <c r="E503" s="1" t="str">
        <f ca="1">IFERROR(__xludf.DUMMYFUNCTION("""COMPUTED_VALUE"""),"Current Hepatology Reports")</f>
        <v>Current Hepatology Reports</v>
      </c>
      <c r="F503" s="1" t="str">
        <f ca="1">IFERROR(__xludf.DUMMYFUNCTION("""COMPUTED_VALUE"""),"2195-9595")</f>
        <v>2195-9595</v>
      </c>
      <c r="G503" s="1"/>
      <c r="H503" s="27" t="str">
        <f ca="1">IFERROR(__xludf.DUMMYFUNCTION("""COMPUTED_VALUE"""),"https://link.springer.com/journal/11901")</f>
        <v>https://link.springer.com/journal/11901</v>
      </c>
      <c r="I503" s="1" t="str">
        <f ca="1">IFERROR(__xludf.DUMMYFUNCTION("""COMPUTED_VALUE"""),"Springer")</f>
        <v>Springer</v>
      </c>
      <c r="J503" s="1">
        <f ca="1">IFERROR(__xludf.DUMMYFUNCTION("""COMPUTED_VALUE"""),2002)</f>
        <v>2002</v>
      </c>
      <c r="K503" s="1" t="str">
        <f ca="1">IFERROR(__xludf.DUMMYFUNCTION("""COMPUTED_VALUE"""),"Medicine")</f>
        <v>Medicine</v>
      </c>
      <c r="L503" s="1"/>
      <c r="M503" s="1" t="str">
        <f ca="1">IFERROR(__xludf.DUMMYFUNCTION("""COMPUTED_VALUE"""),"〇")</f>
        <v>〇</v>
      </c>
      <c r="N503" s="1" t="str">
        <f ca="1">IFERROR(__xludf.DUMMYFUNCTION("""COMPUTED_VALUE"""),"TO8")</f>
        <v>TO8</v>
      </c>
      <c r="O503" s="1"/>
      <c r="P503" s="1"/>
    </row>
    <row r="504" spans="1:16" ht="14.25" customHeight="1" x14ac:dyDescent="0.25">
      <c r="A504" s="1"/>
      <c r="B504" s="1">
        <f ca="1"/>
        <v>492</v>
      </c>
      <c r="C504" s="1">
        <f ca="1">IFERROR(__xludf.DUMMYFUNCTION("""COMPUTED_VALUE"""),2023)</f>
        <v>2023</v>
      </c>
      <c r="D504" s="1">
        <f ca="1">IFERROR(__xludf.DUMMYFUNCTION("""COMPUTED_VALUE"""),11904)</f>
        <v>11904</v>
      </c>
      <c r="E504" s="1" t="str">
        <f ca="1">IFERROR(__xludf.DUMMYFUNCTION("""COMPUTED_VALUE"""),"Current HIV/AIDS Reports")</f>
        <v>Current HIV/AIDS Reports</v>
      </c>
      <c r="F504" s="1" t="str">
        <f ca="1">IFERROR(__xludf.DUMMYFUNCTION("""COMPUTED_VALUE"""),"1548-3576")</f>
        <v>1548-3576</v>
      </c>
      <c r="G504" s="1"/>
      <c r="H504" s="27" t="str">
        <f ca="1">IFERROR(__xludf.DUMMYFUNCTION("""COMPUTED_VALUE"""),"https://link.springer.com/journal/11904")</f>
        <v>https://link.springer.com/journal/11904</v>
      </c>
      <c r="I504" s="1" t="str">
        <f ca="1">IFERROR(__xludf.DUMMYFUNCTION("""COMPUTED_VALUE"""),"Springer")</f>
        <v>Springer</v>
      </c>
      <c r="J504" s="1">
        <f ca="1">IFERROR(__xludf.DUMMYFUNCTION("""COMPUTED_VALUE"""),2004)</f>
        <v>2004</v>
      </c>
      <c r="K504" s="1" t="str">
        <f ca="1">IFERROR(__xludf.DUMMYFUNCTION("""COMPUTED_VALUE"""),"Medicine")</f>
        <v>Medicine</v>
      </c>
      <c r="L504" s="1"/>
      <c r="M504" s="1" t="str">
        <f ca="1">IFERROR(__xludf.DUMMYFUNCTION("""COMPUTED_VALUE"""),"〇")</f>
        <v>〇</v>
      </c>
      <c r="N504" s="1" t="str">
        <f ca="1">IFERROR(__xludf.DUMMYFUNCTION("""COMPUTED_VALUE"""),"TO8")</f>
        <v>TO8</v>
      </c>
      <c r="O504" s="1"/>
      <c r="P504" s="1"/>
    </row>
    <row r="505" spans="1:16" ht="14.25" customHeight="1" x14ac:dyDescent="0.25">
      <c r="A505" s="1"/>
      <c r="B505" s="1">
        <f ca="1"/>
        <v>493</v>
      </c>
      <c r="C505" s="1">
        <f ca="1">IFERROR(__xludf.DUMMYFUNCTION("""COMPUTED_VALUE"""),2023)</f>
        <v>2023</v>
      </c>
      <c r="D505" s="1">
        <f ca="1">IFERROR(__xludf.DUMMYFUNCTION("""COMPUTED_VALUE"""),11906)</f>
        <v>11906</v>
      </c>
      <c r="E505" s="1" t="str">
        <f ca="1">IFERROR(__xludf.DUMMYFUNCTION("""COMPUTED_VALUE"""),"Current Hypertension Reports")</f>
        <v>Current Hypertension Reports</v>
      </c>
      <c r="F505" s="1" t="str">
        <f ca="1">IFERROR(__xludf.DUMMYFUNCTION("""COMPUTED_VALUE"""),"1534-3111")</f>
        <v>1534-3111</v>
      </c>
      <c r="G505" s="1"/>
      <c r="H505" s="27" t="str">
        <f ca="1">IFERROR(__xludf.DUMMYFUNCTION("""COMPUTED_VALUE"""),"https://link.springer.com/journal/11906")</f>
        <v>https://link.springer.com/journal/11906</v>
      </c>
      <c r="I505" s="1" t="str">
        <f ca="1">IFERROR(__xludf.DUMMYFUNCTION("""COMPUTED_VALUE"""),"Springer")</f>
        <v>Springer</v>
      </c>
      <c r="J505" s="1">
        <f ca="1">IFERROR(__xludf.DUMMYFUNCTION("""COMPUTED_VALUE"""),2000)</f>
        <v>2000</v>
      </c>
      <c r="K505" s="1" t="str">
        <f ca="1">IFERROR(__xludf.DUMMYFUNCTION("""COMPUTED_VALUE"""),"Medicine")</f>
        <v>Medicine</v>
      </c>
      <c r="L505" s="1"/>
      <c r="M505" s="1" t="str">
        <f ca="1">IFERROR(__xludf.DUMMYFUNCTION("""COMPUTED_VALUE"""),"〇")</f>
        <v>〇</v>
      </c>
      <c r="N505" s="1" t="str">
        <f ca="1">IFERROR(__xludf.DUMMYFUNCTION("""COMPUTED_VALUE"""),"TO8")</f>
        <v>TO8</v>
      </c>
      <c r="O505" s="1"/>
      <c r="P505" s="1"/>
    </row>
    <row r="506" spans="1:16" ht="14.25" customHeight="1" x14ac:dyDescent="0.25">
      <c r="A506" s="1"/>
      <c r="B506" s="1">
        <f ca="1"/>
        <v>494</v>
      </c>
      <c r="C506" s="1">
        <f ca="1">IFERROR(__xludf.DUMMYFUNCTION("""COMPUTED_VALUE"""),2023)</f>
        <v>2023</v>
      </c>
      <c r="D506" s="1">
        <f ca="1">IFERROR(__xludf.DUMMYFUNCTION("""COMPUTED_VALUE"""),11908)</f>
        <v>11908</v>
      </c>
      <c r="E506" s="1" t="str">
        <f ca="1">IFERROR(__xludf.DUMMYFUNCTION("""COMPUTED_VALUE"""),"Current Infectious Disease Reports")</f>
        <v>Current Infectious Disease Reports</v>
      </c>
      <c r="F506" s="1" t="str">
        <f ca="1">IFERROR(__xludf.DUMMYFUNCTION("""COMPUTED_VALUE"""),"1534-3146")</f>
        <v>1534-3146</v>
      </c>
      <c r="G506" s="1"/>
      <c r="H506" s="27" t="str">
        <f ca="1">IFERROR(__xludf.DUMMYFUNCTION("""COMPUTED_VALUE"""),"https://link.springer.com/journal/11908")</f>
        <v>https://link.springer.com/journal/11908</v>
      </c>
      <c r="I506" s="1" t="str">
        <f ca="1">IFERROR(__xludf.DUMMYFUNCTION("""COMPUTED_VALUE"""),"Springer")</f>
        <v>Springer</v>
      </c>
      <c r="J506" s="1">
        <f ca="1">IFERROR(__xludf.DUMMYFUNCTION("""COMPUTED_VALUE"""),2000)</f>
        <v>2000</v>
      </c>
      <c r="K506" s="1" t="str">
        <f ca="1">IFERROR(__xludf.DUMMYFUNCTION("""COMPUTED_VALUE"""),"Medicine")</f>
        <v>Medicine</v>
      </c>
      <c r="L506" s="1"/>
      <c r="M506" s="1" t="str">
        <f ca="1">IFERROR(__xludf.DUMMYFUNCTION("""COMPUTED_VALUE"""),"〇")</f>
        <v>〇</v>
      </c>
      <c r="N506" s="1" t="str">
        <f ca="1">IFERROR(__xludf.DUMMYFUNCTION("""COMPUTED_VALUE"""),"TO8")</f>
        <v>TO8</v>
      </c>
      <c r="O506" s="1"/>
      <c r="P506" s="1"/>
    </row>
    <row r="507" spans="1:16" ht="14.25" customHeight="1" x14ac:dyDescent="0.25">
      <c r="A507" s="1"/>
      <c r="B507" s="1">
        <f ca="1"/>
        <v>495</v>
      </c>
      <c r="C507" s="1">
        <f ca="1">IFERROR(__xludf.DUMMYFUNCTION("""COMPUTED_VALUE"""),2023)</f>
        <v>2023</v>
      </c>
      <c r="D507" s="1">
        <f ca="1">IFERROR(__xludf.DUMMYFUNCTION("""COMPUTED_VALUE"""),40823)</f>
        <v>40823</v>
      </c>
      <c r="E507" s="1" t="str">
        <f ca="1">IFERROR(__xludf.DUMMYFUNCTION("""COMPUTED_VALUE"""),"Current Landscape Ecology Reports")</f>
        <v>Current Landscape Ecology Reports</v>
      </c>
      <c r="F507" s="1" t="str">
        <f ca="1">IFERROR(__xludf.DUMMYFUNCTION("""COMPUTED_VALUE"""),"2364-494X")</f>
        <v>2364-494X</v>
      </c>
      <c r="G507" s="1"/>
      <c r="H507" s="27" t="str">
        <f ca="1">IFERROR(__xludf.DUMMYFUNCTION("""COMPUTED_VALUE"""),"https://link.springer.com/journal/40823")</f>
        <v>https://link.springer.com/journal/40823</v>
      </c>
      <c r="I507" s="1" t="str">
        <f ca="1">IFERROR(__xludf.DUMMYFUNCTION("""COMPUTED_VALUE"""),"Springer")</f>
        <v>Springer</v>
      </c>
      <c r="J507" s="1">
        <f ca="1">IFERROR(__xludf.DUMMYFUNCTION("""COMPUTED_VALUE"""),2016)</f>
        <v>2016</v>
      </c>
      <c r="K507" s="1" t="str">
        <f ca="1">IFERROR(__xludf.DUMMYFUNCTION("""COMPUTED_VALUE"""),"Biomedical and Life Sciences")</f>
        <v>Biomedical and Life Sciences</v>
      </c>
      <c r="L507" s="1"/>
      <c r="M507" s="1"/>
      <c r="N507" s="1" t="str">
        <f ca="1">IFERROR(__xludf.DUMMYFUNCTION("""COMPUTED_VALUE"""),"SNS16")</f>
        <v>SNS16</v>
      </c>
      <c r="O507" s="1"/>
      <c r="P507" s="1"/>
    </row>
    <row r="508" spans="1:16" ht="14.25" customHeight="1" x14ac:dyDescent="0.25">
      <c r="A508" s="1"/>
      <c r="B508" s="1">
        <f ca="1"/>
        <v>496</v>
      </c>
      <c r="C508" s="1">
        <f ca="1">IFERROR(__xludf.DUMMYFUNCTION("""COMPUTED_VALUE"""),2023)</f>
        <v>2023</v>
      </c>
      <c r="D508" s="1">
        <f ca="1">IFERROR(__xludf.DUMMYFUNCTION("""COMPUTED_VALUE"""),11596)</f>
        <v>11596</v>
      </c>
      <c r="E508" s="1" t="str">
        <f ca="1">IFERROR(__xludf.DUMMYFUNCTION("""COMPUTED_VALUE"""),"Current Medical Science")</f>
        <v>Current Medical Science</v>
      </c>
      <c r="F508" s="1" t="str">
        <f ca="1">IFERROR(__xludf.DUMMYFUNCTION("""COMPUTED_VALUE"""),"2523-899X")</f>
        <v>2523-899X</v>
      </c>
      <c r="G508" s="1" t="str">
        <f ca="1">IFERROR(__xludf.DUMMYFUNCTION("""COMPUTED_VALUE"""),"2096-5230")</f>
        <v>2096-5230</v>
      </c>
      <c r="H508" s="27" t="str">
        <f ca="1">IFERROR(__xludf.DUMMYFUNCTION("""COMPUTED_VALUE"""),"https://link.springer.com/journal/11596")</f>
        <v>https://link.springer.com/journal/11596</v>
      </c>
      <c r="I508" s="1" t="str">
        <f ca="1">IFERROR(__xludf.DUMMYFUNCTION("""COMPUTED_VALUE"""),"Huazhong University of Science and Technology, co-published with Springer")</f>
        <v>Huazhong University of Science and Technology, co-published with Springer</v>
      </c>
      <c r="J508" s="1">
        <f ca="1">IFERROR(__xludf.DUMMYFUNCTION("""COMPUTED_VALUE"""),2000)</f>
        <v>2000</v>
      </c>
      <c r="K508" s="1" t="str">
        <f ca="1">IFERROR(__xludf.DUMMYFUNCTION("""COMPUTED_VALUE"""),"Medicine")</f>
        <v>Medicine</v>
      </c>
      <c r="L508" s="1" t="str">
        <f ca="1">IFERROR(__xludf.DUMMYFUNCTION("""COMPUTED_VALUE"""),"〇")</f>
        <v>〇</v>
      </c>
      <c r="M508" s="1" t="str">
        <f ca="1">IFERROR(__xludf.DUMMYFUNCTION("""COMPUTED_VALUE"""),"〇")</f>
        <v>〇</v>
      </c>
      <c r="N508" s="1" t="str">
        <f ca="1">IFERROR(__xludf.DUMMYFUNCTION("""COMPUTED_VALUE"""),"TO7")</f>
        <v>TO7</v>
      </c>
      <c r="O508" s="1"/>
      <c r="P508" s="1"/>
    </row>
    <row r="509" spans="1:16" ht="14.25" customHeight="1" x14ac:dyDescent="0.25">
      <c r="A509" s="1"/>
      <c r="B509" s="1">
        <f ca="1"/>
        <v>497</v>
      </c>
      <c r="C509" s="1">
        <f ca="1">IFERROR(__xludf.DUMMYFUNCTION("""COMPUTED_VALUE"""),2023)</f>
        <v>2023</v>
      </c>
      <c r="D509" s="1">
        <f ca="1">IFERROR(__xludf.DUMMYFUNCTION("""COMPUTED_VALUE"""),284)</f>
        <v>284</v>
      </c>
      <c r="E509" s="1" t="str">
        <f ca="1">IFERROR(__xludf.DUMMYFUNCTION("""COMPUTED_VALUE"""),"Current Microbiology")</f>
        <v>Current Microbiology</v>
      </c>
      <c r="F509" s="1" t="str">
        <f ca="1">IFERROR(__xludf.DUMMYFUNCTION("""COMPUTED_VALUE"""),"1432-0991")</f>
        <v>1432-0991</v>
      </c>
      <c r="G509" s="1" t="str">
        <f ca="1">IFERROR(__xludf.DUMMYFUNCTION("""COMPUTED_VALUE"""),"0343-8651")</f>
        <v>0343-8651</v>
      </c>
      <c r="H509" s="27" t="str">
        <f ca="1">IFERROR(__xludf.DUMMYFUNCTION("""COMPUTED_VALUE"""),"https://link.springer.com/journal/284")</f>
        <v>https://link.springer.com/journal/284</v>
      </c>
      <c r="I509" s="1" t="str">
        <f ca="1">IFERROR(__xludf.DUMMYFUNCTION("""COMPUTED_VALUE"""),"Springer")</f>
        <v>Springer</v>
      </c>
      <c r="J509" s="1">
        <f ca="1">IFERROR(__xludf.DUMMYFUNCTION("""COMPUTED_VALUE"""),2000)</f>
        <v>2000</v>
      </c>
      <c r="K509" s="1" t="str">
        <f ca="1">IFERROR(__xludf.DUMMYFUNCTION("""COMPUTED_VALUE"""),"Biomedical and Life Sciences")</f>
        <v>Biomedical and Life Sciences</v>
      </c>
      <c r="L509" s="1" t="str">
        <f ca="1">IFERROR(__xludf.DUMMYFUNCTION("""COMPUTED_VALUE"""),"〇")</f>
        <v>〇</v>
      </c>
      <c r="M509" s="1" t="str">
        <f ca="1">IFERROR(__xludf.DUMMYFUNCTION("""COMPUTED_VALUE"""),"〇")</f>
        <v>〇</v>
      </c>
      <c r="N509" s="1"/>
      <c r="O509" s="1"/>
      <c r="P509" s="1"/>
    </row>
    <row r="510" spans="1:16" ht="14.25" customHeight="1" x14ac:dyDescent="0.25">
      <c r="A510" s="1"/>
      <c r="B510" s="1">
        <f ca="1"/>
        <v>498</v>
      </c>
      <c r="C510" s="1">
        <f ca="1">IFERROR(__xludf.DUMMYFUNCTION("""COMPUTED_VALUE"""),2023)</f>
        <v>2023</v>
      </c>
      <c r="D510" s="1">
        <f ca="1">IFERROR(__xludf.DUMMYFUNCTION("""COMPUTED_VALUE"""),40610)</f>
        <v>40610</v>
      </c>
      <c r="E510" s="1" t="str">
        <f ca="1">IFERROR(__xludf.DUMMYFUNCTION("""COMPUTED_VALUE"""),"Current Molecular Biology Reports")</f>
        <v>Current Molecular Biology Reports</v>
      </c>
      <c r="F510" s="1" t="str">
        <f ca="1">IFERROR(__xludf.DUMMYFUNCTION("""COMPUTED_VALUE"""),"2198-6428")</f>
        <v>2198-6428</v>
      </c>
      <c r="G510" s="1"/>
      <c r="H510" s="27" t="str">
        <f ca="1">IFERROR(__xludf.DUMMYFUNCTION("""COMPUTED_VALUE"""),"https://link.springer.com/journal/40610")</f>
        <v>https://link.springer.com/journal/40610</v>
      </c>
      <c r="I510" s="1" t="str">
        <f ca="1">IFERROR(__xludf.DUMMYFUNCTION("""COMPUTED_VALUE"""),"Springer")</f>
        <v>Springer</v>
      </c>
      <c r="J510" s="1">
        <f ca="1">IFERROR(__xludf.DUMMYFUNCTION("""COMPUTED_VALUE"""),2015)</f>
        <v>2015</v>
      </c>
      <c r="K510" s="1" t="str">
        <f ca="1">IFERROR(__xludf.DUMMYFUNCTION("""COMPUTED_VALUE"""),"Biomedical and Life Sciences")</f>
        <v>Biomedical and Life Sciences</v>
      </c>
      <c r="L510" s="1"/>
      <c r="M510" s="1"/>
      <c r="N510" s="1" t="str">
        <f ca="1">IFERROR(__xludf.DUMMYFUNCTION("""COMPUTED_VALUE"""),"SNS15")</f>
        <v>SNS15</v>
      </c>
      <c r="O510" s="1"/>
      <c r="P510" s="1"/>
    </row>
    <row r="511" spans="1:16" ht="14.25" customHeight="1" x14ac:dyDescent="0.25">
      <c r="A511" s="1"/>
      <c r="B511" s="1">
        <f ca="1"/>
        <v>499</v>
      </c>
      <c r="C511" s="1">
        <f ca="1">IFERROR(__xludf.DUMMYFUNCTION("""COMPUTED_VALUE"""),2023)</f>
        <v>2023</v>
      </c>
      <c r="D511" s="1">
        <f ca="1">IFERROR(__xludf.DUMMYFUNCTION("""COMPUTED_VALUE"""),11910)</f>
        <v>11910</v>
      </c>
      <c r="E511" s="1" t="str">
        <f ca="1">IFERROR(__xludf.DUMMYFUNCTION("""COMPUTED_VALUE"""),"Current Neurology and Neuroscience Reports")</f>
        <v>Current Neurology and Neuroscience Reports</v>
      </c>
      <c r="F511" s="1" t="str">
        <f ca="1">IFERROR(__xludf.DUMMYFUNCTION("""COMPUTED_VALUE"""),"1534-6293")</f>
        <v>1534-6293</v>
      </c>
      <c r="G511" s="1"/>
      <c r="H511" s="27" t="str">
        <f ca="1">IFERROR(__xludf.DUMMYFUNCTION("""COMPUTED_VALUE"""),"https://link.springer.com/journal/11910")</f>
        <v>https://link.springer.com/journal/11910</v>
      </c>
      <c r="I511" s="1" t="str">
        <f ca="1">IFERROR(__xludf.DUMMYFUNCTION("""COMPUTED_VALUE"""),"Springer")</f>
        <v>Springer</v>
      </c>
      <c r="J511" s="1">
        <f ca="1">IFERROR(__xludf.DUMMYFUNCTION("""COMPUTED_VALUE"""),2001)</f>
        <v>2001</v>
      </c>
      <c r="K511" s="1" t="str">
        <f ca="1">IFERROR(__xludf.DUMMYFUNCTION("""COMPUTED_VALUE"""),"Medicine")</f>
        <v>Medicine</v>
      </c>
      <c r="L511" s="1"/>
      <c r="M511" s="1" t="str">
        <f ca="1">IFERROR(__xludf.DUMMYFUNCTION("""COMPUTED_VALUE"""),"〇")</f>
        <v>〇</v>
      </c>
      <c r="N511" s="1" t="str">
        <f ca="1">IFERROR(__xludf.DUMMYFUNCTION("""COMPUTED_VALUE"""),"TO8")</f>
        <v>TO8</v>
      </c>
      <c r="O511" s="1"/>
      <c r="P511" s="1"/>
    </row>
    <row r="512" spans="1:16" ht="14.25" customHeight="1" x14ac:dyDescent="0.25">
      <c r="A512" s="1"/>
      <c r="B512" s="1">
        <f ca="1"/>
        <v>500</v>
      </c>
      <c r="C512" s="1">
        <f ca="1">IFERROR(__xludf.DUMMYFUNCTION("""COMPUTED_VALUE"""),2023)</f>
        <v>2023</v>
      </c>
      <c r="D512" s="1">
        <f ca="1">IFERROR(__xludf.DUMMYFUNCTION("""COMPUTED_VALUE"""),13668)</f>
        <v>13668</v>
      </c>
      <c r="E512" s="1" t="str">
        <f ca="1">IFERROR(__xludf.DUMMYFUNCTION("""COMPUTED_VALUE"""),"Current Nutrition Reports")</f>
        <v>Current Nutrition Reports</v>
      </c>
      <c r="F512" s="1" t="str">
        <f ca="1">IFERROR(__xludf.DUMMYFUNCTION("""COMPUTED_VALUE"""),"2161-3311")</f>
        <v>2161-3311</v>
      </c>
      <c r="G512" s="1"/>
      <c r="H512" s="27" t="str">
        <f ca="1">IFERROR(__xludf.DUMMYFUNCTION("""COMPUTED_VALUE"""),"https://link.springer.com/journal/13668")</f>
        <v>https://link.springer.com/journal/13668</v>
      </c>
      <c r="I512" s="1" t="str">
        <f ca="1">IFERROR(__xludf.DUMMYFUNCTION("""COMPUTED_VALUE"""),"Springer")</f>
        <v>Springer</v>
      </c>
      <c r="J512" s="1">
        <f ca="1">IFERROR(__xludf.DUMMYFUNCTION("""COMPUTED_VALUE"""),2012)</f>
        <v>2012</v>
      </c>
      <c r="K512" s="1" t="str">
        <f ca="1">IFERROR(__xludf.DUMMYFUNCTION("""COMPUTED_VALUE"""),"Medicine")</f>
        <v>Medicine</v>
      </c>
      <c r="L512" s="1"/>
      <c r="M512" s="1"/>
      <c r="N512" s="1" t="str">
        <f ca="1">IFERROR(__xludf.DUMMYFUNCTION("""COMPUTED_VALUE"""),"SNS12")</f>
        <v>SNS12</v>
      </c>
      <c r="O512" s="1"/>
      <c r="P512" s="1"/>
    </row>
    <row r="513" spans="1:16" ht="14.25" customHeight="1" x14ac:dyDescent="0.25">
      <c r="A513" s="1"/>
      <c r="B513" s="1">
        <f ca="1"/>
        <v>501</v>
      </c>
      <c r="C513" s="1">
        <f ca="1">IFERROR(__xludf.DUMMYFUNCTION("""COMPUTED_VALUE"""),2023)</f>
        <v>2023</v>
      </c>
      <c r="D513" s="1">
        <f ca="1">IFERROR(__xludf.DUMMYFUNCTION("""COMPUTED_VALUE"""),13679)</f>
        <v>13679</v>
      </c>
      <c r="E513" s="1" t="str">
        <f ca="1">IFERROR(__xludf.DUMMYFUNCTION("""COMPUTED_VALUE"""),"Current Obesity Reports")</f>
        <v>Current Obesity Reports</v>
      </c>
      <c r="F513" s="1" t="str">
        <f ca="1">IFERROR(__xludf.DUMMYFUNCTION("""COMPUTED_VALUE"""),"2162-4968")</f>
        <v>2162-4968</v>
      </c>
      <c r="G513" s="1"/>
      <c r="H513" s="27" t="str">
        <f ca="1">IFERROR(__xludf.DUMMYFUNCTION("""COMPUTED_VALUE"""),"https://link.springer.com/journal/13679")</f>
        <v>https://link.springer.com/journal/13679</v>
      </c>
      <c r="I513" s="1" t="str">
        <f ca="1">IFERROR(__xludf.DUMMYFUNCTION("""COMPUTED_VALUE"""),"Springer")</f>
        <v>Springer</v>
      </c>
      <c r="J513" s="1">
        <f ca="1">IFERROR(__xludf.DUMMYFUNCTION("""COMPUTED_VALUE"""),2012)</f>
        <v>2012</v>
      </c>
      <c r="K513" s="1" t="str">
        <f ca="1">IFERROR(__xludf.DUMMYFUNCTION("""COMPUTED_VALUE"""),"Medicine")</f>
        <v>Medicine</v>
      </c>
      <c r="L513" s="1"/>
      <c r="M513" s="1"/>
      <c r="N513" s="1" t="str">
        <f ca="1">IFERROR(__xludf.DUMMYFUNCTION("""COMPUTED_VALUE"""),"SNS12")</f>
        <v>SNS12</v>
      </c>
      <c r="O513" s="1"/>
      <c r="P513" s="1"/>
    </row>
    <row r="514" spans="1:16" ht="14.25" customHeight="1" x14ac:dyDescent="0.25">
      <c r="A514" s="1"/>
      <c r="B514" s="1">
        <f ca="1"/>
        <v>502</v>
      </c>
      <c r="C514" s="1">
        <f ca="1">IFERROR(__xludf.DUMMYFUNCTION("""COMPUTED_VALUE"""),2023)</f>
        <v>2023</v>
      </c>
      <c r="D514" s="1">
        <f ca="1">IFERROR(__xludf.DUMMYFUNCTION("""COMPUTED_VALUE"""),13669)</f>
        <v>13669</v>
      </c>
      <c r="E514" s="1" t="str">
        <f ca="1">IFERROR(__xludf.DUMMYFUNCTION("""COMPUTED_VALUE"""),"Current Obstetrics and Gynecology Reports")</f>
        <v>Current Obstetrics and Gynecology Reports</v>
      </c>
      <c r="F514" s="1" t="str">
        <f ca="1">IFERROR(__xludf.DUMMYFUNCTION("""COMPUTED_VALUE"""),"2161-3303")</f>
        <v>2161-3303</v>
      </c>
      <c r="G514" s="1"/>
      <c r="H514" s="27" t="str">
        <f ca="1">IFERROR(__xludf.DUMMYFUNCTION("""COMPUTED_VALUE"""),"https://link.springer.com/journal/13669")</f>
        <v>https://link.springer.com/journal/13669</v>
      </c>
      <c r="I514" s="1" t="str">
        <f ca="1">IFERROR(__xludf.DUMMYFUNCTION("""COMPUTED_VALUE"""),"Springer")</f>
        <v>Springer</v>
      </c>
      <c r="J514" s="1">
        <f ca="1">IFERROR(__xludf.DUMMYFUNCTION("""COMPUTED_VALUE"""),2012)</f>
        <v>2012</v>
      </c>
      <c r="K514" s="1" t="str">
        <f ca="1">IFERROR(__xludf.DUMMYFUNCTION("""COMPUTED_VALUE"""),"Medicine")</f>
        <v>Medicine</v>
      </c>
      <c r="L514" s="1"/>
      <c r="M514" s="1"/>
      <c r="N514" s="1" t="str">
        <f ca="1">IFERROR(__xludf.DUMMYFUNCTION("""COMPUTED_VALUE"""),"SNS12")</f>
        <v>SNS12</v>
      </c>
      <c r="O514" s="1"/>
      <c r="P514" s="1"/>
    </row>
    <row r="515" spans="1:16" ht="14.25" customHeight="1" x14ac:dyDescent="0.25">
      <c r="A515" s="1"/>
      <c r="B515" s="1">
        <f ca="1"/>
        <v>503</v>
      </c>
      <c r="C515" s="1">
        <f ca="1">IFERROR(__xludf.DUMMYFUNCTION("""COMPUTED_VALUE"""),2023)</f>
        <v>2023</v>
      </c>
      <c r="D515" s="1">
        <f ca="1">IFERROR(__xludf.DUMMYFUNCTION("""COMPUTED_VALUE"""),11912)</f>
        <v>11912</v>
      </c>
      <c r="E515" s="1" t="str">
        <f ca="1">IFERROR(__xludf.DUMMYFUNCTION("""COMPUTED_VALUE"""),"Current Oncology Reports")</f>
        <v>Current Oncology Reports</v>
      </c>
      <c r="F515" s="1" t="str">
        <f ca="1">IFERROR(__xludf.DUMMYFUNCTION("""COMPUTED_VALUE"""),"1534-6269")</f>
        <v>1534-6269</v>
      </c>
      <c r="G515" s="1"/>
      <c r="H515" s="27" t="str">
        <f ca="1">IFERROR(__xludf.DUMMYFUNCTION("""COMPUTED_VALUE"""),"https://link.springer.com/journal/11912")</f>
        <v>https://link.springer.com/journal/11912</v>
      </c>
      <c r="I515" s="1" t="str">
        <f ca="1">IFERROR(__xludf.DUMMYFUNCTION("""COMPUTED_VALUE"""),"Springer")</f>
        <v>Springer</v>
      </c>
      <c r="J515" s="1">
        <f ca="1">IFERROR(__xludf.DUMMYFUNCTION("""COMPUTED_VALUE"""),2000)</f>
        <v>2000</v>
      </c>
      <c r="K515" s="1" t="str">
        <f ca="1">IFERROR(__xludf.DUMMYFUNCTION("""COMPUTED_VALUE"""),"Medicine")</f>
        <v>Medicine</v>
      </c>
      <c r="L515" s="1"/>
      <c r="M515" s="1" t="str">
        <f ca="1">IFERROR(__xludf.DUMMYFUNCTION("""COMPUTED_VALUE"""),"〇")</f>
        <v>〇</v>
      </c>
      <c r="N515" s="1" t="str">
        <f ca="1">IFERROR(__xludf.DUMMYFUNCTION("""COMPUTED_VALUE"""),"TO8")</f>
        <v>TO8</v>
      </c>
      <c r="O515" s="1"/>
      <c r="P515" s="1"/>
    </row>
    <row r="516" spans="1:16" ht="14.25" customHeight="1" x14ac:dyDescent="0.25">
      <c r="A516" s="1"/>
      <c r="B516" s="1">
        <f ca="1"/>
        <v>504</v>
      </c>
      <c r="C516" s="1">
        <f ca="1">IFERROR(__xludf.DUMMYFUNCTION("""COMPUTED_VALUE"""),2023)</f>
        <v>2023</v>
      </c>
      <c r="D516" s="1">
        <f ca="1">IFERROR(__xludf.DUMMYFUNCTION("""COMPUTED_VALUE"""),40135)</f>
        <v>40135</v>
      </c>
      <c r="E516" s="1" t="str">
        <f ca="1">IFERROR(__xludf.DUMMYFUNCTION("""COMPUTED_VALUE"""),"Current Ophthalmology Reports")</f>
        <v>Current Ophthalmology Reports</v>
      </c>
      <c r="F516" s="1" t="str">
        <f ca="1">IFERROR(__xludf.DUMMYFUNCTION("""COMPUTED_VALUE"""),"2167-4868")</f>
        <v>2167-4868</v>
      </c>
      <c r="G516" s="1"/>
      <c r="H516" s="27" t="str">
        <f ca="1">IFERROR(__xludf.DUMMYFUNCTION("""COMPUTED_VALUE"""),"https://link.springer.com/journal/40135")</f>
        <v>https://link.springer.com/journal/40135</v>
      </c>
      <c r="I516" s="1" t="str">
        <f ca="1">IFERROR(__xludf.DUMMYFUNCTION("""COMPUTED_VALUE"""),"Springer")</f>
        <v>Springer</v>
      </c>
      <c r="J516" s="1">
        <f ca="1">IFERROR(__xludf.DUMMYFUNCTION("""COMPUTED_VALUE"""),2013)</f>
        <v>2013</v>
      </c>
      <c r="K516" s="1" t="str">
        <f ca="1">IFERROR(__xludf.DUMMYFUNCTION("""COMPUTED_VALUE"""),"Medicine")</f>
        <v>Medicine</v>
      </c>
      <c r="L516" s="1"/>
      <c r="M516" s="1"/>
      <c r="N516" s="1" t="str">
        <f ca="1">IFERROR(__xludf.DUMMYFUNCTION("""COMPUTED_VALUE"""),"SNS13")</f>
        <v>SNS13</v>
      </c>
      <c r="O516" s="1"/>
      <c r="P516" s="1"/>
    </row>
    <row r="517" spans="1:16" ht="14.25" customHeight="1" x14ac:dyDescent="0.25">
      <c r="A517" s="1"/>
      <c r="B517" s="1">
        <f ca="1"/>
        <v>505</v>
      </c>
      <c r="C517" s="1">
        <f ca="1">IFERROR(__xludf.DUMMYFUNCTION("""COMPUTED_VALUE"""),2023)</f>
        <v>2023</v>
      </c>
      <c r="D517" s="1">
        <f ca="1">IFERROR(__xludf.DUMMYFUNCTION("""COMPUTED_VALUE"""),40496)</f>
        <v>40496</v>
      </c>
      <c r="E517" s="1" t="str">
        <f ca="1">IFERROR(__xludf.DUMMYFUNCTION("""COMPUTED_VALUE"""),"Current Oral Health Reports")</f>
        <v>Current Oral Health Reports</v>
      </c>
      <c r="F517" s="1" t="str">
        <f ca="1">IFERROR(__xludf.DUMMYFUNCTION("""COMPUTED_VALUE"""),"2196-3002")</f>
        <v>2196-3002</v>
      </c>
      <c r="G517" s="1"/>
      <c r="H517" s="27" t="str">
        <f ca="1">IFERROR(__xludf.DUMMYFUNCTION("""COMPUTED_VALUE"""),"https://link.springer.com/journal/40496")</f>
        <v>https://link.springer.com/journal/40496</v>
      </c>
      <c r="I517" s="1" t="str">
        <f ca="1">IFERROR(__xludf.DUMMYFUNCTION("""COMPUTED_VALUE"""),"Springer")</f>
        <v>Springer</v>
      </c>
      <c r="J517" s="1">
        <f ca="1">IFERROR(__xludf.DUMMYFUNCTION("""COMPUTED_VALUE"""),2014)</f>
        <v>2014</v>
      </c>
      <c r="K517" s="1" t="str">
        <f ca="1">IFERROR(__xludf.DUMMYFUNCTION("""COMPUTED_VALUE"""),"Medicine")</f>
        <v>Medicine</v>
      </c>
      <c r="L517" s="1"/>
      <c r="M517" s="1"/>
      <c r="N517" s="1" t="str">
        <f ca="1">IFERROR(__xludf.DUMMYFUNCTION("""COMPUTED_VALUE"""),"SNS14")</f>
        <v>SNS14</v>
      </c>
      <c r="O517" s="1"/>
      <c r="P517" s="1"/>
    </row>
    <row r="518" spans="1:16" ht="14.25" customHeight="1" x14ac:dyDescent="0.25">
      <c r="A518" s="1"/>
      <c r="B518" s="1">
        <f ca="1"/>
        <v>506</v>
      </c>
      <c r="C518" s="1">
        <f ca="1">IFERROR(__xludf.DUMMYFUNCTION("""COMPUTED_VALUE"""),2023)</f>
        <v>2023</v>
      </c>
      <c r="D518" s="1">
        <f ca="1">IFERROR(__xludf.DUMMYFUNCTION("""COMPUTED_VALUE"""),11914)</f>
        <v>11914</v>
      </c>
      <c r="E518" s="1" t="str">
        <f ca="1">IFERROR(__xludf.DUMMYFUNCTION("""COMPUTED_VALUE"""),"Current Osteoporosis Reports")</f>
        <v>Current Osteoporosis Reports</v>
      </c>
      <c r="F518" s="1" t="str">
        <f ca="1">IFERROR(__xludf.DUMMYFUNCTION("""COMPUTED_VALUE"""),"1544-2241")</f>
        <v>1544-2241</v>
      </c>
      <c r="G518" s="1"/>
      <c r="H518" s="27" t="str">
        <f ca="1">IFERROR(__xludf.DUMMYFUNCTION("""COMPUTED_VALUE"""),"https://link.springer.com/journal/11914")</f>
        <v>https://link.springer.com/journal/11914</v>
      </c>
      <c r="I518" s="1" t="str">
        <f ca="1">IFERROR(__xludf.DUMMYFUNCTION("""COMPUTED_VALUE"""),"Springer")</f>
        <v>Springer</v>
      </c>
      <c r="J518" s="1">
        <f ca="1">IFERROR(__xludf.DUMMYFUNCTION("""COMPUTED_VALUE"""),2003)</f>
        <v>2003</v>
      </c>
      <c r="K518" s="1" t="str">
        <f ca="1">IFERROR(__xludf.DUMMYFUNCTION("""COMPUTED_VALUE"""),"Medicine")</f>
        <v>Medicine</v>
      </c>
      <c r="L518" s="1"/>
      <c r="M518" s="1" t="str">
        <f ca="1">IFERROR(__xludf.DUMMYFUNCTION("""COMPUTED_VALUE"""),"〇")</f>
        <v>〇</v>
      </c>
      <c r="N518" s="1" t="str">
        <f ca="1">IFERROR(__xludf.DUMMYFUNCTION("""COMPUTED_VALUE"""),"TO8")</f>
        <v>TO8</v>
      </c>
      <c r="O518" s="1"/>
      <c r="P518" s="1"/>
    </row>
    <row r="519" spans="1:16" ht="14.25" customHeight="1" x14ac:dyDescent="0.25">
      <c r="A519" s="1"/>
      <c r="B519" s="1">
        <f ca="1"/>
        <v>507</v>
      </c>
      <c r="C519" s="1">
        <f ca="1">IFERROR(__xludf.DUMMYFUNCTION("""COMPUTED_VALUE"""),2023)</f>
        <v>2023</v>
      </c>
      <c r="D519" s="1">
        <f ca="1">IFERROR(__xludf.DUMMYFUNCTION("""COMPUTED_VALUE"""),40136)</f>
        <v>40136</v>
      </c>
      <c r="E519" s="1" t="str">
        <f ca="1">IFERROR(__xludf.DUMMYFUNCTION("""COMPUTED_VALUE"""),"Current Otorhinolaryngology Reports")</f>
        <v>Current Otorhinolaryngology Reports</v>
      </c>
      <c r="F519" s="1" t="str">
        <f ca="1">IFERROR(__xludf.DUMMYFUNCTION("""COMPUTED_VALUE"""),"2167-583X")</f>
        <v>2167-583X</v>
      </c>
      <c r="G519" s="1"/>
      <c r="H519" s="27" t="str">
        <f ca="1">IFERROR(__xludf.DUMMYFUNCTION("""COMPUTED_VALUE"""),"https://link.springer.com/journal/40136")</f>
        <v>https://link.springer.com/journal/40136</v>
      </c>
      <c r="I519" s="1" t="str">
        <f ca="1">IFERROR(__xludf.DUMMYFUNCTION("""COMPUTED_VALUE"""),"Springer")</f>
        <v>Springer</v>
      </c>
      <c r="J519" s="1">
        <f ca="1">IFERROR(__xludf.DUMMYFUNCTION("""COMPUTED_VALUE"""),2013)</f>
        <v>2013</v>
      </c>
      <c r="K519" s="1" t="str">
        <f ca="1">IFERROR(__xludf.DUMMYFUNCTION("""COMPUTED_VALUE"""),"Medicine")</f>
        <v>Medicine</v>
      </c>
      <c r="L519" s="1"/>
      <c r="M519" s="1"/>
      <c r="N519" s="1" t="str">
        <f ca="1">IFERROR(__xludf.DUMMYFUNCTION("""COMPUTED_VALUE"""),"SNS13")</f>
        <v>SNS13</v>
      </c>
      <c r="O519" s="1"/>
      <c r="P519" s="1"/>
    </row>
    <row r="520" spans="1:16" ht="14.25" customHeight="1" x14ac:dyDescent="0.25">
      <c r="A520" s="1"/>
      <c r="B520" s="1">
        <f ca="1"/>
        <v>508</v>
      </c>
      <c r="C520" s="1">
        <f ca="1">IFERROR(__xludf.DUMMYFUNCTION("""COMPUTED_VALUE"""),2023)</f>
        <v>2023</v>
      </c>
      <c r="D520" s="1">
        <f ca="1">IFERROR(__xludf.DUMMYFUNCTION("""COMPUTED_VALUE"""),11916)</f>
        <v>11916</v>
      </c>
      <c r="E520" s="1" t="str">
        <f ca="1">IFERROR(__xludf.DUMMYFUNCTION("""COMPUTED_VALUE"""),"Current Pain and Headache Reports")</f>
        <v>Current Pain and Headache Reports</v>
      </c>
      <c r="F520" s="1" t="str">
        <f ca="1">IFERROR(__xludf.DUMMYFUNCTION("""COMPUTED_VALUE"""),"1534-3081")</f>
        <v>1534-3081</v>
      </c>
      <c r="G520" s="1"/>
      <c r="H520" s="27" t="str">
        <f ca="1">IFERROR(__xludf.DUMMYFUNCTION("""COMPUTED_VALUE"""),"https://link.springer.com/journal/11916")</f>
        <v>https://link.springer.com/journal/11916</v>
      </c>
      <c r="I520" s="1" t="str">
        <f ca="1">IFERROR(__xludf.DUMMYFUNCTION("""COMPUTED_VALUE"""),"Springer")</f>
        <v>Springer</v>
      </c>
      <c r="J520" s="1">
        <f ca="1">IFERROR(__xludf.DUMMYFUNCTION("""COMPUTED_VALUE"""),2000)</f>
        <v>2000</v>
      </c>
      <c r="K520" s="1" t="str">
        <f ca="1">IFERROR(__xludf.DUMMYFUNCTION("""COMPUTED_VALUE"""),"Medicine")</f>
        <v>Medicine</v>
      </c>
      <c r="L520" s="1"/>
      <c r="M520" s="1" t="str">
        <f ca="1">IFERROR(__xludf.DUMMYFUNCTION("""COMPUTED_VALUE"""),"〇")</f>
        <v>〇</v>
      </c>
      <c r="N520" s="1" t="str">
        <f ca="1">IFERROR(__xludf.DUMMYFUNCTION("""COMPUTED_VALUE"""),"TO8")</f>
        <v>TO8</v>
      </c>
      <c r="O520" s="1"/>
      <c r="P520" s="1"/>
    </row>
    <row r="521" spans="1:16" ht="14.25" customHeight="1" x14ac:dyDescent="0.25">
      <c r="A521" s="1"/>
      <c r="B521" s="1">
        <f ca="1"/>
        <v>509</v>
      </c>
      <c r="C521" s="1">
        <f ca="1">IFERROR(__xludf.DUMMYFUNCTION("""COMPUTED_VALUE"""),2023)</f>
        <v>2023</v>
      </c>
      <c r="D521" s="1">
        <f ca="1">IFERROR(__xludf.DUMMYFUNCTION("""COMPUTED_VALUE"""),40139)</f>
        <v>40139</v>
      </c>
      <c r="E521" s="1" t="str">
        <f ca="1">IFERROR(__xludf.DUMMYFUNCTION("""COMPUTED_VALUE"""),"Current Pathobiology Reports")</f>
        <v>Current Pathobiology Reports</v>
      </c>
      <c r="F521" s="1" t="str">
        <f ca="1">IFERROR(__xludf.DUMMYFUNCTION("""COMPUTED_VALUE"""),"2167-485X")</f>
        <v>2167-485X</v>
      </c>
      <c r="G521" s="1"/>
      <c r="H521" s="27" t="str">
        <f ca="1">IFERROR(__xludf.DUMMYFUNCTION("""COMPUTED_VALUE"""),"https://link.springer.com/journal/40139")</f>
        <v>https://link.springer.com/journal/40139</v>
      </c>
      <c r="I521" s="1" t="str">
        <f ca="1">IFERROR(__xludf.DUMMYFUNCTION("""COMPUTED_VALUE"""),"Springer")</f>
        <v>Springer</v>
      </c>
      <c r="J521" s="1">
        <f ca="1">IFERROR(__xludf.DUMMYFUNCTION("""COMPUTED_VALUE"""),2013)</f>
        <v>2013</v>
      </c>
      <c r="K521" s="1" t="str">
        <f ca="1">IFERROR(__xludf.DUMMYFUNCTION("""COMPUTED_VALUE"""),"Medicine")</f>
        <v>Medicine</v>
      </c>
      <c r="L521" s="1"/>
      <c r="M521" s="1"/>
      <c r="N521" s="1" t="str">
        <f ca="1">IFERROR(__xludf.DUMMYFUNCTION("""COMPUTED_VALUE"""),"SNS13")</f>
        <v>SNS13</v>
      </c>
      <c r="O521" s="1"/>
      <c r="P521" s="1"/>
    </row>
    <row r="522" spans="1:16" ht="14.25" customHeight="1" x14ac:dyDescent="0.25">
      <c r="A522" s="1"/>
      <c r="B522" s="1">
        <f ca="1"/>
        <v>510</v>
      </c>
      <c r="C522" s="1">
        <f ca="1">IFERROR(__xludf.DUMMYFUNCTION("""COMPUTED_VALUE"""),2023)</f>
        <v>2023</v>
      </c>
      <c r="D522" s="1">
        <f ca="1">IFERROR(__xludf.DUMMYFUNCTION("""COMPUTED_VALUE"""),40124)</f>
        <v>40124</v>
      </c>
      <c r="E522" s="1" t="str">
        <f ca="1">IFERROR(__xludf.DUMMYFUNCTION("""COMPUTED_VALUE"""),"Current Pediatrics Reports")</f>
        <v>Current Pediatrics Reports</v>
      </c>
      <c r="F522" s="1" t="str">
        <f ca="1">IFERROR(__xludf.DUMMYFUNCTION("""COMPUTED_VALUE"""),"2167-4841")</f>
        <v>2167-4841</v>
      </c>
      <c r="G522" s="1"/>
      <c r="H522" s="27" t="str">
        <f ca="1">IFERROR(__xludf.DUMMYFUNCTION("""COMPUTED_VALUE"""),"https://link.springer.com/journal/40124")</f>
        <v>https://link.springer.com/journal/40124</v>
      </c>
      <c r="I522" s="1" t="str">
        <f ca="1">IFERROR(__xludf.DUMMYFUNCTION("""COMPUTED_VALUE"""),"Springer")</f>
        <v>Springer</v>
      </c>
      <c r="J522" s="1">
        <f ca="1">IFERROR(__xludf.DUMMYFUNCTION("""COMPUTED_VALUE"""),2013)</f>
        <v>2013</v>
      </c>
      <c r="K522" s="1" t="str">
        <f ca="1">IFERROR(__xludf.DUMMYFUNCTION("""COMPUTED_VALUE"""),"Medicine")</f>
        <v>Medicine</v>
      </c>
      <c r="L522" s="1"/>
      <c r="M522" s="1"/>
      <c r="N522" s="1" t="str">
        <f ca="1">IFERROR(__xludf.DUMMYFUNCTION("""COMPUTED_VALUE"""),"SNS13")</f>
        <v>SNS13</v>
      </c>
      <c r="O522" s="1"/>
      <c r="P522" s="1"/>
    </row>
    <row r="523" spans="1:16" ht="14.25" customHeight="1" x14ac:dyDescent="0.25">
      <c r="A523" s="1"/>
      <c r="B523" s="1">
        <f ca="1"/>
        <v>511</v>
      </c>
      <c r="C523" s="1">
        <f ca="1">IFERROR(__xludf.DUMMYFUNCTION("""COMPUTED_VALUE"""),2023)</f>
        <v>2023</v>
      </c>
      <c r="D523" s="1">
        <f ca="1">IFERROR(__xludf.DUMMYFUNCTION("""COMPUTED_VALUE"""),40495)</f>
        <v>40495</v>
      </c>
      <c r="E523" s="1" t="str">
        <f ca="1">IFERROR(__xludf.DUMMYFUNCTION("""COMPUTED_VALUE"""),"Current Pharmacology Reports")</f>
        <v>Current Pharmacology Reports</v>
      </c>
      <c r="F523" s="1" t="str">
        <f ca="1">IFERROR(__xludf.DUMMYFUNCTION("""COMPUTED_VALUE"""),"2198-641X")</f>
        <v>2198-641X</v>
      </c>
      <c r="G523" s="1"/>
      <c r="H523" s="27" t="str">
        <f ca="1">IFERROR(__xludf.DUMMYFUNCTION("""COMPUTED_VALUE"""),"https://link.springer.com/journal/40495")</f>
        <v>https://link.springer.com/journal/40495</v>
      </c>
      <c r="I523" s="1" t="str">
        <f ca="1">IFERROR(__xludf.DUMMYFUNCTION("""COMPUTED_VALUE"""),"Springer")</f>
        <v>Springer</v>
      </c>
      <c r="J523" s="1">
        <f ca="1">IFERROR(__xludf.DUMMYFUNCTION("""COMPUTED_VALUE"""),2015)</f>
        <v>2015</v>
      </c>
      <c r="K523" s="1" t="str">
        <f ca="1">IFERROR(__xludf.DUMMYFUNCTION("""COMPUTED_VALUE"""),"Biomedical and Life Sciences")</f>
        <v>Biomedical and Life Sciences</v>
      </c>
      <c r="L523" s="1"/>
      <c r="M523" s="1"/>
      <c r="N523" s="1" t="str">
        <f ca="1">IFERROR(__xludf.DUMMYFUNCTION("""COMPUTED_VALUE"""),"SNS15")</f>
        <v>SNS15</v>
      </c>
      <c r="O523" s="1"/>
      <c r="P523" s="1"/>
    </row>
    <row r="524" spans="1:16" ht="14.25" customHeight="1" x14ac:dyDescent="0.25">
      <c r="A524" s="1"/>
      <c r="B524" s="1">
        <f ca="1"/>
        <v>512</v>
      </c>
      <c r="C524" s="1">
        <f ca="1">IFERROR(__xludf.DUMMYFUNCTION("""COMPUTED_VALUE"""),2023)</f>
        <v>2023</v>
      </c>
      <c r="D524" s="1">
        <f ca="1">IFERROR(__xludf.DUMMYFUNCTION("""COMPUTED_VALUE"""),40141)</f>
        <v>40141</v>
      </c>
      <c r="E524" s="1" t="str">
        <f ca="1">IFERROR(__xludf.DUMMYFUNCTION("""COMPUTED_VALUE"""),"Current Physical Medicine and Rehabilitation Reports")</f>
        <v>Current Physical Medicine and Rehabilitation Reports</v>
      </c>
      <c r="F524" s="1" t="str">
        <f ca="1">IFERROR(__xludf.DUMMYFUNCTION("""COMPUTED_VALUE"""),"2167-4833")</f>
        <v>2167-4833</v>
      </c>
      <c r="G524" s="1"/>
      <c r="H524" s="27" t="str">
        <f ca="1">IFERROR(__xludf.DUMMYFUNCTION("""COMPUTED_VALUE"""),"https://link.springer.com/journal/40141")</f>
        <v>https://link.springer.com/journal/40141</v>
      </c>
      <c r="I524" s="1" t="str">
        <f ca="1">IFERROR(__xludf.DUMMYFUNCTION("""COMPUTED_VALUE"""),"Springer")</f>
        <v>Springer</v>
      </c>
      <c r="J524" s="1">
        <f ca="1">IFERROR(__xludf.DUMMYFUNCTION("""COMPUTED_VALUE"""),2013)</f>
        <v>2013</v>
      </c>
      <c r="K524" s="1" t="str">
        <f ca="1">IFERROR(__xludf.DUMMYFUNCTION("""COMPUTED_VALUE"""),"Medicine")</f>
        <v>Medicine</v>
      </c>
      <c r="L524" s="1"/>
      <c r="M524" s="1"/>
      <c r="N524" s="1" t="str">
        <f ca="1">IFERROR(__xludf.DUMMYFUNCTION("""COMPUTED_VALUE"""),"SNS13")</f>
        <v>SNS13</v>
      </c>
      <c r="O524" s="1"/>
      <c r="P524" s="1"/>
    </row>
    <row r="525" spans="1:16" ht="14.25" customHeight="1" x14ac:dyDescent="0.25">
      <c r="A525" s="1"/>
      <c r="B525" s="1">
        <f ca="1"/>
        <v>513</v>
      </c>
      <c r="C525" s="1">
        <f ca="1">IFERROR(__xludf.DUMMYFUNCTION("""COMPUTED_VALUE"""),2023)</f>
        <v>2023</v>
      </c>
      <c r="D525" s="1">
        <f ca="1">IFERROR(__xludf.DUMMYFUNCTION("""COMPUTED_VALUE"""),40726)</f>
        <v>40726</v>
      </c>
      <c r="E525" s="1" t="str">
        <f ca="1">IFERROR(__xludf.DUMMYFUNCTION("""COMPUTED_VALUE"""),"Current Pollution Reports")</f>
        <v>Current Pollution Reports</v>
      </c>
      <c r="F525" s="1" t="str">
        <f ca="1">IFERROR(__xludf.DUMMYFUNCTION("""COMPUTED_VALUE"""),"2198-6592")</f>
        <v>2198-6592</v>
      </c>
      <c r="G525" s="1"/>
      <c r="H525" s="27" t="str">
        <f ca="1">IFERROR(__xludf.DUMMYFUNCTION("""COMPUTED_VALUE"""),"https://link.springer.com/journal/40726")</f>
        <v>https://link.springer.com/journal/40726</v>
      </c>
      <c r="I525" s="1" t="str">
        <f ca="1">IFERROR(__xludf.DUMMYFUNCTION("""COMPUTED_VALUE"""),"Springer")</f>
        <v>Springer</v>
      </c>
      <c r="J525" s="1">
        <f ca="1">IFERROR(__xludf.DUMMYFUNCTION("""COMPUTED_VALUE"""),2015)</f>
        <v>2015</v>
      </c>
      <c r="K525" s="1" t="str">
        <f ca="1">IFERROR(__xludf.DUMMYFUNCTION("""COMPUTED_VALUE"""),"Earth and Environmental Science")</f>
        <v>Earth and Environmental Science</v>
      </c>
      <c r="L525" s="1"/>
      <c r="M525" s="1"/>
      <c r="N525" s="1" t="str">
        <f ca="1">IFERROR(__xludf.DUMMYFUNCTION("""COMPUTED_VALUE"""),"SNS15")</f>
        <v>SNS15</v>
      </c>
      <c r="O525" s="1"/>
      <c r="P525" s="1"/>
    </row>
    <row r="526" spans="1:16" ht="14.25" customHeight="1" x14ac:dyDescent="0.25">
      <c r="A526" s="1"/>
      <c r="B526" s="1">
        <f ca="1"/>
        <v>514</v>
      </c>
      <c r="C526" s="1">
        <f ca="1">IFERROR(__xludf.DUMMYFUNCTION("""COMPUTED_VALUE"""),2023)</f>
        <v>2023</v>
      </c>
      <c r="D526" s="1">
        <f ca="1">IFERROR(__xludf.DUMMYFUNCTION("""COMPUTED_VALUE"""),11920)</f>
        <v>11920</v>
      </c>
      <c r="E526" s="1" t="str">
        <f ca="1">IFERROR(__xludf.DUMMYFUNCTION("""COMPUTED_VALUE"""),"Current Psychiatry Reports")</f>
        <v>Current Psychiatry Reports</v>
      </c>
      <c r="F526" s="1" t="str">
        <f ca="1">IFERROR(__xludf.DUMMYFUNCTION("""COMPUTED_VALUE"""),"1535-1645")</f>
        <v>1535-1645</v>
      </c>
      <c r="G526" s="1"/>
      <c r="H526" s="27" t="str">
        <f ca="1">IFERROR(__xludf.DUMMYFUNCTION("""COMPUTED_VALUE"""),"https://link.springer.com/journal/11920")</f>
        <v>https://link.springer.com/journal/11920</v>
      </c>
      <c r="I526" s="1" t="str">
        <f ca="1">IFERROR(__xludf.DUMMYFUNCTION("""COMPUTED_VALUE"""),"Springer")</f>
        <v>Springer</v>
      </c>
      <c r="J526" s="1">
        <f ca="1">IFERROR(__xludf.DUMMYFUNCTION("""COMPUTED_VALUE"""),2000)</f>
        <v>2000</v>
      </c>
      <c r="K526" s="1" t="str">
        <f ca="1">IFERROR(__xludf.DUMMYFUNCTION("""COMPUTED_VALUE"""),"Medicine")</f>
        <v>Medicine</v>
      </c>
      <c r="L526" s="1"/>
      <c r="M526" s="1" t="str">
        <f ca="1">IFERROR(__xludf.DUMMYFUNCTION("""COMPUTED_VALUE"""),"〇")</f>
        <v>〇</v>
      </c>
      <c r="N526" s="1" t="str">
        <f ca="1">IFERROR(__xludf.DUMMYFUNCTION("""COMPUTED_VALUE"""),"TO8")</f>
        <v>TO8</v>
      </c>
      <c r="O526" s="1"/>
      <c r="P526" s="1"/>
    </row>
    <row r="527" spans="1:16" ht="14.25" customHeight="1" x14ac:dyDescent="0.25">
      <c r="A527" s="1"/>
      <c r="B527" s="1">
        <f ca="1"/>
        <v>515</v>
      </c>
      <c r="C527" s="1">
        <f ca="1">IFERROR(__xludf.DUMMYFUNCTION("""COMPUTED_VALUE"""),2023)</f>
        <v>2023</v>
      </c>
      <c r="D527" s="1">
        <f ca="1">IFERROR(__xludf.DUMMYFUNCTION("""COMPUTED_VALUE"""),12144)</f>
        <v>12144</v>
      </c>
      <c r="E527" s="1" t="str">
        <f ca="1">IFERROR(__xludf.DUMMYFUNCTION("""COMPUTED_VALUE"""),"Current Psychology")</f>
        <v>Current Psychology</v>
      </c>
      <c r="F527" s="1" t="str">
        <f ca="1">IFERROR(__xludf.DUMMYFUNCTION("""COMPUTED_VALUE"""),"1936-4733")</f>
        <v>1936-4733</v>
      </c>
      <c r="G527" s="1" t="str">
        <f ca="1">IFERROR(__xludf.DUMMYFUNCTION("""COMPUTED_VALUE"""),"1046-1310")</f>
        <v>1046-1310</v>
      </c>
      <c r="H527" s="27" t="str">
        <f ca="1">IFERROR(__xludf.DUMMYFUNCTION("""COMPUTED_VALUE"""),"https://link.springer.com/journal/12144")</f>
        <v>https://link.springer.com/journal/12144</v>
      </c>
      <c r="I527" s="1" t="str">
        <f ca="1">IFERROR(__xludf.DUMMYFUNCTION("""COMPUTED_VALUE"""),"Springer Nature")</f>
        <v>Springer Nature</v>
      </c>
      <c r="J527" s="1">
        <f ca="1">IFERROR(__xludf.DUMMYFUNCTION("""COMPUTED_VALUE"""),2000)</f>
        <v>2000</v>
      </c>
      <c r="K527" s="1" t="str">
        <f ca="1">IFERROR(__xludf.DUMMYFUNCTION("""COMPUTED_VALUE"""),"Behavioral Science and Psychology")</f>
        <v>Behavioral Science and Psychology</v>
      </c>
      <c r="L527" s="1" t="str">
        <f ca="1">IFERROR(__xludf.DUMMYFUNCTION("""COMPUTED_VALUE"""),"〇")</f>
        <v>〇</v>
      </c>
      <c r="M527" s="1" t="str">
        <f ca="1">IFERROR(__xludf.DUMMYFUNCTION("""COMPUTED_VALUE"""),"〇")</f>
        <v>〇</v>
      </c>
      <c r="N527" s="1" t="str">
        <f ca="1">IFERROR(__xludf.DUMMYFUNCTION("""COMPUTED_VALUE"""),"TO7")</f>
        <v>TO7</v>
      </c>
      <c r="O527" s="1"/>
      <c r="P527" s="1"/>
    </row>
    <row r="528" spans="1:16" ht="14.25" customHeight="1" x14ac:dyDescent="0.25">
      <c r="A528" s="1"/>
      <c r="B528" s="1">
        <f ca="1"/>
        <v>516</v>
      </c>
      <c r="C528" s="1">
        <f ca="1">IFERROR(__xludf.DUMMYFUNCTION("""COMPUTED_VALUE"""),2023)</f>
        <v>2023</v>
      </c>
      <c r="D528" s="1">
        <f ca="1">IFERROR(__xludf.DUMMYFUNCTION("""COMPUTED_VALUE"""),13665)</f>
        <v>13665</v>
      </c>
      <c r="E528" s="1" t="str">
        <f ca="1">IFERROR(__xludf.DUMMYFUNCTION("""COMPUTED_VALUE"""),"Current Pulmonology Reports")</f>
        <v>Current Pulmonology Reports</v>
      </c>
      <c r="F528" s="1" t="str">
        <f ca="1">IFERROR(__xludf.DUMMYFUNCTION("""COMPUTED_VALUE"""),"2199-2428")</f>
        <v>2199-2428</v>
      </c>
      <c r="G528" s="1"/>
      <c r="H528" s="27" t="str">
        <f ca="1">IFERROR(__xludf.DUMMYFUNCTION("""COMPUTED_VALUE"""),"https://link.springer.com/journal/13665")</f>
        <v>https://link.springer.com/journal/13665</v>
      </c>
      <c r="I528" s="1" t="str">
        <f ca="1">IFERROR(__xludf.DUMMYFUNCTION("""COMPUTED_VALUE"""),"Springer")</f>
        <v>Springer</v>
      </c>
      <c r="J528" s="1">
        <f ca="1">IFERROR(__xludf.DUMMYFUNCTION("""COMPUTED_VALUE"""),2012)</f>
        <v>2012</v>
      </c>
      <c r="K528" s="1" t="str">
        <f ca="1">IFERROR(__xludf.DUMMYFUNCTION("""COMPUTED_VALUE"""),"Medicine")</f>
        <v>Medicine</v>
      </c>
      <c r="L528" s="1"/>
      <c r="M528" s="1"/>
      <c r="N528" s="1" t="str">
        <f ca="1">IFERROR(__xludf.DUMMYFUNCTION("""COMPUTED_VALUE"""),"SNS12")</f>
        <v>SNS12</v>
      </c>
      <c r="O528" s="1"/>
      <c r="P528" s="1"/>
    </row>
    <row r="529" spans="1:16" ht="14.25" customHeight="1" x14ac:dyDescent="0.25">
      <c r="A529" s="1"/>
      <c r="B529" s="1">
        <f ca="1"/>
        <v>517</v>
      </c>
      <c r="C529" s="1">
        <f ca="1">IFERROR(__xludf.DUMMYFUNCTION("""COMPUTED_VALUE"""),2023)</f>
        <v>2023</v>
      </c>
      <c r="D529" s="1">
        <f ca="1">IFERROR(__xludf.DUMMYFUNCTION("""COMPUTED_VALUE"""),40134)</f>
        <v>40134</v>
      </c>
      <c r="E529" s="1" t="str">
        <f ca="1">IFERROR(__xludf.DUMMYFUNCTION("""COMPUTED_VALUE"""),"Current Radiology Reports")</f>
        <v>Current Radiology Reports</v>
      </c>
      <c r="F529" s="1" t="str">
        <f ca="1">IFERROR(__xludf.DUMMYFUNCTION("""COMPUTED_VALUE"""),"2167-4825")</f>
        <v>2167-4825</v>
      </c>
      <c r="G529" s="1"/>
      <c r="H529" s="27" t="str">
        <f ca="1">IFERROR(__xludf.DUMMYFUNCTION("""COMPUTED_VALUE"""),"https://link.springer.com/journal/40134")</f>
        <v>https://link.springer.com/journal/40134</v>
      </c>
      <c r="I529" s="1" t="str">
        <f ca="1">IFERROR(__xludf.DUMMYFUNCTION("""COMPUTED_VALUE"""),"Springer")</f>
        <v>Springer</v>
      </c>
      <c r="J529" s="1">
        <f ca="1">IFERROR(__xludf.DUMMYFUNCTION("""COMPUTED_VALUE"""),2013)</f>
        <v>2013</v>
      </c>
      <c r="K529" s="1" t="str">
        <f ca="1">IFERROR(__xludf.DUMMYFUNCTION("""COMPUTED_VALUE"""),"Medicine")</f>
        <v>Medicine</v>
      </c>
      <c r="L529" s="1"/>
      <c r="M529" s="1"/>
      <c r="N529" s="1" t="str">
        <f ca="1">IFERROR(__xludf.DUMMYFUNCTION("""COMPUTED_VALUE"""),"SNS13")</f>
        <v>SNS13</v>
      </c>
      <c r="O529" s="1"/>
      <c r="P529" s="1"/>
    </row>
    <row r="530" spans="1:16" ht="14.25" customHeight="1" x14ac:dyDescent="0.25">
      <c r="A530" s="1"/>
      <c r="B530" s="1">
        <f ca="1"/>
        <v>518</v>
      </c>
      <c r="C530" s="1">
        <f ca="1">IFERROR(__xludf.DUMMYFUNCTION("""COMPUTED_VALUE"""),2023)</f>
        <v>2023</v>
      </c>
      <c r="D530" s="1">
        <f ca="1">IFERROR(__xludf.DUMMYFUNCTION("""COMPUTED_VALUE"""),12178)</f>
        <v>12178</v>
      </c>
      <c r="E530" s="1" t="str">
        <f ca="1">IFERROR(__xludf.DUMMYFUNCTION("""COMPUTED_VALUE"""),"Current Reviews in Musculoskeletal Medicine")</f>
        <v>Current Reviews in Musculoskeletal Medicine</v>
      </c>
      <c r="F530" s="1" t="str">
        <f ca="1">IFERROR(__xludf.DUMMYFUNCTION("""COMPUTED_VALUE"""),"1935-9748")</f>
        <v>1935-9748</v>
      </c>
      <c r="G530" s="1"/>
      <c r="H530" s="27" t="str">
        <f ca="1">IFERROR(__xludf.DUMMYFUNCTION("""COMPUTED_VALUE"""),"https://link.springer.com/journal/12178")</f>
        <v>https://link.springer.com/journal/12178</v>
      </c>
      <c r="I530" s="1" t="str">
        <f ca="1">IFERROR(__xludf.DUMMYFUNCTION("""COMPUTED_VALUE"""),"Springer")</f>
        <v>Springer</v>
      </c>
      <c r="J530" s="1">
        <f ca="1">IFERROR(__xludf.DUMMYFUNCTION("""COMPUTED_VALUE"""),2008)</f>
        <v>2008</v>
      </c>
      <c r="K530" s="1" t="str">
        <f ca="1">IFERROR(__xludf.DUMMYFUNCTION("""COMPUTED_VALUE"""),"Medicine")</f>
        <v>Medicine</v>
      </c>
      <c r="L530" s="1"/>
      <c r="M530" s="1" t="str">
        <f ca="1">IFERROR(__xludf.DUMMYFUNCTION("""COMPUTED_VALUE"""),"〇")</f>
        <v>〇</v>
      </c>
      <c r="N530" s="1"/>
      <c r="O530" s="1"/>
      <c r="P530" s="1"/>
    </row>
    <row r="531" spans="1:16" ht="14.25" customHeight="1" x14ac:dyDescent="0.25">
      <c r="A531" s="1"/>
      <c r="B531" s="1">
        <f ca="1"/>
        <v>519</v>
      </c>
      <c r="C531" s="1">
        <f ca="1">IFERROR(__xludf.DUMMYFUNCTION("""COMPUTED_VALUE"""),2023)</f>
        <v>2023</v>
      </c>
      <c r="D531" s="1">
        <f ca="1">IFERROR(__xludf.DUMMYFUNCTION("""COMPUTED_VALUE"""),11926)</f>
        <v>11926</v>
      </c>
      <c r="E531" s="1" t="str">
        <f ca="1">IFERROR(__xludf.DUMMYFUNCTION("""COMPUTED_VALUE"""),"Current Rheumatology Reports")</f>
        <v>Current Rheumatology Reports</v>
      </c>
      <c r="F531" s="1" t="str">
        <f ca="1">IFERROR(__xludf.DUMMYFUNCTION("""COMPUTED_VALUE"""),"1534-6307")</f>
        <v>1534-6307</v>
      </c>
      <c r="G531" s="1"/>
      <c r="H531" s="27" t="str">
        <f ca="1">IFERROR(__xludf.DUMMYFUNCTION("""COMPUTED_VALUE"""),"https://link.springer.com/journal/11926")</f>
        <v>https://link.springer.com/journal/11926</v>
      </c>
      <c r="I531" s="1" t="str">
        <f ca="1">IFERROR(__xludf.DUMMYFUNCTION("""COMPUTED_VALUE"""),"Springer")</f>
        <v>Springer</v>
      </c>
      <c r="J531" s="1">
        <f ca="1">IFERROR(__xludf.DUMMYFUNCTION("""COMPUTED_VALUE"""),2000)</f>
        <v>2000</v>
      </c>
      <c r="K531" s="1" t="str">
        <f ca="1">IFERROR(__xludf.DUMMYFUNCTION("""COMPUTED_VALUE"""),"Medicine")</f>
        <v>Medicine</v>
      </c>
      <c r="L531" s="1"/>
      <c r="M531" s="1" t="str">
        <f ca="1">IFERROR(__xludf.DUMMYFUNCTION("""COMPUTED_VALUE"""),"〇")</f>
        <v>〇</v>
      </c>
      <c r="N531" s="1" t="str">
        <f ca="1">IFERROR(__xludf.DUMMYFUNCTION("""COMPUTED_VALUE"""),"TO8")</f>
        <v>TO8</v>
      </c>
      <c r="O531" s="1"/>
      <c r="P531" s="1"/>
    </row>
    <row r="532" spans="1:16" ht="14.25" customHeight="1" x14ac:dyDescent="0.25">
      <c r="A532" s="1"/>
      <c r="B532" s="1">
        <f ca="1"/>
        <v>520</v>
      </c>
      <c r="C532" s="1">
        <f ca="1">IFERROR(__xludf.DUMMYFUNCTION("""COMPUTED_VALUE"""),2023)</f>
        <v>2023</v>
      </c>
      <c r="D532" s="1">
        <f ca="1">IFERROR(__xludf.DUMMYFUNCTION("""COMPUTED_VALUE"""),43154)</f>
        <v>43154</v>
      </c>
      <c r="E532" s="1" t="str">
        <f ca="1">IFERROR(__xludf.DUMMYFUNCTION("""COMPUTED_VALUE"""),"Current Robotics Reports")</f>
        <v>Current Robotics Reports</v>
      </c>
      <c r="F532" s="1" t="str">
        <f ca="1">IFERROR(__xludf.DUMMYFUNCTION("""COMPUTED_VALUE"""),"2662-4087")</f>
        <v>2662-4087</v>
      </c>
      <c r="G532" s="1"/>
      <c r="H532" s="27" t="str">
        <f ca="1">IFERROR(__xludf.DUMMYFUNCTION("""COMPUTED_VALUE"""),"https://link.springer.com/journal/43154")</f>
        <v>https://link.springer.com/journal/43154</v>
      </c>
      <c r="I532" s="1" t="str">
        <f ca="1">IFERROR(__xludf.DUMMYFUNCTION("""COMPUTED_VALUE"""),"Springer")</f>
        <v>Springer</v>
      </c>
      <c r="J532" s="1">
        <f ca="1">IFERROR(__xludf.DUMMYFUNCTION("""COMPUTED_VALUE"""),2020)</f>
        <v>2020</v>
      </c>
      <c r="K532" s="1" t="str">
        <f ca="1">IFERROR(__xludf.DUMMYFUNCTION("""COMPUTED_VALUE"""),"Engineering")</f>
        <v>Engineering</v>
      </c>
      <c r="L532" s="1"/>
      <c r="M532" s="1"/>
      <c r="N532" s="1" t="str">
        <f ca="1">IFERROR(__xludf.DUMMYFUNCTION("""COMPUTED_VALUE"""),"SNS20")</f>
        <v>SNS20</v>
      </c>
      <c r="O532" s="1"/>
      <c r="P532" s="1"/>
    </row>
    <row r="533" spans="1:16" ht="14.25" customHeight="1" x14ac:dyDescent="0.25">
      <c r="A533" s="1"/>
      <c r="B533" s="1">
        <f ca="1"/>
        <v>521</v>
      </c>
      <c r="C533" s="1">
        <f ca="1">IFERROR(__xludf.DUMMYFUNCTION("""COMPUTED_VALUE"""),2023)</f>
        <v>2023</v>
      </c>
      <c r="D533" s="1">
        <f ca="1">IFERROR(__xludf.DUMMYFUNCTION("""COMPUTED_VALUE"""),11930)</f>
        <v>11930</v>
      </c>
      <c r="E533" s="1" t="str">
        <f ca="1">IFERROR(__xludf.DUMMYFUNCTION("""COMPUTED_VALUE"""),"Current Sexual Health Reports")</f>
        <v>Current Sexual Health Reports</v>
      </c>
      <c r="F533" s="1" t="str">
        <f ca="1">IFERROR(__xludf.DUMMYFUNCTION("""COMPUTED_VALUE"""),"1548-3592")</f>
        <v>1548-3592</v>
      </c>
      <c r="G533" s="1"/>
      <c r="H533" s="27" t="str">
        <f ca="1">IFERROR(__xludf.DUMMYFUNCTION("""COMPUTED_VALUE"""),"https://link.springer.com/journal/11930")</f>
        <v>https://link.springer.com/journal/11930</v>
      </c>
      <c r="I533" s="1" t="str">
        <f ca="1">IFERROR(__xludf.DUMMYFUNCTION("""COMPUTED_VALUE"""),"Springer")</f>
        <v>Springer</v>
      </c>
      <c r="J533" s="1">
        <f ca="1">IFERROR(__xludf.DUMMYFUNCTION("""COMPUTED_VALUE"""),2004)</f>
        <v>2004</v>
      </c>
      <c r="K533" s="1" t="str">
        <f ca="1">IFERROR(__xludf.DUMMYFUNCTION("""COMPUTED_VALUE"""),"Medicine")</f>
        <v>Medicine</v>
      </c>
      <c r="L533" s="1"/>
      <c r="M533" s="1"/>
      <c r="N533" s="1"/>
      <c r="O533" s="1"/>
      <c r="P533" s="1"/>
    </row>
    <row r="534" spans="1:16" ht="14.25" customHeight="1" x14ac:dyDescent="0.25">
      <c r="A534" s="1"/>
      <c r="B534" s="1">
        <f ca="1"/>
        <v>522</v>
      </c>
      <c r="C534" s="1">
        <f ca="1">IFERROR(__xludf.DUMMYFUNCTION("""COMPUTED_VALUE"""),2023)</f>
        <v>2023</v>
      </c>
      <c r="D534" s="1">
        <f ca="1">IFERROR(__xludf.DUMMYFUNCTION("""COMPUTED_VALUE"""),40675)</f>
        <v>40675</v>
      </c>
      <c r="E534" s="1" t="str">
        <f ca="1">IFERROR(__xludf.DUMMYFUNCTION("""COMPUTED_VALUE"""),"Current Sleep Medicine Reports")</f>
        <v>Current Sleep Medicine Reports</v>
      </c>
      <c r="F534" s="1" t="str">
        <f ca="1">IFERROR(__xludf.DUMMYFUNCTION("""COMPUTED_VALUE"""),"2198-6401")</f>
        <v>2198-6401</v>
      </c>
      <c r="G534" s="1"/>
      <c r="H534" s="27" t="str">
        <f ca="1">IFERROR(__xludf.DUMMYFUNCTION("""COMPUTED_VALUE"""),"https://link.springer.com/journal/40675")</f>
        <v>https://link.springer.com/journal/40675</v>
      </c>
      <c r="I534" s="1" t="str">
        <f ca="1">IFERROR(__xludf.DUMMYFUNCTION("""COMPUTED_VALUE"""),"Springer")</f>
        <v>Springer</v>
      </c>
      <c r="J534" s="1">
        <f ca="1">IFERROR(__xludf.DUMMYFUNCTION("""COMPUTED_VALUE"""),2015)</f>
        <v>2015</v>
      </c>
      <c r="K534" s="1" t="str">
        <f ca="1">IFERROR(__xludf.DUMMYFUNCTION("""COMPUTED_VALUE"""),"Medicine")</f>
        <v>Medicine</v>
      </c>
      <c r="L534" s="1"/>
      <c r="M534" s="1"/>
      <c r="N534" s="1" t="str">
        <f ca="1">IFERROR(__xludf.DUMMYFUNCTION("""COMPUTED_VALUE"""),"SNS15")</f>
        <v>SNS15</v>
      </c>
      <c r="O534" s="1"/>
      <c r="P534" s="1"/>
    </row>
    <row r="535" spans="1:16" ht="14.25" customHeight="1" x14ac:dyDescent="0.25">
      <c r="A535" s="1"/>
      <c r="B535" s="1">
        <f ca="1"/>
        <v>523</v>
      </c>
      <c r="C535" s="1">
        <f ca="1">IFERROR(__xludf.DUMMYFUNCTION("""COMPUTED_VALUE"""),2023)</f>
        <v>2023</v>
      </c>
      <c r="D535" s="1">
        <f ca="1">IFERROR(__xludf.DUMMYFUNCTION("""COMPUTED_VALUE"""),40778)</f>
        <v>40778</v>
      </c>
      <c r="E535" s="1" t="str">
        <f ca="1">IFERROR(__xludf.DUMMYFUNCTION("""COMPUTED_VALUE"""),"Current Stem Cell Reports")</f>
        <v>Current Stem Cell Reports</v>
      </c>
      <c r="F535" s="1" t="str">
        <f ca="1">IFERROR(__xludf.DUMMYFUNCTION("""COMPUTED_VALUE"""),"2198-7866")</f>
        <v>2198-7866</v>
      </c>
      <c r="G535" s="1"/>
      <c r="H535" s="27" t="str">
        <f ca="1">IFERROR(__xludf.DUMMYFUNCTION("""COMPUTED_VALUE"""),"https://link.springer.com/journal/40778")</f>
        <v>https://link.springer.com/journal/40778</v>
      </c>
      <c r="I535" s="1" t="str">
        <f ca="1">IFERROR(__xludf.DUMMYFUNCTION("""COMPUTED_VALUE"""),"Springer")</f>
        <v>Springer</v>
      </c>
      <c r="J535" s="1">
        <f ca="1">IFERROR(__xludf.DUMMYFUNCTION("""COMPUTED_VALUE"""),2015)</f>
        <v>2015</v>
      </c>
      <c r="K535" s="1" t="str">
        <f ca="1">IFERROR(__xludf.DUMMYFUNCTION("""COMPUTED_VALUE"""),"Biomedical and Life Sciences")</f>
        <v>Biomedical and Life Sciences</v>
      </c>
      <c r="L535" s="1"/>
      <c r="M535" s="1"/>
      <c r="N535" s="1" t="str">
        <f ca="1">IFERROR(__xludf.DUMMYFUNCTION("""COMPUTED_VALUE"""),"SNS15")</f>
        <v>SNS15</v>
      </c>
      <c r="O535" s="1"/>
      <c r="P535" s="1"/>
    </row>
    <row r="536" spans="1:16" ht="14.25" customHeight="1" x14ac:dyDescent="0.25">
      <c r="A536" s="1"/>
      <c r="B536" s="1">
        <f ca="1"/>
        <v>524</v>
      </c>
      <c r="C536" s="1">
        <f ca="1">IFERROR(__xludf.DUMMYFUNCTION("""COMPUTED_VALUE"""),2023)</f>
        <v>2023</v>
      </c>
      <c r="D536" s="1">
        <f ca="1">IFERROR(__xludf.DUMMYFUNCTION("""COMPUTED_VALUE"""),40137)</f>
        <v>40137</v>
      </c>
      <c r="E536" s="1" t="str">
        <f ca="1">IFERROR(__xludf.DUMMYFUNCTION("""COMPUTED_VALUE"""),"Current Surgery Reports")</f>
        <v>Current Surgery Reports</v>
      </c>
      <c r="F536" s="1" t="str">
        <f ca="1">IFERROR(__xludf.DUMMYFUNCTION("""COMPUTED_VALUE"""),"2167-4817")</f>
        <v>2167-4817</v>
      </c>
      <c r="G536" s="1"/>
      <c r="H536" s="27" t="str">
        <f ca="1">IFERROR(__xludf.DUMMYFUNCTION("""COMPUTED_VALUE"""),"https://link.springer.com/journal/40137")</f>
        <v>https://link.springer.com/journal/40137</v>
      </c>
      <c r="I536" s="1" t="str">
        <f ca="1">IFERROR(__xludf.DUMMYFUNCTION("""COMPUTED_VALUE"""),"Springer")</f>
        <v>Springer</v>
      </c>
      <c r="J536" s="1">
        <f ca="1">IFERROR(__xludf.DUMMYFUNCTION("""COMPUTED_VALUE"""),2013)</f>
        <v>2013</v>
      </c>
      <c r="K536" s="1" t="str">
        <f ca="1">IFERROR(__xludf.DUMMYFUNCTION("""COMPUTED_VALUE"""),"Medicine")</f>
        <v>Medicine</v>
      </c>
      <c r="L536" s="1"/>
      <c r="M536" s="1"/>
      <c r="N536" s="1" t="str">
        <f ca="1">IFERROR(__xludf.DUMMYFUNCTION("""COMPUTED_VALUE"""),"SNS13")</f>
        <v>SNS13</v>
      </c>
      <c r="O536" s="1"/>
      <c r="P536" s="1"/>
    </row>
    <row r="537" spans="1:16" ht="14.25" customHeight="1" x14ac:dyDescent="0.25">
      <c r="A537" s="1"/>
      <c r="B537" s="1">
        <f ca="1"/>
        <v>525</v>
      </c>
      <c r="C537" s="1">
        <f ca="1">IFERROR(__xludf.DUMMYFUNCTION("""COMPUTED_VALUE"""),2023)</f>
        <v>2023</v>
      </c>
      <c r="D537" s="1">
        <f ca="1">IFERROR(__xludf.DUMMYFUNCTION("""COMPUTED_VALUE"""),40518)</f>
        <v>40518</v>
      </c>
      <c r="E537" s="1" t="str">
        <f ca="1">IFERROR(__xludf.DUMMYFUNCTION("""COMPUTED_VALUE"""),"Current Sustainable/Renewable Energy Reports")</f>
        <v>Current Sustainable/Renewable Energy Reports</v>
      </c>
      <c r="F537" s="1" t="str">
        <f ca="1">IFERROR(__xludf.DUMMYFUNCTION("""COMPUTED_VALUE"""),"2196-3010")</f>
        <v>2196-3010</v>
      </c>
      <c r="G537" s="1"/>
      <c r="H537" s="27" t="str">
        <f ca="1">IFERROR(__xludf.DUMMYFUNCTION("""COMPUTED_VALUE"""),"https://link.springer.com/journal/40518")</f>
        <v>https://link.springer.com/journal/40518</v>
      </c>
      <c r="I537" s="1" t="str">
        <f ca="1">IFERROR(__xludf.DUMMYFUNCTION("""COMPUTED_VALUE"""),"Springer")</f>
        <v>Springer</v>
      </c>
      <c r="J537" s="1">
        <f ca="1">IFERROR(__xludf.DUMMYFUNCTION("""COMPUTED_VALUE"""),2014)</f>
        <v>2014</v>
      </c>
      <c r="K537" s="1" t="str">
        <f ca="1">IFERROR(__xludf.DUMMYFUNCTION("""COMPUTED_VALUE"""),"Energy")</f>
        <v>Energy</v>
      </c>
      <c r="L537" s="1"/>
      <c r="M537" s="1"/>
      <c r="N537" s="1" t="str">
        <f ca="1">IFERROR(__xludf.DUMMYFUNCTION("""COMPUTED_VALUE"""),"SNS14")</f>
        <v>SNS14</v>
      </c>
      <c r="O537" s="1"/>
      <c r="P537" s="1"/>
    </row>
    <row r="538" spans="1:16" ht="14.25" customHeight="1" x14ac:dyDescent="0.25">
      <c r="A538" s="1"/>
      <c r="B538" s="1">
        <f ca="1"/>
        <v>526</v>
      </c>
      <c r="C538" s="1">
        <f ca="1">IFERROR(__xludf.DUMMYFUNCTION("""COMPUTED_VALUE"""),2023)</f>
        <v>2023</v>
      </c>
      <c r="D538" s="1">
        <f ca="1">IFERROR(__xludf.DUMMYFUNCTION("""COMPUTED_VALUE"""),43152)</f>
        <v>43152</v>
      </c>
      <c r="E538" s="1" t="str">
        <f ca="1">IFERROR(__xludf.DUMMYFUNCTION("""COMPUTED_VALUE"""),"Current Tissue Microenvironment Reports")</f>
        <v>Current Tissue Microenvironment Reports</v>
      </c>
      <c r="F538" s="1" t="str">
        <f ca="1">IFERROR(__xludf.DUMMYFUNCTION("""COMPUTED_VALUE"""),"2662-4079")</f>
        <v>2662-4079</v>
      </c>
      <c r="G538" s="1"/>
      <c r="H538" s="27" t="str">
        <f ca="1">IFERROR(__xludf.DUMMYFUNCTION("""COMPUTED_VALUE"""),"https://link.springer.com/journal/43152")</f>
        <v>https://link.springer.com/journal/43152</v>
      </c>
      <c r="I538" s="1" t="str">
        <f ca="1">IFERROR(__xludf.DUMMYFUNCTION("""COMPUTED_VALUE"""),"Springer")</f>
        <v>Springer</v>
      </c>
      <c r="J538" s="1">
        <f ca="1">IFERROR(__xludf.DUMMYFUNCTION("""COMPUTED_VALUE"""),2020)</f>
        <v>2020</v>
      </c>
      <c r="K538" s="1" t="str">
        <f ca="1">IFERROR(__xludf.DUMMYFUNCTION("""COMPUTED_VALUE"""),"Biomedical and Life Sciences")</f>
        <v>Biomedical and Life Sciences</v>
      </c>
      <c r="L538" s="1"/>
      <c r="M538" s="1"/>
      <c r="N538" s="1" t="str">
        <f ca="1">IFERROR(__xludf.DUMMYFUNCTION("""COMPUTED_VALUE"""),"SNS20")</f>
        <v>SNS20</v>
      </c>
      <c r="O538" s="1"/>
      <c r="P538" s="1"/>
    </row>
    <row r="539" spans="1:16" ht="14.25" customHeight="1" x14ac:dyDescent="0.25">
      <c r="A539" s="1"/>
      <c r="B539" s="1">
        <f ca="1"/>
        <v>527</v>
      </c>
      <c r="C539" s="1">
        <f ca="1">IFERROR(__xludf.DUMMYFUNCTION("""COMPUTED_VALUE"""),2023)</f>
        <v>2023</v>
      </c>
      <c r="D539" s="1">
        <f ca="1">IFERROR(__xludf.DUMMYFUNCTION("""COMPUTED_VALUE"""),40472)</f>
        <v>40472</v>
      </c>
      <c r="E539" s="1" t="str">
        <f ca="1">IFERROR(__xludf.DUMMYFUNCTION("""COMPUTED_VALUE"""),"Current Transplantation Reports")</f>
        <v>Current Transplantation Reports</v>
      </c>
      <c r="F539" s="1" t="str">
        <f ca="1">IFERROR(__xludf.DUMMYFUNCTION("""COMPUTED_VALUE"""),"2196-3029")</f>
        <v>2196-3029</v>
      </c>
      <c r="G539" s="1"/>
      <c r="H539" s="27" t="str">
        <f ca="1">IFERROR(__xludf.DUMMYFUNCTION("""COMPUTED_VALUE"""),"https://link.springer.com/journal/40472")</f>
        <v>https://link.springer.com/journal/40472</v>
      </c>
      <c r="I539" s="1" t="str">
        <f ca="1">IFERROR(__xludf.DUMMYFUNCTION("""COMPUTED_VALUE"""),"Springer")</f>
        <v>Springer</v>
      </c>
      <c r="J539" s="1">
        <f ca="1">IFERROR(__xludf.DUMMYFUNCTION("""COMPUTED_VALUE"""),2014)</f>
        <v>2014</v>
      </c>
      <c r="K539" s="1" t="str">
        <f ca="1">IFERROR(__xludf.DUMMYFUNCTION("""COMPUTED_VALUE"""),"Medicine")</f>
        <v>Medicine</v>
      </c>
      <c r="L539" s="1"/>
      <c r="M539" s="1"/>
      <c r="N539" s="1" t="str">
        <f ca="1">IFERROR(__xludf.DUMMYFUNCTION("""COMPUTED_VALUE"""),"SNS14")</f>
        <v>SNS14</v>
      </c>
      <c r="O539" s="1"/>
      <c r="P539" s="1"/>
    </row>
    <row r="540" spans="1:16" ht="14.25" customHeight="1" x14ac:dyDescent="0.25">
      <c r="A540" s="1"/>
      <c r="B540" s="1">
        <f ca="1"/>
        <v>528</v>
      </c>
      <c r="C540" s="1">
        <f ca="1">IFERROR(__xludf.DUMMYFUNCTION("""COMPUTED_VALUE"""),2023)</f>
        <v>2023</v>
      </c>
      <c r="D540" s="1">
        <f ca="1">IFERROR(__xludf.DUMMYFUNCTION("""COMPUTED_VALUE"""),40719)</f>
        <v>40719</v>
      </c>
      <c r="E540" s="1" t="str">
        <f ca="1">IFERROR(__xludf.DUMMYFUNCTION("""COMPUTED_VALUE"""),"Current Trauma Reports")</f>
        <v>Current Trauma Reports</v>
      </c>
      <c r="F540" s="1" t="str">
        <f ca="1">IFERROR(__xludf.DUMMYFUNCTION("""COMPUTED_VALUE"""),"2198-6096")</f>
        <v>2198-6096</v>
      </c>
      <c r="G540" s="1"/>
      <c r="H540" s="27" t="str">
        <f ca="1">IFERROR(__xludf.DUMMYFUNCTION("""COMPUTED_VALUE"""),"https://link.springer.com/journal/40719")</f>
        <v>https://link.springer.com/journal/40719</v>
      </c>
      <c r="I540" s="1" t="str">
        <f ca="1">IFERROR(__xludf.DUMMYFUNCTION("""COMPUTED_VALUE"""),"Springer")</f>
        <v>Springer</v>
      </c>
      <c r="J540" s="1">
        <f ca="1">IFERROR(__xludf.DUMMYFUNCTION("""COMPUTED_VALUE"""),2015)</f>
        <v>2015</v>
      </c>
      <c r="K540" s="1" t="str">
        <f ca="1">IFERROR(__xludf.DUMMYFUNCTION("""COMPUTED_VALUE"""),"Medicine")</f>
        <v>Medicine</v>
      </c>
      <c r="L540" s="1"/>
      <c r="M540" s="1"/>
      <c r="N540" s="1" t="str">
        <f ca="1">IFERROR(__xludf.DUMMYFUNCTION("""COMPUTED_VALUE"""),"SNS15")</f>
        <v>SNS15</v>
      </c>
      <c r="O540" s="1"/>
      <c r="P540" s="1"/>
    </row>
    <row r="541" spans="1:16" ht="14.25" customHeight="1" x14ac:dyDescent="0.25">
      <c r="A541" s="1"/>
      <c r="B541" s="1">
        <f ca="1"/>
        <v>529</v>
      </c>
      <c r="C541" s="1">
        <f ca="1">IFERROR(__xludf.DUMMYFUNCTION("""COMPUTED_VALUE"""),2023)</f>
        <v>2023</v>
      </c>
      <c r="D541" s="1">
        <f ca="1">IFERROR(__xludf.DUMMYFUNCTION("""COMPUTED_VALUE"""),40521)</f>
        <v>40521</v>
      </c>
      <c r="E541" s="1" t="str">
        <f ca="1">IFERROR(__xludf.DUMMYFUNCTION("""COMPUTED_VALUE"""),"Current Treatment Options in Allergy")</f>
        <v>Current Treatment Options in Allergy</v>
      </c>
      <c r="F541" s="1" t="str">
        <f ca="1">IFERROR(__xludf.DUMMYFUNCTION("""COMPUTED_VALUE"""),"2196-3053")</f>
        <v>2196-3053</v>
      </c>
      <c r="G541" s="1"/>
      <c r="H541" s="27" t="str">
        <f ca="1">IFERROR(__xludf.DUMMYFUNCTION("""COMPUTED_VALUE"""),"https://link.springer.com/journal/40521")</f>
        <v>https://link.springer.com/journal/40521</v>
      </c>
      <c r="I541" s="1" t="str">
        <f ca="1">IFERROR(__xludf.DUMMYFUNCTION("""COMPUTED_VALUE"""),"Springer")</f>
        <v>Springer</v>
      </c>
      <c r="J541" s="1">
        <f ca="1">IFERROR(__xludf.DUMMYFUNCTION("""COMPUTED_VALUE"""),2014)</f>
        <v>2014</v>
      </c>
      <c r="K541" s="1" t="str">
        <f ca="1">IFERROR(__xludf.DUMMYFUNCTION("""COMPUTED_VALUE"""),"Medicine")</f>
        <v>Medicine</v>
      </c>
      <c r="L541" s="1"/>
      <c r="M541" s="1"/>
      <c r="N541" s="1" t="str">
        <f ca="1">IFERROR(__xludf.DUMMYFUNCTION("""COMPUTED_VALUE"""),"SNS14")</f>
        <v>SNS14</v>
      </c>
      <c r="O541" s="1"/>
      <c r="P541" s="1"/>
    </row>
    <row r="542" spans="1:16" ht="14.25" customHeight="1" x14ac:dyDescent="0.25">
      <c r="A542" s="1"/>
      <c r="B542" s="1">
        <f ca="1"/>
        <v>530</v>
      </c>
      <c r="C542" s="1">
        <f ca="1">IFERROR(__xludf.DUMMYFUNCTION("""COMPUTED_VALUE"""),2023)</f>
        <v>2023</v>
      </c>
      <c r="D542" s="1">
        <f ca="1">IFERROR(__xludf.DUMMYFUNCTION("""COMPUTED_VALUE"""),11936)</f>
        <v>11936</v>
      </c>
      <c r="E542" s="1" t="str">
        <f ca="1">IFERROR(__xludf.DUMMYFUNCTION("""COMPUTED_VALUE"""),"Current Treatment Options in Cardiovascular Medicine")</f>
        <v>Current Treatment Options in Cardiovascular Medicine</v>
      </c>
      <c r="F542" s="1" t="str">
        <f ca="1">IFERROR(__xludf.DUMMYFUNCTION("""COMPUTED_VALUE"""),"1534-3189")</f>
        <v>1534-3189</v>
      </c>
      <c r="G542" s="1"/>
      <c r="H542" s="27" t="str">
        <f ca="1">IFERROR(__xludf.DUMMYFUNCTION("""COMPUTED_VALUE"""),"https://link.springer.com/journal/11936")</f>
        <v>https://link.springer.com/journal/11936</v>
      </c>
      <c r="I542" s="1" t="str">
        <f ca="1">IFERROR(__xludf.DUMMYFUNCTION("""COMPUTED_VALUE"""),"Springer")</f>
        <v>Springer</v>
      </c>
      <c r="J542" s="1">
        <f ca="1">IFERROR(__xludf.DUMMYFUNCTION("""COMPUTED_VALUE"""),2000)</f>
        <v>2000</v>
      </c>
      <c r="K542" s="1" t="str">
        <f ca="1">IFERROR(__xludf.DUMMYFUNCTION("""COMPUTED_VALUE"""),"Medicine")</f>
        <v>Medicine</v>
      </c>
      <c r="L542" s="1"/>
      <c r="M542" s="1" t="str">
        <f ca="1">IFERROR(__xludf.DUMMYFUNCTION("""COMPUTED_VALUE"""),"〇")</f>
        <v>〇</v>
      </c>
      <c r="N542" s="1" t="str">
        <f ca="1">IFERROR(__xludf.DUMMYFUNCTION("""COMPUTED_VALUE"""),"TO8")</f>
        <v>TO8</v>
      </c>
      <c r="O542" s="1"/>
      <c r="P542" s="1"/>
    </row>
    <row r="543" spans="1:16" ht="14.25" customHeight="1" x14ac:dyDescent="0.25">
      <c r="A543" s="1"/>
      <c r="B543" s="1">
        <f ca="1"/>
        <v>531</v>
      </c>
      <c r="C543" s="1">
        <f ca="1">IFERROR(__xludf.DUMMYFUNCTION("""COMPUTED_VALUE"""),2023)</f>
        <v>2023</v>
      </c>
      <c r="D543" s="1">
        <f ca="1">IFERROR(__xludf.DUMMYFUNCTION("""COMPUTED_VALUE"""),11938)</f>
        <v>11938</v>
      </c>
      <c r="E543" s="1" t="str">
        <f ca="1">IFERROR(__xludf.DUMMYFUNCTION("""COMPUTED_VALUE"""),"Current Treatment Options in Gastroenterology")</f>
        <v>Current Treatment Options in Gastroenterology</v>
      </c>
      <c r="F543" s="1" t="str">
        <f ca="1">IFERROR(__xludf.DUMMYFUNCTION("""COMPUTED_VALUE"""),"1534-309X")</f>
        <v>1534-309X</v>
      </c>
      <c r="G543" s="1"/>
      <c r="H543" s="27" t="str">
        <f ca="1">IFERROR(__xludf.DUMMYFUNCTION("""COMPUTED_VALUE"""),"https://link.springer.com/journal/11938")</f>
        <v>https://link.springer.com/journal/11938</v>
      </c>
      <c r="I543" s="1" t="str">
        <f ca="1">IFERROR(__xludf.DUMMYFUNCTION("""COMPUTED_VALUE"""),"Springer")</f>
        <v>Springer</v>
      </c>
      <c r="J543" s="1">
        <f ca="1">IFERROR(__xludf.DUMMYFUNCTION("""COMPUTED_VALUE"""),2000)</f>
        <v>2000</v>
      </c>
      <c r="K543" s="1" t="str">
        <f ca="1">IFERROR(__xludf.DUMMYFUNCTION("""COMPUTED_VALUE"""),"Medicine")</f>
        <v>Medicine</v>
      </c>
      <c r="L543" s="1"/>
      <c r="M543" s="1"/>
      <c r="N543" s="1"/>
      <c r="O543" s="1"/>
      <c r="P543" s="1"/>
    </row>
    <row r="544" spans="1:16" ht="14.25" customHeight="1" x14ac:dyDescent="0.25">
      <c r="A544" s="1"/>
      <c r="B544" s="1">
        <f ca="1"/>
        <v>532</v>
      </c>
      <c r="C544" s="1">
        <f ca="1">IFERROR(__xludf.DUMMYFUNCTION("""COMPUTED_VALUE"""),2023)</f>
        <v>2023</v>
      </c>
      <c r="D544" s="1">
        <f ca="1">IFERROR(__xludf.DUMMYFUNCTION("""COMPUTED_VALUE"""),40506)</f>
        <v>40506</v>
      </c>
      <c r="E544" s="1" t="str">
        <f ca="1">IFERROR(__xludf.DUMMYFUNCTION("""COMPUTED_VALUE"""),"Current Treatment Options in Infectious Diseases")</f>
        <v>Current Treatment Options in Infectious Diseases</v>
      </c>
      <c r="F544" s="1" t="str">
        <f ca="1">IFERROR(__xludf.DUMMYFUNCTION("""COMPUTED_VALUE"""),"1534-6250")</f>
        <v>1534-6250</v>
      </c>
      <c r="G544" s="1"/>
      <c r="H544" s="27" t="str">
        <f ca="1">IFERROR(__xludf.DUMMYFUNCTION("""COMPUTED_VALUE"""),"https://link.springer.com/journal/40506")</f>
        <v>https://link.springer.com/journal/40506</v>
      </c>
      <c r="I544" s="1" t="str">
        <f ca="1">IFERROR(__xludf.DUMMYFUNCTION("""COMPUTED_VALUE"""),"Springer")</f>
        <v>Springer</v>
      </c>
      <c r="J544" s="1">
        <f ca="1">IFERROR(__xludf.DUMMYFUNCTION("""COMPUTED_VALUE"""),2014)</f>
        <v>2014</v>
      </c>
      <c r="K544" s="1" t="str">
        <f ca="1">IFERROR(__xludf.DUMMYFUNCTION("""COMPUTED_VALUE"""),"Medicine")</f>
        <v>Medicine</v>
      </c>
      <c r="L544" s="1"/>
      <c r="M544" s="1"/>
      <c r="N544" s="1"/>
      <c r="O544" s="1"/>
      <c r="P544" s="1"/>
    </row>
    <row r="545" spans="1:16" ht="14.25" customHeight="1" x14ac:dyDescent="0.25">
      <c r="A545" s="1"/>
      <c r="B545" s="1">
        <f ca="1"/>
        <v>533</v>
      </c>
      <c r="C545" s="1">
        <f ca="1">IFERROR(__xludf.DUMMYFUNCTION("""COMPUTED_VALUE"""),2023)</f>
        <v>2023</v>
      </c>
      <c r="D545" s="1">
        <f ca="1">IFERROR(__xludf.DUMMYFUNCTION("""COMPUTED_VALUE"""),11940)</f>
        <v>11940</v>
      </c>
      <c r="E545" s="1" t="str">
        <f ca="1">IFERROR(__xludf.DUMMYFUNCTION("""COMPUTED_VALUE"""),"Current Treatment Options in Neurology")</f>
        <v>Current Treatment Options in Neurology</v>
      </c>
      <c r="F545" s="1" t="str">
        <f ca="1">IFERROR(__xludf.DUMMYFUNCTION("""COMPUTED_VALUE"""),"1534-3138")</f>
        <v>1534-3138</v>
      </c>
      <c r="G545" s="1"/>
      <c r="H545" s="27" t="str">
        <f ca="1">IFERROR(__xludf.DUMMYFUNCTION("""COMPUTED_VALUE"""),"https://link.springer.com/journal/11940")</f>
        <v>https://link.springer.com/journal/11940</v>
      </c>
      <c r="I545" s="1" t="str">
        <f ca="1">IFERROR(__xludf.DUMMYFUNCTION("""COMPUTED_VALUE"""),"Springer")</f>
        <v>Springer</v>
      </c>
      <c r="J545" s="1">
        <f ca="1">IFERROR(__xludf.DUMMYFUNCTION("""COMPUTED_VALUE"""),2000)</f>
        <v>2000</v>
      </c>
      <c r="K545" s="1" t="str">
        <f ca="1">IFERROR(__xludf.DUMMYFUNCTION("""COMPUTED_VALUE"""),"Medicine")</f>
        <v>Medicine</v>
      </c>
      <c r="L545" s="1"/>
      <c r="M545" s="1" t="str">
        <f ca="1">IFERROR(__xludf.DUMMYFUNCTION("""COMPUTED_VALUE"""),"〇")</f>
        <v>〇</v>
      </c>
      <c r="N545" s="1" t="str">
        <f ca="1">IFERROR(__xludf.DUMMYFUNCTION("""COMPUTED_VALUE"""),"TO8")</f>
        <v>TO8</v>
      </c>
      <c r="O545" s="1"/>
      <c r="P545" s="1"/>
    </row>
    <row r="546" spans="1:16" ht="14.25" customHeight="1" x14ac:dyDescent="0.25">
      <c r="A546" s="1"/>
      <c r="B546" s="1">
        <f ca="1"/>
        <v>534</v>
      </c>
      <c r="C546" s="1">
        <f ca="1">IFERROR(__xludf.DUMMYFUNCTION("""COMPUTED_VALUE"""),2023)</f>
        <v>2023</v>
      </c>
      <c r="D546" s="1">
        <f ca="1">IFERROR(__xludf.DUMMYFUNCTION("""COMPUTED_VALUE"""),11864)</f>
        <v>11864</v>
      </c>
      <c r="E546" s="1" t="str">
        <f ca="1">IFERROR(__xludf.DUMMYFUNCTION("""COMPUTED_VALUE"""),"Current Treatment Options in Oncology")</f>
        <v>Current Treatment Options in Oncology</v>
      </c>
      <c r="F546" s="1" t="str">
        <f ca="1">IFERROR(__xludf.DUMMYFUNCTION("""COMPUTED_VALUE"""),"1534-6277")</f>
        <v>1534-6277</v>
      </c>
      <c r="G546" s="1"/>
      <c r="H546" s="27" t="str">
        <f ca="1">IFERROR(__xludf.DUMMYFUNCTION("""COMPUTED_VALUE"""),"https://link.springer.com/journal/11864")</f>
        <v>https://link.springer.com/journal/11864</v>
      </c>
      <c r="I546" s="1" t="str">
        <f ca="1">IFERROR(__xludf.DUMMYFUNCTION("""COMPUTED_VALUE"""),"Springer")</f>
        <v>Springer</v>
      </c>
      <c r="J546" s="1">
        <f ca="1">IFERROR(__xludf.DUMMYFUNCTION("""COMPUTED_VALUE"""),2000)</f>
        <v>2000</v>
      </c>
      <c r="K546" s="1" t="str">
        <f ca="1">IFERROR(__xludf.DUMMYFUNCTION("""COMPUTED_VALUE"""),"Medicine")</f>
        <v>Medicine</v>
      </c>
      <c r="L546" s="1"/>
      <c r="M546" s="1" t="str">
        <f ca="1">IFERROR(__xludf.DUMMYFUNCTION("""COMPUTED_VALUE"""),"〇")</f>
        <v>〇</v>
      </c>
      <c r="N546" s="1" t="str">
        <f ca="1">IFERROR(__xludf.DUMMYFUNCTION("""COMPUTED_VALUE"""),"TO7")</f>
        <v>TO7</v>
      </c>
      <c r="O546" s="1"/>
      <c r="P546" s="1"/>
    </row>
    <row r="547" spans="1:16" ht="14.25" customHeight="1" x14ac:dyDescent="0.25">
      <c r="A547" s="1"/>
      <c r="B547" s="1">
        <f ca="1"/>
        <v>535</v>
      </c>
      <c r="C547" s="1">
        <f ca="1">IFERROR(__xludf.DUMMYFUNCTION("""COMPUTED_VALUE"""),2023)</f>
        <v>2023</v>
      </c>
      <c r="D547" s="1">
        <f ca="1">IFERROR(__xludf.DUMMYFUNCTION("""COMPUTED_VALUE"""),40746)</f>
        <v>40746</v>
      </c>
      <c r="E547" s="1" t="str">
        <f ca="1">IFERROR(__xludf.DUMMYFUNCTION("""COMPUTED_VALUE"""),"Current Treatment Options in Pediatrics")</f>
        <v>Current Treatment Options in Pediatrics</v>
      </c>
      <c r="F547" s="1" t="str">
        <f ca="1">IFERROR(__xludf.DUMMYFUNCTION("""COMPUTED_VALUE"""),"2198-6088")</f>
        <v>2198-6088</v>
      </c>
      <c r="G547" s="1"/>
      <c r="H547" s="27" t="str">
        <f ca="1">IFERROR(__xludf.DUMMYFUNCTION("""COMPUTED_VALUE"""),"https://link.springer.com/journal/40746")</f>
        <v>https://link.springer.com/journal/40746</v>
      </c>
      <c r="I547" s="1" t="str">
        <f ca="1">IFERROR(__xludf.DUMMYFUNCTION("""COMPUTED_VALUE"""),"Springer")</f>
        <v>Springer</v>
      </c>
      <c r="J547" s="1">
        <f ca="1">IFERROR(__xludf.DUMMYFUNCTION("""COMPUTED_VALUE"""),2015)</f>
        <v>2015</v>
      </c>
      <c r="K547" s="1" t="str">
        <f ca="1">IFERROR(__xludf.DUMMYFUNCTION("""COMPUTED_VALUE"""),"Medicine")</f>
        <v>Medicine</v>
      </c>
      <c r="L547" s="1"/>
      <c r="M547" s="1"/>
      <c r="N547" s="1" t="str">
        <f ca="1">IFERROR(__xludf.DUMMYFUNCTION("""COMPUTED_VALUE"""),"SNS15")</f>
        <v>SNS15</v>
      </c>
      <c r="O547" s="1"/>
      <c r="P547" s="1"/>
    </row>
    <row r="548" spans="1:16" ht="14.25" customHeight="1" x14ac:dyDescent="0.25">
      <c r="A548" s="1"/>
      <c r="B548" s="1">
        <f ca="1"/>
        <v>536</v>
      </c>
      <c r="C548" s="1">
        <f ca="1">IFERROR(__xludf.DUMMYFUNCTION("""COMPUTED_VALUE"""),2023)</f>
        <v>2023</v>
      </c>
      <c r="D548" s="1">
        <f ca="1">IFERROR(__xludf.DUMMYFUNCTION("""COMPUTED_VALUE"""),40501)</f>
        <v>40501</v>
      </c>
      <c r="E548" s="1" t="str">
        <f ca="1">IFERROR(__xludf.DUMMYFUNCTION("""COMPUTED_VALUE"""),"Current Treatment Options in Psychiatry")</f>
        <v>Current Treatment Options in Psychiatry</v>
      </c>
      <c r="F548" s="1" t="str">
        <f ca="1">IFERROR(__xludf.DUMMYFUNCTION("""COMPUTED_VALUE"""),"2196-3061")</f>
        <v>2196-3061</v>
      </c>
      <c r="G548" s="1"/>
      <c r="H548" s="27" t="str">
        <f ca="1">IFERROR(__xludf.DUMMYFUNCTION("""COMPUTED_VALUE"""),"https://link.springer.com/journal/40501")</f>
        <v>https://link.springer.com/journal/40501</v>
      </c>
      <c r="I548" s="1" t="str">
        <f ca="1">IFERROR(__xludf.DUMMYFUNCTION("""COMPUTED_VALUE"""),"Springer")</f>
        <v>Springer</v>
      </c>
      <c r="J548" s="1">
        <f ca="1">IFERROR(__xludf.DUMMYFUNCTION("""COMPUTED_VALUE"""),2014)</f>
        <v>2014</v>
      </c>
      <c r="K548" s="1" t="str">
        <f ca="1">IFERROR(__xludf.DUMMYFUNCTION("""COMPUTED_VALUE"""),"Medicine")</f>
        <v>Medicine</v>
      </c>
      <c r="L548" s="1"/>
      <c r="M548" s="1"/>
      <c r="N548" s="1" t="str">
        <f ca="1">IFERROR(__xludf.DUMMYFUNCTION("""COMPUTED_VALUE"""),"SNS14")</f>
        <v>SNS14</v>
      </c>
      <c r="O548" s="1"/>
      <c r="P548" s="1"/>
    </row>
    <row r="549" spans="1:16" ht="14.25" customHeight="1" x14ac:dyDescent="0.25">
      <c r="A549" s="1"/>
      <c r="B549" s="1">
        <f ca="1"/>
        <v>537</v>
      </c>
      <c r="C549" s="1">
        <f ca="1">IFERROR(__xludf.DUMMYFUNCTION("""COMPUTED_VALUE"""),2023)</f>
        <v>2023</v>
      </c>
      <c r="D549" s="1">
        <f ca="1">IFERROR(__xludf.DUMMYFUNCTION("""COMPUTED_VALUE"""),40674)</f>
        <v>40674</v>
      </c>
      <c r="E549" s="1" t="str">
        <f ca="1">IFERROR(__xludf.DUMMYFUNCTION("""COMPUTED_VALUE"""),"Current Treatment Options in Rheumatology")</f>
        <v>Current Treatment Options in Rheumatology</v>
      </c>
      <c r="F549" s="1" t="str">
        <f ca="1">IFERROR(__xludf.DUMMYFUNCTION("""COMPUTED_VALUE"""),"2198-6002")</f>
        <v>2198-6002</v>
      </c>
      <c r="G549" s="1"/>
      <c r="H549" s="27" t="str">
        <f ca="1">IFERROR(__xludf.DUMMYFUNCTION("""COMPUTED_VALUE"""),"https://link.springer.com/journal/40674")</f>
        <v>https://link.springer.com/journal/40674</v>
      </c>
      <c r="I549" s="1" t="str">
        <f ca="1">IFERROR(__xludf.DUMMYFUNCTION("""COMPUTED_VALUE"""),"Springer")</f>
        <v>Springer</v>
      </c>
      <c r="J549" s="1">
        <f ca="1">IFERROR(__xludf.DUMMYFUNCTION("""COMPUTED_VALUE"""),2015)</f>
        <v>2015</v>
      </c>
      <c r="K549" s="1" t="str">
        <f ca="1">IFERROR(__xludf.DUMMYFUNCTION("""COMPUTED_VALUE"""),"Medicine")</f>
        <v>Medicine</v>
      </c>
      <c r="L549" s="1"/>
      <c r="M549" s="1"/>
      <c r="N549" s="1" t="str">
        <f ca="1">IFERROR(__xludf.DUMMYFUNCTION("""COMPUTED_VALUE"""),"SNS15")</f>
        <v>SNS15</v>
      </c>
      <c r="O549" s="1"/>
      <c r="P549" s="1"/>
    </row>
    <row r="550" spans="1:16" ht="14.25" customHeight="1" x14ac:dyDescent="0.25">
      <c r="A550" s="1"/>
      <c r="B550" s="1">
        <f ca="1"/>
        <v>538</v>
      </c>
      <c r="C550" s="1">
        <f ca="1">IFERROR(__xludf.DUMMYFUNCTION("""COMPUTED_VALUE"""),2023)</f>
        <v>2023</v>
      </c>
      <c r="D550" s="1">
        <f ca="1">IFERROR(__xludf.DUMMYFUNCTION("""COMPUTED_VALUE"""),40475)</f>
        <v>40475</v>
      </c>
      <c r="E550" s="1" t="str">
        <f ca="1">IFERROR(__xludf.DUMMYFUNCTION("""COMPUTED_VALUE"""),"Current Tropical Medicine Reports")</f>
        <v>Current Tropical Medicine Reports</v>
      </c>
      <c r="F550" s="1" t="str">
        <f ca="1">IFERROR(__xludf.DUMMYFUNCTION("""COMPUTED_VALUE"""),"2196-3045")</f>
        <v>2196-3045</v>
      </c>
      <c r="G550" s="1"/>
      <c r="H550" s="27" t="str">
        <f ca="1">IFERROR(__xludf.DUMMYFUNCTION("""COMPUTED_VALUE"""),"https://link.springer.com/journal/40475")</f>
        <v>https://link.springer.com/journal/40475</v>
      </c>
      <c r="I550" s="1" t="str">
        <f ca="1">IFERROR(__xludf.DUMMYFUNCTION("""COMPUTED_VALUE"""),"Springer")</f>
        <v>Springer</v>
      </c>
      <c r="J550" s="1">
        <f ca="1">IFERROR(__xludf.DUMMYFUNCTION("""COMPUTED_VALUE"""),2014)</f>
        <v>2014</v>
      </c>
      <c r="K550" s="1" t="str">
        <f ca="1">IFERROR(__xludf.DUMMYFUNCTION("""COMPUTED_VALUE"""),"Medicine")</f>
        <v>Medicine</v>
      </c>
      <c r="L550" s="1"/>
      <c r="M550" s="1"/>
      <c r="N550" s="1" t="str">
        <f ca="1">IFERROR(__xludf.DUMMYFUNCTION("""COMPUTED_VALUE"""),"SNS14")</f>
        <v>SNS14</v>
      </c>
      <c r="O550" s="1"/>
      <c r="P550" s="1"/>
    </row>
    <row r="551" spans="1:16" ht="14.25" customHeight="1" x14ac:dyDescent="0.25">
      <c r="A551" s="1"/>
      <c r="B551" s="1">
        <f ca="1"/>
        <v>539</v>
      </c>
      <c r="C551" s="1">
        <f ca="1">IFERROR(__xludf.DUMMYFUNCTION("""COMPUTED_VALUE"""),2023)</f>
        <v>2023</v>
      </c>
      <c r="D551" s="1">
        <f ca="1">IFERROR(__xludf.DUMMYFUNCTION("""COMPUTED_VALUE"""),11934)</f>
        <v>11934</v>
      </c>
      <c r="E551" s="1" t="str">
        <f ca="1">IFERROR(__xludf.DUMMYFUNCTION("""COMPUTED_VALUE"""),"Current Urology Reports")</f>
        <v>Current Urology Reports</v>
      </c>
      <c r="F551" s="1" t="str">
        <f ca="1">IFERROR(__xludf.DUMMYFUNCTION("""COMPUTED_VALUE"""),"1534-6285")</f>
        <v>1534-6285</v>
      </c>
      <c r="G551" s="1"/>
      <c r="H551" s="27" t="str">
        <f ca="1">IFERROR(__xludf.DUMMYFUNCTION("""COMPUTED_VALUE"""),"https://link.springer.com/journal/11934")</f>
        <v>https://link.springer.com/journal/11934</v>
      </c>
      <c r="I551" s="1" t="str">
        <f ca="1">IFERROR(__xludf.DUMMYFUNCTION("""COMPUTED_VALUE"""),"Springer")</f>
        <v>Springer</v>
      </c>
      <c r="J551" s="1">
        <f ca="1">IFERROR(__xludf.DUMMYFUNCTION("""COMPUTED_VALUE"""),2000)</f>
        <v>2000</v>
      </c>
      <c r="K551" s="1" t="str">
        <f ca="1">IFERROR(__xludf.DUMMYFUNCTION("""COMPUTED_VALUE"""),"Medicine")</f>
        <v>Medicine</v>
      </c>
      <c r="L551" s="1"/>
      <c r="M551" s="1" t="str">
        <f ca="1">IFERROR(__xludf.DUMMYFUNCTION("""COMPUTED_VALUE"""),"〇")</f>
        <v>〇</v>
      </c>
      <c r="N551" s="1" t="str">
        <f ca="1">IFERROR(__xludf.DUMMYFUNCTION("""COMPUTED_VALUE"""),"TO8")</f>
        <v>TO8</v>
      </c>
      <c r="O551" s="1"/>
      <c r="P551" s="1"/>
    </row>
    <row r="552" spans="1:16" ht="14.25" customHeight="1" x14ac:dyDescent="0.25">
      <c r="A552" s="1"/>
      <c r="B552" s="1">
        <f ca="1"/>
        <v>540</v>
      </c>
      <c r="C552" s="1">
        <f ca="1">IFERROR(__xludf.DUMMYFUNCTION("""COMPUTED_VALUE"""),2023)</f>
        <v>2023</v>
      </c>
      <c r="D552" s="1">
        <f ca="1">IFERROR(__xludf.DUMMYFUNCTION("""COMPUTED_VALUE"""),41297)</f>
        <v>41297</v>
      </c>
      <c r="E552" s="1" t="str">
        <f ca="1">IFERROR(__xludf.DUMMYFUNCTION("""COMPUTED_VALUE"""),"Curriculum Perspectives")</f>
        <v>Curriculum Perspectives</v>
      </c>
      <c r="F552" s="1" t="str">
        <f ca="1">IFERROR(__xludf.DUMMYFUNCTION("""COMPUTED_VALUE"""),"2367-1793")</f>
        <v>2367-1793</v>
      </c>
      <c r="G552" s="1" t="str">
        <f ca="1">IFERROR(__xludf.DUMMYFUNCTION("""COMPUTED_VALUE"""),"0159-7868")</f>
        <v>0159-7868</v>
      </c>
      <c r="H552" s="27" t="str">
        <f ca="1">IFERROR(__xludf.DUMMYFUNCTION("""COMPUTED_VALUE"""),"https://link.springer.com/journal/41297")</f>
        <v>https://link.springer.com/journal/41297</v>
      </c>
      <c r="I552" s="1" t="str">
        <f ca="1">IFERROR(__xludf.DUMMYFUNCTION("""COMPUTED_VALUE"""),"Springer")</f>
        <v>Springer</v>
      </c>
      <c r="J552" s="1">
        <f ca="1">IFERROR(__xludf.DUMMYFUNCTION("""COMPUTED_VALUE"""),2017)</f>
        <v>2017</v>
      </c>
      <c r="K552" s="1" t="str">
        <f ca="1">IFERROR(__xludf.DUMMYFUNCTION("""COMPUTED_VALUE"""),"Education")</f>
        <v>Education</v>
      </c>
      <c r="L552" s="1" t="str">
        <f ca="1">IFERROR(__xludf.DUMMYFUNCTION("""COMPUTED_VALUE"""),"〇")</f>
        <v>〇</v>
      </c>
      <c r="M552" s="1"/>
      <c r="N552" s="1" t="str">
        <f ca="1">IFERROR(__xludf.DUMMYFUNCTION("""COMPUTED_VALUE"""),"TO17")</f>
        <v>TO17</v>
      </c>
      <c r="O552" s="1"/>
      <c r="P552" s="1"/>
    </row>
    <row r="553" spans="1:16" ht="14.25" customHeight="1" x14ac:dyDescent="0.25">
      <c r="A553" s="1"/>
      <c r="B553" s="1">
        <f ca="1"/>
        <v>541</v>
      </c>
      <c r="C553" s="1">
        <f ca="1">IFERROR(__xludf.DUMMYFUNCTION("""COMPUTED_VALUE"""),2023)</f>
        <v>2023</v>
      </c>
      <c r="D553" s="1">
        <f ca="1">IFERROR(__xludf.DUMMYFUNCTION("""COMPUTED_VALUE"""),40547)</f>
        <v>40547</v>
      </c>
      <c r="E553" s="1" t="str">
        <f ca="1">IFERROR(__xludf.DUMMYFUNCTION("""COMPUTED_VALUE"""),"Customer Needs and Solutions")</f>
        <v>Customer Needs and Solutions</v>
      </c>
      <c r="F553" s="1" t="str">
        <f ca="1">IFERROR(__xludf.DUMMYFUNCTION("""COMPUTED_VALUE"""),"2196-2928")</f>
        <v>2196-2928</v>
      </c>
      <c r="G553" s="1" t="str">
        <f ca="1">IFERROR(__xludf.DUMMYFUNCTION("""COMPUTED_VALUE"""),"2196-291X")</f>
        <v>2196-291X</v>
      </c>
      <c r="H553" s="27" t="str">
        <f ca="1">IFERROR(__xludf.DUMMYFUNCTION("""COMPUTED_VALUE"""),"https://link.springer.com/journal/40547")</f>
        <v>https://link.springer.com/journal/40547</v>
      </c>
      <c r="I553" s="1" t="str">
        <f ca="1">IFERROR(__xludf.DUMMYFUNCTION("""COMPUTED_VALUE"""),"Springer")</f>
        <v>Springer</v>
      </c>
      <c r="J553" s="1">
        <f ca="1">IFERROR(__xludf.DUMMYFUNCTION("""COMPUTED_VALUE"""),2014)</f>
        <v>2014</v>
      </c>
      <c r="K553" s="1" t="str">
        <f ca="1">IFERROR(__xludf.DUMMYFUNCTION("""COMPUTED_VALUE"""),"Business and Management")</f>
        <v>Business and Management</v>
      </c>
      <c r="L553" s="1" t="str">
        <f ca="1">IFERROR(__xludf.DUMMYFUNCTION("""COMPUTED_VALUE"""),"〇")</f>
        <v>〇</v>
      </c>
      <c r="M553" s="1"/>
      <c r="N553" s="1" t="str">
        <f ca="1">IFERROR(__xludf.DUMMYFUNCTION("""COMPUTED_VALUE"""),"SNS14")</f>
        <v>SNS14</v>
      </c>
      <c r="O553" s="1"/>
      <c r="P553" s="1"/>
    </row>
    <row r="554" spans="1:16" ht="14.25" customHeight="1" x14ac:dyDescent="0.25">
      <c r="A554" s="1"/>
      <c r="B554" s="1">
        <f ca="1"/>
        <v>542</v>
      </c>
      <c r="C554" s="1">
        <f ca="1">IFERROR(__xludf.DUMMYFUNCTION("""COMPUTED_VALUE"""),2023)</f>
        <v>2023</v>
      </c>
      <c r="D554" s="1">
        <f ca="1">IFERROR(__xludf.DUMMYFUNCTION("""COMPUTED_VALUE"""),10559)</f>
        <v>10559</v>
      </c>
      <c r="E554" s="1" t="str">
        <f ca="1">IFERROR(__xludf.DUMMYFUNCTION("""COMPUTED_VALUE"""),"Cybernetics and Systems Analysis")</f>
        <v>Cybernetics and Systems Analysis</v>
      </c>
      <c r="F554" s="1" t="str">
        <f ca="1">IFERROR(__xludf.DUMMYFUNCTION("""COMPUTED_VALUE"""),"1573-8337")</f>
        <v>1573-8337</v>
      </c>
      <c r="G554" s="1" t="str">
        <f ca="1">IFERROR(__xludf.DUMMYFUNCTION("""COMPUTED_VALUE"""),"1060-0396")</f>
        <v>1060-0396</v>
      </c>
      <c r="H554" s="27" t="str">
        <f ca="1">IFERROR(__xludf.DUMMYFUNCTION("""COMPUTED_VALUE"""),"https://link.springer.com/journal/10559")</f>
        <v>https://link.springer.com/journal/10559</v>
      </c>
      <c r="I554" s="1" t="str">
        <f ca="1">IFERROR(__xludf.DUMMYFUNCTION("""COMPUTED_VALUE"""),"Springer")</f>
        <v>Springer</v>
      </c>
      <c r="J554" s="1">
        <f ca="1">IFERROR(__xludf.DUMMYFUNCTION("""COMPUTED_VALUE"""),2000)</f>
        <v>2000</v>
      </c>
      <c r="K554" s="1" t="str">
        <f ca="1">IFERROR(__xludf.DUMMYFUNCTION("""COMPUTED_VALUE"""),"Mathematics and Statistics")</f>
        <v>Mathematics and Statistics</v>
      </c>
      <c r="L554" s="1" t="str">
        <f ca="1">IFERROR(__xludf.DUMMYFUNCTION("""COMPUTED_VALUE"""),"〇")</f>
        <v>〇</v>
      </c>
      <c r="M554" s="1" t="str">
        <f ca="1">IFERROR(__xludf.DUMMYFUNCTION("""COMPUTED_VALUE"""),"〇")</f>
        <v>〇</v>
      </c>
      <c r="N554" s="1"/>
      <c r="O554" s="1"/>
      <c r="P554" s="1"/>
    </row>
    <row r="555" spans="1:16" ht="14.25" customHeight="1" x14ac:dyDescent="0.25">
      <c r="A555" s="1"/>
      <c r="B555" s="1">
        <f ca="1"/>
        <v>543</v>
      </c>
      <c r="C555" s="1">
        <f ca="1">IFERROR(__xludf.DUMMYFUNCTION("""COMPUTED_VALUE"""),2023)</f>
        <v>2023</v>
      </c>
      <c r="D555" s="1">
        <f ca="1">IFERROR(__xludf.DUMMYFUNCTION("""COMPUTED_VALUE"""),11956)</f>
        <v>11956</v>
      </c>
      <c r="E555" s="1" t="str">
        <f ca="1">IFERROR(__xludf.DUMMYFUNCTION("""COMPUTED_VALUE"""),"Cytology and Genetics")</f>
        <v>Cytology and Genetics</v>
      </c>
      <c r="F555" s="1" t="str">
        <f ca="1">IFERROR(__xludf.DUMMYFUNCTION("""COMPUTED_VALUE"""),"1934-9440")</f>
        <v>1934-9440</v>
      </c>
      <c r="G555" s="1" t="str">
        <f ca="1">IFERROR(__xludf.DUMMYFUNCTION("""COMPUTED_VALUE"""),"0095-4527")</f>
        <v>0095-4527</v>
      </c>
      <c r="H555" s="27" t="str">
        <f ca="1">IFERROR(__xludf.DUMMYFUNCTION("""COMPUTED_VALUE"""),"https://link.springer.com/journal/11956")</f>
        <v>https://link.springer.com/journal/11956</v>
      </c>
      <c r="I555" s="1" t="str">
        <f ca="1">IFERROR(__xludf.DUMMYFUNCTION("""COMPUTED_VALUE"""),"Pleiades Publishing")</f>
        <v>Pleiades Publishing</v>
      </c>
      <c r="J555" s="1">
        <f ca="1">IFERROR(__xludf.DUMMYFUNCTION("""COMPUTED_VALUE"""),2007)</f>
        <v>2007</v>
      </c>
      <c r="K555" s="1" t="str">
        <f ca="1">IFERROR(__xludf.DUMMYFUNCTION("""COMPUTED_VALUE"""),"Biomedical and Life Sciences")</f>
        <v>Biomedical and Life Sciences</v>
      </c>
      <c r="L555" s="1" t="str">
        <f ca="1">IFERROR(__xludf.DUMMYFUNCTION("""COMPUTED_VALUE"""),"〇")</f>
        <v>〇</v>
      </c>
      <c r="M555" s="1" t="str">
        <f ca="1">IFERROR(__xludf.DUMMYFUNCTION("""COMPUTED_VALUE"""),"〇")</f>
        <v>〇</v>
      </c>
      <c r="N555" s="1" t="str">
        <f ca="1">IFERROR(__xludf.DUMMYFUNCTION("""COMPUTED_VALUE"""),"TO7")</f>
        <v>TO7</v>
      </c>
      <c r="O555" s="1"/>
      <c r="P555" s="1"/>
    </row>
    <row r="556" spans="1:16" ht="14.25" customHeight="1" x14ac:dyDescent="0.25">
      <c r="A556" s="1"/>
      <c r="B556" s="1">
        <f ca="1"/>
        <v>544</v>
      </c>
      <c r="C556" s="1">
        <f ca="1">IFERROR(__xludf.DUMMYFUNCTION("""COMPUTED_VALUE"""),2023)</f>
        <v>2023</v>
      </c>
      <c r="D556" s="1">
        <f ca="1">IFERROR(__xludf.DUMMYFUNCTION("""COMPUTED_VALUE"""),10616)</f>
        <v>10616</v>
      </c>
      <c r="E556" s="1" t="str">
        <f ca="1">IFERROR(__xludf.DUMMYFUNCTION("""COMPUTED_VALUE"""),"Cytotechnology")</f>
        <v>Cytotechnology</v>
      </c>
      <c r="F556" s="1" t="str">
        <f ca="1">IFERROR(__xludf.DUMMYFUNCTION("""COMPUTED_VALUE"""),"1573-0778")</f>
        <v>1573-0778</v>
      </c>
      <c r="G556" s="1" t="str">
        <f ca="1">IFERROR(__xludf.DUMMYFUNCTION("""COMPUTED_VALUE"""),"0920-9069")</f>
        <v>0920-9069</v>
      </c>
      <c r="H556" s="27" t="str">
        <f ca="1">IFERROR(__xludf.DUMMYFUNCTION("""COMPUTED_VALUE"""),"https://link.springer.com/journal/10616")</f>
        <v>https://link.springer.com/journal/10616</v>
      </c>
      <c r="I556" s="1" t="str">
        <f ca="1">IFERROR(__xludf.DUMMYFUNCTION("""COMPUTED_VALUE"""),"Springer")</f>
        <v>Springer</v>
      </c>
      <c r="J556" s="1">
        <f ca="1">IFERROR(__xludf.DUMMYFUNCTION("""COMPUTED_VALUE"""),2000)</f>
        <v>2000</v>
      </c>
      <c r="K556" s="1" t="str">
        <f ca="1">IFERROR(__xludf.DUMMYFUNCTION("""COMPUTED_VALUE"""),"Chemistry and Materials Science")</f>
        <v>Chemistry and Materials Science</v>
      </c>
      <c r="L556" s="1" t="str">
        <f ca="1">IFERROR(__xludf.DUMMYFUNCTION("""COMPUTED_VALUE"""),"〇")</f>
        <v>〇</v>
      </c>
      <c r="M556" s="1" t="str">
        <f ca="1">IFERROR(__xludf.DUMMYFUNCTION("""COMPUTED_VALUE"""),"〇")</f>
        <v>〇</v>
      </c>
      <c r="N556" s="1"/>
      <c r="O556" s="1"/>
      <c r="P556" s="1"/>
    </row>
    <row r="557" spans="1:16" ht="14.25" customHeight="1" x14ac:dyDescent="0.25">
      <c r="A557" s="1"/>
      <c r="B557" s="1">
        <f ca="1"/>
        <v>545</v>
      </c>
      <c r="C557" s="1">
        <f ca="1">IFERROR(__xludf.DUMMYFUNCTION("""COMPUTED_VALUE"""),2023)</f>
        <v>2023</v>
      </c>
      <c r="D557" s="1">
        <f ca="1">IFERROR(__xludf.DUMMYFUNCTION("""COMPUTED_VALUE"""),10587)</f>
        <v>10587</v>
      </c>
      <c r="E557" s="1" t="str">
        <f ca="1">IFERROR(__xludf.DUMMYFUNCTION("""COMPUTED_VALUE"""),"Czechoslovak Mathematical Journal")</f>
        <v>Czechoslovak Mathematical Journal</v>
      </c>
      <c r="F557" s="1" t="str">
        <f ca="1">IFERROR(__xludf.DUMMYFUNCTION("""COMPUTED_VALUE"""),"1572-9141")</f>
        <v>1572-9141</v>
      </c>
      <c r="G557" s="1" t="str">
        <f ca="1">IFERROR(__xludf.DUMMYFUNCTION("""COMPUTED_VALUE"""),"0011-4642")</f>
        <v>0011-4642</v>
      </c>
      <c r="H557" s="27" t="str">
        <f ca="1">IFERROR(__xludf.DUMMYFUNCTION("""COMPUTED_VALUE"""),"https://link.springer.com/journal/10587")</f>
        <v>https://link.springer.com/journal/10587</v>
      </c>
      <c r="I557" s="1" t="str">
        <f ca="1">IFERROR(__xludf.DUMMYFUNCTION("""COMPUTED_VALUE"""),"Springer")</f>
        <v>Springer</v>
      </c>
      <c r="J557" s="1">
        <f ca="1">IFERROR(__xludf.DUMMYFUNCTION("""COMPUTED_VALUE"""),2000)</f>
        <v>2000</v>
      </c>
      <c r="K557" s="1" t="str">
        <f ca="1">IFERROR(__xludf.DUMMYFUNCTION("""COMPUTED_VALUE"""),"Mathematics and Statistics")</f>
        <v>Mathematics and Statistics</v>
      </c>
      <c r="L557" s="1" t="str">
        <f ca="1">IFERROR(__xludf.DUMMYFUNCTION("""COMPUTED_VALUE"""),"〇")</f>
        <v>〇</v>
      </c>
      <c r="M557" s="1" t="str">
        <f ca="1">IFERROR(__xludf.DUMMYFUNCTION("""COMPUTED_VALUE"""),"〇")</f>
        <v>〇</v>
      </c>
      <c r="N557" s="1"/>
      <c r="O557" s="1"/>
      <c r="P557" s="1"/>
    </row>
    <row r="558" spans="1:16" ht="14.25" customHeight="1" x14ac:dyDescent="0.25">
      <c r="A558" s="1"/>
      <c r="B558" s="1">
        <f ca="1"/>
        <v>546</v>
      </c>
      <c r="C558" s="1">
        <f ca="1">IFERROR(__xludf.DUMMYFUNCTION("""COMPUTED_VALUE"""),2023)</f>
        <v>2023</v>
      </c>
      <c r="D558" s="1">
        <f ca="1">IFERROR(__xludf.DUMMYFUNCTION("""COMPUTED_VALUE"""),11712)</f>
        <v>11712</v>
      </c>
      <c r="E558" s="1" t="str">
        <f ca="1">IFERROR(__xludf.DUMMYFUNCTION("""COMPUTED_VALUE"""),"Dao")</f>
        <v>Dao</v>
      </c>
      <c r="F558" s="1" t="str">
        <f ca="1">IFERROR(__xludf.DUMMYFUNCTION("""COMPUTED_VALUE"""),"1569-7274")</f>
        <v>1569-7274</v>
      </c>
      <c r="G558" s="1" t="str">
        <f ca="1">IFERROR(__xludf.DUMMYFUNCTION("""COMPUTED_VALUE"""),"1540-3009")</f>
        <v>1540-3009</v>
      </c>
      <c r="H558" s="27" t="str">
        <f ca="1">IFERROR(__xludf.DUMMYFUNCTION("""COMPUTED_VALUE"""),"https://link.springer.com/journal/11712")</f>
        <v>https://link.springer.com/journal/11712</v>
      </c>
      <c r="I558" s="1" t="str">
        <f ca="1">IFERROR(__xludf.DUMMYFUNCTION("""COMPUTED_VALUE"""),"Springer")</f>
        <v>Springer</v>
      </c>
      <c r="J558" s="1">
        <f ca="1">IFERROR(__xludf.DUMMYFUNCTION("""COMPUTED_VALUE"""),2001)</f>
        <v>2001</v>
      </c>
      <c r="K558" s="1" t="str">
        <f ca="1">IFERROR(__xludf.DUMMYFUNCTION("""COMPUTED_VALUE"""),"Education")</f>
        <v>Education</v>
      </c>
      <c r="L558" s="1" t="str">
        <f ca="1">IFERROR(__xludf.DUMMYFUNCTION("""COMPUTED_VALUE"""),"〇")</f>
        <v>〇</v>
      </c>
      <c r="M558" s="1" t="str">
        <f ca="1">IFERROR(__xludf.DUMMYFUNCTION("""COMPUTED_VALUE"""),"〇")</f>
        <v>〇</v>
      </c>
      <c r="N558" s="1" t="str">
        <f ca="1">IFERROR(__xludf.DUMMYFUNCTION("""COMPUTED_VALUE"""),"TO7")</f>
        <v>TO7</v>
      </c>
      <c r="O558" s="1"/>
      <c r="P558" s="1"/>
    </row>
    <row r="559" spans="1:16" ht="14.25" customHeight="1" x14ac:dyDescent="0.25">
      <c r="A559" s="1"/>
      <c r="B559" s="1">
        <f ca="1"/>
        <v>547</v>
      </c>
      <c r="C559" s="1">
        <f ca="1">IFERROR(__xludf.DUMMYFUNCTION("""COMPUTED_VALUE"""),2023)</f>
        <v>2023</v>
      </c>
      <c r="D559" s="1">
        <f ca="1">IFERROR(__xludf.DUMMYFUNCTION("""COMPUTED_VALUE"""),40199)</f>
        <v>40199</v>
      </c>
      <c r="E559" s="1" t="str">
        <f ca="1">IFERROR(__xludf.DUMMYFUNCTION("""COMPUTED_VALUE"""),"DARU Journal of Pharmaceutical Sciences")</f>
        <v>DARU Journal of Pharmaceutical Sciences</v>
      </c>
      <c r="F559" s="1" t="str">
        <f ca="1">IFERROR(__xludf.DUMMYFUNCTION("""COMPUTED_VALUE"""),"2008-2231")</f>
        <v>2008-2231</v>
      </c>
      <c r="G559" s="1"/>
      <c r="H559" s="27" t="str">
        <f ca="1">IFERROR(__xludf.DUMMYFUNCTION("""COMPUTED_VALUE"""),"https://link.springer.com/journal/40199")</f>
        <v>https://link.springer.com/journal/40199</v>
      </c>
      <c r="I559" s="1" t="str">
        <f ca="1">IFERROR(__xludf.DUMMYFUNCTION("""COMPUTED_VALUE"""),"Springer")</f>
        <v>Springer</v>
      </c>
      <c r="J559" s="1">
        <f ca="1">IFERROR(__xludf.DUMMYFUNCTION("""COMPUTED_VALUE"""),2012)</f>
        <v>2012</v>
      </c>
      <c r="K559" s="1" t="str">
        <f ca="1">IFERROR(__xludf.DUMMYFUNCTION("""COMPUTED_VALUE"""),"Biomedical and Life Sciences")</f>
        <v>Biomedical and Life Sciences</v>
      </c>
      <c r="L559" s="1"/>
      <c r="M559" s="1"/>
      <c r="N559" s="1"/>
      <c r="O559" s="1"/>
      <c r="P559" s="1"/>
    </row>
    <row r="560" spans="1:16" ht="14.25" customHeight="1" x14ac:dyDescent="0.25">
      <c r="A560" s="1"/>
      <c r="B560" s="1">
        <f ca="1"/>
        <v>548</v>
      </c>
      <c r="C560" s="1">
        <f ca="1">IFERROR(__xludf.DUMMYFUNCTION("""COMPUTED_VALUE"""),2023)</f>
        <v>2023</v>
      </c>
      <c r="D560" s="1">
        <f ca="1">IFERROR(__xludf.DUMMYFUNCTION("""COMPUTED_VALUE"""),10618)</f>
        <v>10618</v>
      </c>
      <c r="E560" s="1" t="str">
        <f ca="1">IFERROR(__xludf.DUMMYFUNCTION("""COMPUTED_VALUE"""),"Data Mining and Knowledge Discovery")</f>
        <v>Data Mining and Knowledge Discovery</v>
      </c>
      <c r="F560" s="1" t="str">
        <f ca="1">IFERROR(__xludf.DUMMYFUNCTION("""COMPUTED_VALUE"""),"1573-756X")</f>
        <v>1573-756X</v>
      </c>
      <c r="G560" s="1" t="str">
        <f ca="1">IFERROR(__xludf.DUMMYFUNCTION("""COMPUTED_VALUE"""),"1384-5810")</f>
        <v>1384-5810</v>
      </c>
      <c r="H560" s="27" t="str">
        <f ca="1">IFERROR(__xludf.DUMMYFUNCTION("""COMPUTED_VALUE"""),"https://link.springer.com/journal/10618")</f>
        <v>https://link.springer.com/journal/10618</v>
      </c>
      <c r="I560" s="1" t="str">
        <f ca="1">IFERROR(__xludf.DUMMYFUNCTION("""COMPUTED_VALUE"""),"Springer")</f>
        <v>Springer</v>
      </c>
      <c r="J560" s="1">
        <f ca="1">IFERROR(__xludf.DUMMYFUNCTION("""COMPUTED_VALUE"""),2000)</f>
        <v>2000</v>
      </c>
      <c r="K560" s="1" t="str">
        <f ca="1">IFERROR(__xludf.DUMMYFUNCTION("""COMPUTED_VALUE"""),"Computer Science")</f>
        <v>Computer Science</v>
      </c>
      <c r="L560" s="1" t="str">
        <f ca="1">IFERROR(__xludf.DUMMYFUNCTION("""COMPUTED_VALUE"""),"〇")</f>
        <v>〇</v>
      </c>
      <c r="M560" s="1" t="str">
        <f ca="1">IFERROR(__xludf.DUMMYFUNCTION("""COMPUTED_VALUE"""),"〇")</f>
        <v>〇</v>
      </c>
      <c r="N560" s="1"/>
      <c r="O560" s="1"/>
      <c r="P560" s="1"/>
    </row>
    <row r="561" spans="1:16" ht="14.25" customHeight="1" x14ac:dyDescent="0.25">
      <c r="A561" s="1"/>
      <c r="B561" s="1">
        <f ca="1"/>
        <v>549</v>
      </c>
      <c r="C561" s="1">
        <f ca="1">IFERROR(__xludf.DUMMYFUNCTION("""COMPUTED_VALUE"""),2023)</f>
        <v>2023</v>
      </c>
      <c r="D561" s="1">
        <f ca="1">IFERROR(__xludf.DUMMYFUNCTION("""COMPUTED_VALUE"""),13222)</f>
        <v>13222</v>
      </c>
      <c r="E561" s="1" t="str">
        <f ca="1">IFERROR(__xludf.DUMMYFUNCTION("""COMPUTED_VALUE"""),"Datenbank-Spektrum")</f>
        <v>Datenbank-Spektrum</v>
      </c>
      <c r="F561" s="1" t="str">
        <f ca="1">IFERROR(__xludf.DUMMYFUNCTION("""COMPUTED_VALUE"""),"1610-1995")</f>
        <v>1610-1995</v>
      </c>
      <c r="G561" s="1" t="str">
        <f ca="1">IFERROR(__xludf.DUMMYFUNCTION("""COMPUTED_VALUE"""),"1618-2162")</f>
        <v>1618-2162</v>
      </c>
      <c r="H561" s="27" t="str">
        <f ca="1">IFERROR(__xludf.DUMMYFUNCTION("""COMPUTED_VALUE"""),"https://link.springer.com/journal/13222")</f>
        <v>https://link.springer.com/journal/13222</v>
      </c>
      <c r="I561" s="1" t="str">
        <f ca="1">IFERROR(__xludf.DUMMYFUNCTION("""COMPUTED_VALUE"""),"Springer")</f>
        <v>Springer</v>
      </c>
      <c r="J561" s="1">
        <f ca="1">IFERROR(__xludf.DUMMYFUNCTION("""COMPUTED_VALUE"""),2010)</f>
        <v>2010</v>
      </c>
      <c r="K561" s="1" t="str">
        <f ca="1">IFERROR(__xludf.DUMMYFUNCTION("""COMPUTED_VALUE"""),"Computer Science")</f>
        <v>Computer Science</v>
      </c>
      <c r="L561" s="1" t="str">
        <f ca="1">IFERROR(__xludf.DUMMYFUNCTION("""COMPUTED_VALUE"""),"〇")</f>
        <v>〇</v>
      </c>
      <c r="M561" s="1"/>
      <c r="N561" s="1" t="str">
        <f ca="1">IFERROR(__xludf.DUMMYFUNCTION("""COMPUTED_VALUE"""),"TO10")</f>
        <v>TO10</v>
      </c>
      <c r="O561" s="1"/>
      <c r="P561" s="1"/>
    </row>
    <row r="562" spans="1:16" ht="14.25" customHeight="1" x14ac:dyDescent="0.25">
      <c r="A562" s="1"/>
      <c r="B562" s="1">
        <f ca="1"/>
        <v>550</v>
      </c>
      <c r="C562" s="1">
        <f ca="1">IFERROR(__xludf.DUMMYFUNCTION("""COMPUTED_VALUE"""),2023)</f>
        <v>2023</v>
      </c>
      <c r="D562" s="1">
        <f ca="1">IFERROR(__xludf.DUMMYFUNCTION("""COMPUTED_VALUE"""),11623)</f>
        <v>11623</v>
      </c>
      <c r="E562" s="1" t="str">
        <f ca="1">IFERROR(__xludf.DUMMYFUNCTION("""COMPUTED_VALUE"""),"Datenschutz und Datensicherheit - DuD")</f>
        <v>Datenschutz und Datensicherheit - DuD</v>
      </c>
      <c r="F562" s="1" t="str">
        <f ca="1">IFERROR(__xludf.DUMMYFUNCTION("""COMPUTED_VALUE"""),"1862-2607")</f>
        <v>1862-2607</v>
      </c>
      <c r="G562" s="1" t="str">
        <f ca="1">IFERROR(__xludf.DUMMYFUNCTION("""COMPUTED_VALUE"""),"1614-0702")</f>
        <v>1614-0702</v>
      </c>
      <c r="H562" s="27" t="str">
        <f ca="1">IFERROR(__xludf.DUMMYFUNCTION("""COMPUTED_VALUE"""),"https://link.springer.com/journal/11623")</f>
        <v>https://link.springer.com/journal/11623</v>
      </c>
      <c r="I562" s="1" t="str">
        <f ca="1">IFERROR(__xludf.DUMMYFUNCTION("""COMPUTED_VALUE"""),"Springer Gabler")</f>
        <v>Springer Gabler</v>
      </c>
      <c r="J562" s="1">
        <f ca="1">IFERROR(__xludf.DUMMYFUNCTION("""COMPUTED_VALUE"""),2006)</f>
        <v>2006</v>
      </c>
      <c r="K562" s="1" t="str">
        <f ca="1">IFERROR(__xludf.DUMMYFUNCTION("""COMPUTED_VALUE"""),"Computer Science")</f>
        <v>Computer Science</v>
      </c>
      <c r="L562" s="1" t="str">
        <f ca="1">IFERROR(__xludf.DUMMYFUNCTION("""COMPUTED_VALUE"""),"〇")</f>
        <v>〇</v>
      </c>
      <c r="M562" s="1" t="str">
        <f ca="1">IFERROR(__xludf.DUMMYFUNCTION("""COMPUTED_VALUE"""),"〇")</f>
        <v>〇</v>
      </c>
      <c r="N562" s="1" t="str">
        <f ca="1">IFERROR(__xludf.DUMMYFUNCTION("""COMPUTED_VALUE"""),"SNS7")</f>
        <v>SNS7</v>
      </c>
      <c r="O562" s="1"/>
      <c r="P562" s="1"/>
    </row>
    <row r="563" spans="1:16" ht="14.25" customHeight="1" x14ac:dyDescent="0.25">
      <c r="A563" s="1"/>
      <c r="B563" s="1">
        <f ca="1"/>
        <v>551</v>
      </c>
      <c r="C563" s="1">
        <f ca="1">IFERROR(__xludf.DUMMYFUNCTION("""COMPUTED_VALUE"""),2023)</f>
        <v>2023</v>
      </c>
      <c r="D563" s="1">
        <f ca="1">IFERROR(__xludf.DUMMYFUNCTION("""COMPUTED_VALUE"""),10645)</f>
        <v>10645</v>
      </c>
      <c r="E563" s="1" t="str">
        <f ca="1">IFERROR(__xludf.DUMMYFUNCTION("""COMPUTED_VALUE"""),"De Economist")</f>
        <v>De Economist</v>
      </c>
      <c r="F563" s="1" t="str">
        <f ca="1">IFERROR(__xludf.DUMMYFUNCTION("""COMPUTED_VALUE"""),"1572-9982")</f>
        <v>1572-9982</v>
      </c>
      <c r="G563" s="1" t="str">
        <f ca="1">IFERROR(__xludf.DUMMYFUNCTION("""COMPUTED_VALUE"""),"0013-063X")</f>
        <v>0013-063X</v>
      </c>
      <c r="H563" s="27" t="str">
        <f ca="1">IFERROR(__xludf.DUMMYFUNCTION("""COMPUTED_VALUE"""),"https://link.springer.com/journal/10645")</f>
        <v>https://link.springer.com/journal/10645</v>
      </c>
      <c r="I563" s="1" t="str">
        <f ca="1">IFERROR(__xludf.DUMMYFUNCTION("""COMPUTED_VALUE"""),"Springer")</f>
        <v>Springer</v>
      </c>
      <c r="J563" s="1">
        <f ca="1">IFERROR(__xludf.DUMMYFUNCTION("""COMPUTED_VALUE"""),2000)</f>
        <v>2000</v>
      </c>
      <c r="K563" s="1" t="str">
        <f ca="1">IFERROR(__xludf.DUMMYFUNCTION("""COMPUTED_VALUE"""),"Economics and Finance")</f>
        <v>Economics and Finance</v>
      </c>
      <c r="L563" s="1" t="str">
        <f ca="1">IFERROR(__xludf.DUMMYFUNCTION("""COMPUTED_VALUE"""),"〇")</f>
        <v>〇</v>
      </c>
      <c r="M563" s="1" t="str">
        <f ca="1">IFERROR(__xludf.DUMMYFUNCTION("""COMPUTED_VALUE"""),"〇")</f>
        <v>〇</v>
      </c>
      <c r="N563" s="1"/>
      <c r="O563" s="1"/>
      <c r="P563" s="1"/>
    </row>
    <row r="564" spans="1:16" ht="14.25" customHeight="1" x14ac:dyDescent="0.25">
      <c r="A564" s="1"/>
      <c r="B564" s="1">
        <f ca="1"/>
        <v>552</v>
      </c>
      <c r="C564" s="1">
        <f ca="1">IFERROR(__xludf.DUMMYFUNCTION("""COMPUTED_VALUE"""),2023)</f>
        <v>2023</v>
      </c>
      <c r="D564" s="1">
        <f ca="1">IFERROR(__xludf.DUMMYFUNCTION("""COMPUTED_VALUE"""),40622)</f>
        <v>40622</v>
      </c>
      <c r="E564" s="1" t="str">
        <f ca="1">IFERROR(__xludf.DUMMYFUNCTION("""COMPUTED_VALUE"""),"DECISION")</f>
        <v>DECISION</v>
      </c>
      <c r="F564" s="1" t="str">
        <f ca="1">IFERROR(__xludf.DUMMYFUNCTION("""COMPUTED_VALUE"""),"2197-1722")</f>
        <v>2197-1722</v>
      </c>
      <c r="G564" s="1" t="str">
        <f ca="1">IFERROR(__xludf.DUMMYFUNCTION("""COMPUTED_VALUE"""),"0304-0941")</f>
        <v>0304-0941</v>
      </c>
      <c r="H564" s="27" t="str">
        <f ca="1">IFERROR(__xludf.DUMMYFUNCTION("""COMPUTED_VALUE"""),"https://link.springer.com/journal/40622")</f>
        <v>https://link.springer.com/journal/40622</v>
      </c>
      <c r="I564" s="1" t="str">
        <f ca="1">IFERROR(__xludf.DUMMYFUNCTION("""COMPUTED_VALUE"""),"Springer")</f>
        <v>Springer</v>
      </c>
      <c r="J564" s="1">
        <f ca="1">IFERROR(__xludf.DUMMYFUNCTION("""COMPUTED_VALUE"""),2013)</f>
        <v>2013</v>
      </c>
      <c r="K564" s="1" t="str">
        <f ca="1">IFERROR(__xludf.DUMMYFUNCTION("""COMPUTED_VALUE"""),"Business and Management")</f>
        <v>Business and Management</v>
      </c>
      <c r="L564" s="1" t="str">
        <f ca="1">IFERROR(__xludf.DUMMYFUNCTION("""COMPUTED_VALUE"""),"〇")</f>
        <v>〇</v>
      </c>
      <c r="M564" s="1"/>
      <c r="N564" s="1" t="str">
        <f ca="1">IFERROR(__xludf.DUMMYFUNCTION("""COMPUTED_VALUE"""),"TO13")</f>
        <v>TO13</v>
      </c>
      <c r="O564" s="1"/>
      <c r="P564" s="1"/>
    </row>
    <row r="565" spans="1:16" ht="14.25" customHeight="1" x14ac:dyDescent="0.25">
      <c r="A565" s="1"/>
      <c r="B565" s="1">
        <f ca="1"/>
        <v>553</v>
      </c>
      <c r="C565" s="1">
        <f ca="1">IFERROR(__xludf.DUMMYFUNCTION("""COMPUTED_VALUE"""),2023)</f>
        <v>2023</v>
      </c>
      <c r="D565" s="1">
        <f ca="1">IFERROR(__xludf.DUMMYFUNCTION("""COMPUTED_VALUE"""),10203)</f>
        <v>10203</v>
      </c>
      <c r="E565" s="1" t="str">
        <f ca="1">IFERROR(__xludf.DUMMYFUNCTION("""COMPUTED_VALUE"""),"Decisions in Economics and Finance")</f>
        <v>Decisions in Economics and Finance</v>
      </c>
      <c r="F565" s="1" t="str">
        <f ca="1">IFERROR(__xludf.DUMMYFUNCTION("""COMPUTED_VALUE"""),"1129-6569")</f>
        <v>1129-6569</v>
      </c>
      <c r="G565" s="1" t="str">
        <f ca="1">IFERROR(__xludf.DUMMYFUNCTION("""COMPUTED_VALUE"""),"1593-8883")</f>
        <v>1593-8883</v>
      </c>
      <c r="H565" s="27" t="str">
        <f ca="1">IFERROR(__xludf.DUMMYFUNCTION("""COMPUTED_VALUE"""),"https://link.springer.com/journal/10203")</f>
        <v>https://link.springer.com/journal/10203</v>
      </c>
      <c r="I565" s="1" t="str">
        <f ca="1">IFERROR(__xludf.DUMMYFUNCTION("""COMPUTED_VALUE"""),"Springer")</f>
        <v>Springer</v>
      </c>
      <c r="J565" s="1">
        <f ca="1">IFERROR(__xludf.DUMMYFUNCTION("""COMPUTED_VALUE"""),2000)</f>
        <v>2000</v>
      </c>
      <c r="K565" s="1" t="str">
        <f ca="1">IFERROR(__xludf.DUMMYFUNCTION("""COMPUTED_VALUE"""),"Economics and Finance")</f>
        <v>Economics and Finance</v>
      </c>
      <c r="L565" s="1" t="str">
        <f ca="1">IFERROR(__xludf.DUMMYFUNCTION("""COMPUTED_VALUE"""),"〇")</f>
        <v>〇</v>
      </c>
      <c r="M565" s="1" t="str">
        <f ca="1">IFERROR(__xludf.DUMMYFUNCTION("""COMPUTED_VALUE"""),"〇")</f>
        <v>〇</v>
      </c>
      <c r="N565" s="1"/>
      <c r="O565" s="1"/>
      <c r="P565" s="1"/>
    </row>
    <row r="566" spans="1:16" ht="14.25" customHeight="1" x14ac:dyDescent="0.25">
      <c r="A566" s="1"/>
      <c r="B566" s="1">
        <f ca="1"/>
        <v>554</v>
      </c>
      <c r="C566" s="1">
        <f ca="1">IFERROR(__xludf.DUMMYFUNCTION("""COMPUTED_VALUE"""),2023)</f>
        <v>2023</v>
      </c>
      <c r="D566" s="1">
        <f ca="1">IFERROR(__xludf.DUMMYFUNCTION("""COMPUTED_VALUE"""),101)</f>
        <v>101</v>
      </c>
      <c r="E566" s="1" t="str">
        <f ca="1">IFERROR(__xludf.DUMMYFUNCTION("""COMPUTED_VALUE"""),"Die Anaesthesiologie")</f>
        <v>Die Anaesthesiologie</v>
      </c>
      <c r="F566" s="1" t="str">
        <f ca="1">IFERROR(__xludf.DUMMYFUNCTION("""COMPUTED_VALUE"""),"2731-6866")</f>
        <v>2731-6866</v>
      </c>
      <c r="G566" s="1" t="str">
        <f ca="1">IFERROR(__xludf.DUMMYFUNCTION("""COMPUTED_VALUE"""),"2731-6858")</f>
        <v>2731-6858</v>
      </c>
      <c r="H566" s="27" t="str">
        <f ca="1">IFERROR(__xludf.DUMMYFUNCTION("""COMPUTED_VALUE"""),"https://link.springer.com/journal/101")</f>
        <v>https://link.springer.com/journal/101</v>
      </c>
      <c r="I566" s="1" t="str">
        <f ca="1">IFERROR(__xludf.DUMMYFUNCTION("""COMPUTED_VALUE"""),"SpringerMedizin")</f>
        <v>SpringerMedizin</v>
      </c>
      <c r="J566" s="1">
        <f ca="1">IFERROR(__xludf.DUMMYFUNCTION("""COMPUTED_VALUE"""),2000)</f>
        <v>2000</v>
      </c>
      <c r="K566" s="1" t="str">
        <f ca="1">IFERROR(__xludf.DUMMYFUNCTION("""COMPUTED_VALUE"""),"Medicine")</f>
        <v>Medicine</v>
      </c>
      <c r="L566" s="1" t="str">
        <f ca="1">IFERROR(__xludf.DUMMYFUNCTION("""COMPUTED_VALUE"""),"〇")</f>
        <v>〇</v>
      </c>
      <c r="M566" s="1" t="str">
        <f ca="1">IFERROR(__xludf.DUMMYFUNCTION("""COMPUTED_VALUE"""),"〇")</f>
        <v>〇</v>
      </c>
      <c r="N566" s="1"/>
      <c r="O566" s="1"/>
      <c r="P566" s="1"/>
    </row>
    <row r="567" spans="1:16" ht="14.25" customHeight="1" x14ac:dyDescent="0.25">
      <c r="A567" s="1"/>
      <c r="B567" s="1">
        <f ca="1"/>
        <v>555</v>
      </c>
      <c r="C567" s="1">
        <f ca="1">IFERROR(__xludf.DUMMYFUNCTION("""COMPUTED_VALUE"""),2023)</f>
        <v>2023</v>
      </c>
      <c r="D567" s="1">
        <f ca="1">IFERROR(__xludf.DUMMYFUNCTION("""COMPUTED_VALUE"""),104)</f>
        <v>104</v>
      </c>
      <c r="E567" s="1" t="str">
        <f ca="1">IFERROR(__xludf.DUMMYFUNCTION("""COMPUTED_VALUE"""),"Die Chirurgie")</f>
        <v>Die Chirurgie</v>
      </c>
      <c r="F567" s="1" t="str">
        <f ca="1">IFERROR(__xludf.DUMMYFUNCTION("""COMPUTED_VALUE"""),"2731-698X")</f>
        <v>2731-698X</v>
      </c>
      <c r="G567" s="1" t="str">
        <f ca="1">IFERROR(__xludf.DUMMYFUNCTION("""COMPUTED_VALUE"""),"2731-6971")</f>
        <v>2731-6971</v>
      </c>
      <c r="H567" s="27" t="str">
        <f ca="1">IFERROR(__xludf.DUMMYFUNCTION("""COMPUTED_VALUE"""),"https://link.springer.com/journal/104")</f>
        <v>https://link.springer.com/journal/104</v>
      </c>
      <c r="I567" s="1" t="str">
        <f ca="1">IFERROR(__xludf.DUMMYFUNCTION("""COMPUTED_VALUE"""),"SpringerMedizin")</f>
        <v>SpringerMedizin</v>
      </c>
      <c r="J567" s="1">
        <f ca="1">IFERROR(__xludf.DUMMYFUNCTION("""COMPUTED_VALUE"""),2000)</f>
        <v>2000</v>
      </c>
      <c r="K567" s="1" t="str">
        <f ca="1">IFERROR(__xludf.DUMMYFUNCTION("""COMPUTED_VALUE"""),"Medicine")</f>
        <v>Medicine</v>
      </c>
      <c r="L567" s="1" t="str">
        <f ca="1">IFERROR(__xludf.DUMMYFUNCTION("""COMPUTED_VALUE"""),"〇")</f>
        <v>〇</v>
      </c>
      <c r="M567" s="1" t="str">
        <f ca="1">IFERROR(__xludf.DUMMYFUNCTION("""COMPUTED_VALUE"""),"〇")</f>
        <v>〇</v>
      </c>
      <c r="N567" s="1"/>
      <c r="O567" s="1"/>
      <c r="P567" s="1"/>
    </row>
    <row r="568" spans="1:16" ht="14.25" customHeight="1" x14ac:dyDescent="0.25">
      <c r="A568" s="1"/>
      <c r="B568" s="1">
        <f ca="1"/>
        <v>556</v>
      </c>
      <c r="C568" s="1">
        <f ca="1">IFERROR(__xludf.DUMMYFUNCTION("""COMPUTED_VALUE"""),2023)</f>
        <v>2023</v>
      </c>
      <c r="D568" s="1">
        <f ca="1">IFERROR(__xludf.DUMMYFUNCTION("""COMPUTED_VALUE"""),11428)</f>
        <v>11428</v>
      </c>
      <c r="E568" s="1" t="str">
        <f ca="1">IFERROR(__xludf.DUMMYFUNCTION("""COMPUTED_VALUE"""),"Die Diabetologie")</f>
        <v>Die Diabetologie</v>
      </c>
      <c r="F568" s="1" t="str">
        <f ca="1">IFERROR(__xludf.DUMMYFUNCTION("""COMPUTED_VALUE"""),"2731-7455")</f>
        <v>2731-7455</v>
      </c>
      <c r="G568" s="1" t="str">
        <f ca="1">IFERROR(__xludf.DUMMYFUNCTION("""COMPUTED_VALUE"""),"2731-7447")</f>
        <v>2731-7447</v>
      </c>
      <c r="H568" s="27" t="str">
        <f ca="1">IFERROR(__xludf.DUMMYFUNCTION("""COMPUTED_VALUE"""),"https://link.springer.com/journal/11428")</f>
        <v>https://link.springer.com/journal/11428</v>
      </c>
      <c r="I568" s="1" t="str">
        <f ca="1">IFERROR(__xludf.DUMMYFUNCTION("""COMPUTED_VALUE"""),"SpringerMedizin")</f>
        <v>SpringerMedizin</v>
      </c>
      <c r="J568" s="1">
        <f ca="1">IFERROR(__xludf.DUMMYFUNCTION("""COMPUTED_VALUE"""),2005)</f>
        <v>2005</v>
      </c>
      <c r="K568" s="1" t="str">
        <f ca="1">IFERROR(__xludf.DUMMYFUNCTION("""COMPUTED_VALUE"""),"Medicine")</f>
        <v>Medicine</v>
      </c>
      <c r="L568" s="1" t="str">
        <f ca="1">IFERROR(__xludf.DUMMYFUNCTION("""COMPUTED_VALUE"""),"〇")</f>
        <v>〇</v>
      </c>
      <c r="M568" s="1" t="str">
        <f ca="1">IFERROR(__xludf.DUMMYFUNCTION("""COMPUTED_VALUE"""),"〇")</f>
        <v>〇</v>
      </c>
      <c r="N568" s="1"/>
      <c r="O568" s="1"/>
      <c r="P568" s="1"/>
    </row>
    <row r="569" spans="1:16" ht="14.25" customHeight="1" x14ac:dyDescent="0.25">
      <c r="A569" s="1"/>
      <c r="B569" s="1">
        <f ca="1"/>
        <v>557</v>
      </c>
      <c r="C569" s="1">
        <f ca="1">IFERROR(__xludf.DUMMYFUNCTION("""COMPUTED_VALUE"""),2023)</f>
        <v>2023</v>
      </c>
      <c r="D569" s="1">
        <f ca="1">IFERROR(__xludf.DUMMYFUNCTION("""COMPUTED_VALUE"""),12614)</f>
        <v>12614</v>
      </c>
      <c r="E569" s="1" t="str">
        <f ca="1">IFERROR(__xludf.DUMMYFUNCTION("""COMPUTED_VALUE"""),"Der Freie Zahnarzt")</f>
        <v>Der Freie Zahnarzt</v>
      </c>
      <c r="F569" s="1" t="str">
        <f ca="1">IFERROR(__xludf.DUMMYFUNCTION("""COMPUTED_VALUE"""),"2190-3824")</f>
        <v>2190-3824</v>
      </c>
      <c r="G569" s="1" t="str">
        <f ca="1">IFERROR(__xludf.DUMMYFUNCTION("""COMPUTED_VALUE"""),"0340-1766")</f>
        <v>0340-1766</v>
      </c>
      <c r="H569" s="27" t="str">
        <f ca="1">IFERROR(__xludf.DUMMYFUNCTION("""COMPUTED_VALUE"""),"https://link.springer.com/journal/12614")</f>
        <v>https://link.springer.com/journal/12614</v>
      </c>
      <c r="I569" s="1" t="str">
        <f ca="1">IFERROR(__xludf.DUMMYFUNCTION("""COMPUTED_VALUE"""),"SpringerMedizin")</f>
        <v>SpringerMedizin</v>
      </c>
      <c r="J569" s="1">
        <f ca="1">IFERROR(__xludf.DUMMYFUNCTION("""COMPUTED_VALUE"""),2010)</f>
        <v>2010</v>
      </c>
      <c r="K569" s="1" t="str">
        <f ca="1">IFERROR(__xludf.DUMMYFUNCTION("""COMPUTED_VALUE"""),"Medicine")</f>
        <v>Medicine</v>
      </c>
      <c r="L569" s="1" t="str">
        <f ca="1">IFERROR(__xludf.DUMMYFUNCTION("""COMPUTED_VALUE"""),"〇")</f>
        <v>〇</v>
      </c>
      <c r="M569" s="1" t="str">
        <f ca="1">IFERROR(__xludf.DUMMYFUNCTION("""COMPUTED_VALUE"""),"〇")</f>
        <v>〇</v>
      </c>
      <c r="N569" s="1"/>
      <c r="O569" s="1"/>
      <c r="P569" s="1"/>
    </row>
    <row r="570" spans="1:16" ht="14.25" customHeight="1" x14ac:dyDescent="0.25">
      <c r="A570" s="1"/>
      <c r="B570" s="1">
        <f ca="1"/>
        <v>558</v>
      </c>
      <c r="C570" s="1">
        <f ca="1">IFERROR(__xludf.DUMMYFUNCTION("""COMPUTED_VALUE"""),2023)</f>
        <v>2023</v>
      </c>
      <c r="D570" s="1">
        <f ca="1">IFERROR(__xludf.DUMMYFUNCTION("""COMPUTED_VALUE"""),11377)</f>
        <v>11377</v>
      </c>
      <c r="E570" s="1" t="str">
        <f ca="1">IFERROR(__xludf.DUMMYFUNCTION("""COMPUTED_VALUE"""),"Die Gastroenterologie")</f>
        <v>Die Gastroenterologie</v>
      </c>
      <c r="F570" s="1" t="str">
        <f ca="1">IFERROR(__xludf.DUMMYFUNCTION("""COMPUTED_VALUE"""),"2731-7439")</f>
        <v>2731-7439</v>
      </c>
      <c r="G570" s="1" t="str">
        <f ca="1">IFERROR(__xludf.DUMMYFUNCTION("""COMPUTED_VALUE"""),"2731-7420")</f>
        <v>2731-7420</v>
      </c>
      <c r="H570" s="27" t="str">
        <f ca="1">IFERROR(__xludf.DUMMYFUNCTION("""COMPUTED_VALUE"""),"https://link.springer.com/journal/11377")</f>
        <v>https://link.springer.com/journal/11377</v>
      </c>
      <c r="I570" s="1" t="str">
        <f ca="1">IFERROR(__xludf.DUMMYFUNCTION("""COMPUTED_VALUE"""),"SpringerMedizin")</f>
        <v>SpringerMedizin</v>
      </c>
      <c r="J570" s="1">
        <f ca="1">IFERROR(__xludf.DUMMYFUNCTION("""COMPUTED_VALUE"""),2006)</f>
        <v>2006</v>
      </c>
      <c r="K570" s="1" t="str">
        <f ca="1">IFERROR(__xludf.DUMMYFUNCTION("""COMPUTED_VALUE"""),"Medicine")</f>
        <v>Medicine</v>
      </c>
      <c r="L570" s="1" t="str">
        <f ca="1">IFERROR(__xludf.DUMMYFUNCTION("""COMPUTED_VALUE"""),"〇")</f>
        <v>〇</v>
      </c>
      <c r="M570" s="1" t="str">
        <f ca="1">IFERROR(__xludf.DUMMYFUNCTION("""COMPUTED_VALUE"""),"〇")</f>
        <v>〇</v>
      </c>
      <c r="N570" s="1"/>
      <c r="O570" s="1"/>
      <c r="P570" s="1"/>
    </row>
    <row r="571" spans="1:16" ht="14.25" customHeight="1" x14ac:dyDescent="0.25">
      <c r="A571" s="1"/>
      <c r="B571" s="1">
        <f ca="1"/>
        <v>559</v>
      </c>
      <c r="C571" s="1">
        <f ca="1">IFERROR(__xludf.DUMMYFUNCTION("""COMPUTED_VALUE"""),2023)</f>
        <v>2023</v>
      </c>
      <c r="D571" s="1">
        <f ca="1">IFERROR(__xludf.DUMMYFUNCTION("""COMPUTED_VALUE"""),129)</f>
        <v>129</v>
      </c>
      <c r="E571" s="1" t="str">
        <f ca="1">IFERROR(__xludf.DUMMYFUNCTION("""COMPUTED_VALUE"""),"Die Gynäkologie")</f>
        <v>Die Gynäkologie</v>
      </c>
      <c r="F571" s="1" t="str">
        <f ca="1">IFERROR(__xludf.DUMMYFUNCTION("""COMPUTED_VALUE"""),"2731-7110")</f>
        <v>2731-7110</v>
      </c>
      <c r="G571" s="1" t="str">
        <f ca="1">IFERROR(__xludf.DUMMYFUNCTION("""COMPUTED_VALUE"""),"2731-7102")</f>
        <v>2731-7102</v>
      </c>
      <c r="H571" s="27" t="str">
        <f ca="1">IFERROR(__xludf.DUMMYFUNCTION("""COMPUTED_VALUE"""),"https://link.springer.com/journal/129")</f>
        <v>https://link.springer.com/journal/129</v>
      </c>
      <c r="I571" s="1" t="str">
        <f ca="1">IFERROR(__xludf.DUMMYFUNCTION("""COMPUTED_VALUE"""),"SpringerMedizin")</f>
        <v>SpringerMedizin</v>
      </c>
      <c r="J571" s="1">
        <f ca="1">IFERROR(__xludf.DUMMYFUNCTION("""COMPUTED_VALUE"""),2000)</f>
        <v>2000</v>
      </c>
      <c r="K571" s="1" t="str">
        <f ca="1">IFERROR(__xludf.DUMMYFUNCTION("""COMPUTED_VALUE"""),"Medicine")</f>
        <v>Medicine</v>
      </c>
      <c r="L571" s="1" t="str">
        <f ca="1">IFERROR(__xludf.DUMMYFUNCTION("""COMPUTED_VALUE"""),"〇")</f>
        <v>〇</v>
      </c>
      <c r="M571" s="1" t="str">
        <f ca="1">IFERROR(__xludf.DUMMYFUNCTION("""COMPUTED_VALUE"""),"〇")</f>
        <v>〇</v>
      </c>
      <c r="N571" s="1"/>
      <c r="O571" s="1"/>
      <c r="P571" s="1"/>
    </row>
    <row r="572" spans="1:16" ht="14.25" customHeight="1" x14ac:dyDescent="0.25">
      <c r="A572" s="1"/>
      <c r="B572" s="1">
        <f ca="1"/>
        <v>560</v>
      </c>
      <c r="C572" s="1">
        <f ca="1">IFERROR(__xludf.DUMMYFUNCTION("""COMPUTED_VALUE"""),2023)</f>
        <v>2023</v>
      </c>
      <c r="D572" s="1">
        <f ca="1">IFERROR(__xludf.DUMMYFUNCTION("""COMPUTED_VALUE"""),105)</f>
        <v>105</v>
      </c>
      <c r="E572" s="1" t="str">
        <f ca="1">IFERROR(__xludf.DUMMYFUNCTION("""COMPUTED_VALUE"""),"Die Dermatologie")</f>
        <v>Die Dermatologie</v>
      </c>
      <c r="F572" s="1" t="str">
        <f ca="1">IFERROR(__xludf.DUMMYFUNCTION("""COMPUTED_VALUE"""),"2731-7013")</f>
        <v>2731-7013</v>
      </c>
      <c r="G572" s="1" t="str">
        <f ca="1">IFERROR(__xludf.DUMMYFUNCTION("""COMPUTED_VALUE"""),"2731-7005")</f>
        <v>2731-7005</v>
      </c>
      <c r="H572" s="27" t="str">
        <f ca="1">IFERROR(__xludf.DUMMYFUNCTION("""COMPUTED_VALUE"""),"https://link.springer.com/journal/105")</f>
        <v>https://link.springer.com/journal/105</v>
      </c>
      <c r="I572" s="1" t="str">
        <f ca="1">IFERROR(__xludf.DUMMYFUNCTION("""COMPUTED_VALUE"""),"SpringerMedizin")</f>
        <v>SpringerMedizin</v>
      </c>
      <c r="J572" s="1">
        <f ca="1">IFERROR(__xludf.DUMMYFUNCTION("""COMPUTED_VALUE"""),2000)</f>
        <v>2000</v>
      </c>
      <c r="K572" s="1" t="str">
        <f ca="1">IFERROR(__xludf.DUMMYFUNCTION("""COMPUTED_VALUE"""),"Medicine")</f>
        <v>Medicine</v>
      </c>
      <c r="L572" s="1" t="str">
        <f ca="1">IFERROR(__xludf.DUMMYFUNCTION("""COMPUTED_VALUE"""),"〇")</f>
        <v>〇</v>
      </c>
      <c r="M572" s="1" t="str">
        <f ca="1">IFERROR(__xludf.DUMMYFUNCTION("""COMPUTED_VALUE"""),"〇")</f>
        <v>〇</v>
      </c>
      <c r="N572" s="1"/>
      <c r="O572" s="1"/>
      <c r="P572" s="1"/>
    </row>
    <row r="573" spans="1:16" ht="14.25" customHeight="1" x14ac:dyDescent="0.25">
      <c r="A573" s="1"/>
      <c r="B573" s="1">
        <f ca="1"/>
        <v>561</v>
      </c>
      <c r="C573" s="1">
        <f ca="1">IFERROR(__xludf.DUMMYFUNCTION("""COMPUTED_VALUE"""),2023)</f>
        <v>2023</v>
      </c>
      <c r="D573" s="1">
        <f ca="1">IFERROR(__xludf.DUMMYFUNCTION("""COMPUTED_VALUE"""),108)</f>
        <v>108</v>
      </c>
      <c r="E573" s="1" t="str">
        <f ca="1">IFERROR(__xludf.DUMMYFUNCTION("""COMPUTED_VALUE"""),"Die Innere Medizin")</f>
        <v>Die Innere Medizin</v>
      </c>
      <c r="F573" s="1" t="str">
        <f ca="1">IFERROR(__xludf.DUMMYFUNCTION("""COMPUTED_VALUE"""),"2731-7099")</f>
        <v>2731-7099</v>
      </c>
      <c r="G573" s="1" t="str">
        <f ca="1">IFERROR(__xludf.DUMMYFUNCTION("""COMPUTED_VALUE"""),"2731-7080")</f>
        <v>2731-7080</v>
      </c>
      <c r="H573" s="27" t="str">
        <f ca="1">IFERROR(__xludf.DUMMYFUNCTION("""COMPUTED_VALUE"""),"https://link.springer.com/journal/108")</f>
        <v>https://link.springer.com/journal/108</v>
      </c>
      <c r="I573" s="1" t="str">
        <f ca="1">IFERROR(__xludf.DUMMYFUNCTION("""COMPUTED_VALUE"""),"SpringerMedizin")</f>
        <v>SpringerMedizin</v>
      </c>
      <c r="J573" s="1">
        <f ca="1">IFERROR(__xludf.DUMMYFUNCTION("""COMPUTED_VALUE"""),2000)</f>
        <v>2000</v>
      </c>
      <c r="K573" s="1" t="str">
        <f ca="1">IFERROR(__xludf.DUMMYFUNCTION("""COMPUTED_VALUE"""),"Medicine")</f>
        <v>Medicine</v>
      </c>
      <c r="L573" s="1" t="str">
        <f ca="1">IFERROR(__xludf.DUMMYFUNCTION("""COMPUTED_VALUE"""),"〇")</f>
        <v>〇</v>
      </c>
      <c r="M573" s="1" t="str">
        <f ca="1">IFERROR(__xludf.DUMMYFUNCTION("""COMPUTED_VALUE"""),"〇")</f>
        <v>〇</v>
      </c>
      <c r="N573" s="1"/>
      <c r="O573" s="1"/>
      <c r="P573" s="1"/>
    </row>
    <row r="574" spans="1:16" ht="14.25" customHeight="1" x14ac:dyDescent="0.25">
      <c r="A574" s="1"/>
      <c r="B574" s="1">
        <f ca="1"/>
        <v>562</v>
      </c>
      <c r="C574" s="1">
        <f ca="1">IFERROR(__xludf.DUMMYFUNCTION("""COMPUTED_VALUE"""),2023)</f>
        <v>2023</v>
      </c>
      <c r="D574" s="1">
        <f ca="1">IFERROR(__xludf.DUMMYFUNCTION("""COMPUTED_VALUE"""),13279)</f>
        <v>13279</v>
      </c>
      <c r="E574" s="1" t="str">
        <f ca="1">IFERROR(__xludf.DUMMYFUNCTION("""COMPUTED_VALUE"""),"der junge zahnarzt")</f>
        <v>der junge zahnarzt</v>
      </c>
      <c r="F574" s="1" t="str">
        <f ca="1">IFERROR(__xludf.DUMMYFUNCTION("""COMPUTED_VALUE"""),"1869-5752")</f>
        <v>1869-5752</v>
      </c>
      <c r="G574" s="1" t="str">
        <f ca="1">IFERROR(__xludf.DUMMYFUNCTION("""COMPUTED_VALUE"""),"1869-5744")</f>
        <v>1869-5744</v>
      </c>
      <c r="H574" s="27" t="str">
        <f ca="1">IFERROR(__xludf.DUMMYFUNCTION("""COMPUTED_VALUE"""),"https://link.springer.com/journal/13279")</f>
        <v>https://link.springer.com/journal/13279</v>
      </c>
      <c r="I574" s="1" t="str">
        <f ca="1">IFERROR(__xludf.DUMMYFUNCTION("""COMPUTED_VALUE"""),"SpringerMedizin")</f>
        <v>SpringerMedizin</v>
      </c>
      <c r="J574" s="1">
        <f ca="1">IFERROR(__xludf.DUMMYFUNCTION("""COMPUTED_VALUE"""),2010)</f>
        <v>2010</v>
      </c>
      <c r="K574" s="1" t="str">
        <f ca="1">IFERROR(__xludf.DUMMYFUNCTION("""COMPUTED_VALUE"""),"Medicine")</f>
        <v>Medicine</v>
      </c>
      <c r="L574" s="1" t="str">
        <f ca="1">IFERROR(__xludf.DUMMYFUNCTION("""COMPUTED_VALUE"""),"〇")</f>
        <v>〇</v>
      </c>
      <c r="M574" s="1" t="str">
        <f ca="1">IFERROR(__xludf.DUMMYFUNCTION("""COMPUTED_VALUE"""),"〇")</f>
        <v>〇</v>
      </c>
      <c r="N574" s="1"/>
      <c r="O574" s="1"/>
      <c r="P574" s="1"/>
    </row>
    <row r="575" spans="1:16" ht="14.25" customHeight="1" x14ac:dyDescent="0.25">
      <c r="A575" s="1"/>
      <c r="B575" s="1">
        <f ca="1"/>
        <v>563</v>
      </c>
      <c r="C575" s="1">
        <f ca="1">IFERROR(__xludf.DUMMYFUNCTION("""COMPUTED_VALUE"""),2023)</f>
        <v>2023</v>
      </c>
      <c r="D575" s="1">
        <f ca="1">IFERROR(__xludf.DUMMYFUNCTION("""COMPUTED_VALUE"""),12181)</f>
        <v>12181</v>
      </c>
      <c r="E575" s="1" t="str">
        <f ca="1">IFERROR(__xludf.DUMMYFUNCTION("""COMPUTED_VALUE"""),"Die Kardiologie")</f>
        <v>Die Kardiologie</v>
      </c>
      <c r="F575" s="1" t="str">
        <f ca="1">IFERROR(__xludf.DUMMYFUNCTION("""COMPUTED_VALUE"""),"2731-7137")</f>
        <v>2731-7137</v>
      </c>
      <c r="G575" s="1" t="str">
        <f ca="1">IFERROR(__xludf.DUMMYFUNCTION("""COMPUTED_VALUE"""),"2731-7129")</f>
        <v>2731-7129</v>
      </c>
      <c r="H575" s="27" t="str">
        <f ca="1">IFERROR(__xludf.DUMMYFUNCTION("""COMPUTED_VALUE"""),"https://link.springer.com/journal/12181")</f>
        <v>https://link.springer.com/journal/12181</v>
      </c>
      <c r="I575" s="1" t="str">
        <f ca="1">IFERROR(__xludf.DUMMYFUNCTION("""COMPUTED_VALUE"""),"SpringerMedizin")</f>
        <v>SpringerMedizin</v>
      </c>
      <c r="J575" s="1">
        <f ca="1">IFERROR(__xludf.DUMMYFUNCTION("""COMPUTED_VALUE"""),2007)</f>
        <v>2007</v>
      </c>
      <c r="K575" s="1" t="str">
        <f ca="1">IFERROR(__xludf.DUMMYFUNCTION("""COMPUTED_VALUE"""),"Medicine")</f>
        <v>Medicine</v>
      </c>
      <c r="L575" s="1" t="str">
        <f ca="1">IFERROR(__xludf.DUMMYFUNCTION("""COMPUTED_VALUE"""),"〇")</f>
        <v>〇</v>
      </c>
      <c r="M575" s="1" t="str">
        <f ca="1">IFERROR(__xludf.DUMMYFUNCTION("""COMPUTED_VALUE"""),"〇")</f>
        <v>〇</v>
      </c>
      <c r="N575" s="1" t="str">
        <f ca="1">IFERROR(__xludf.DUMMYFUNCTION("""COMPUTED_VALUE"""),"SNS7")</f>
        <v>SNS7</v>
      </c>
      <c r="O575" s="1"/>
      <c r="P575" s="1"/>
    </row>
    <row r="576" spans="1:16" ht="14.25" customHeight="1" x14ac:dyDescent="0.25">
      <c r="A576" s="1"/>
      <c r="B576" s="1">
        <f ca="1"/>
        <v>564</v>
      </c>
      <c r="C576" s="1">
        <f ca="1">IFERROR(__xludf.DUMMYFUNCTION("""COMPUTED_VALUE"""),2023)</f>
        <v>2023</v>
      </c>
      <c r="D576" s="1">
        <f ca="1">IFERROR(__xludf.DUMMYFUNCTION("""COMPUTED_VALUE"""),12285)</f>
        <v>12285</v>
      </c>
      <c r="E576" s="1" t="str">
        <f ca="1">IFERROR(__xludf.DUMMYFUNCTION("""COMPUTED_VALUE"""),"Die MKG-Chirurgie")</f>
        <v>Die MKG-Chirurgie</v>
      </c>
      <c r="F576" s="1" t="str">
        <f ca="1">IFERROR(__xludf.DUMMYFUNCTION("""COMPUTED_VALUE"""),"2731-7498")</f>
        <v>2731-7498</v>
      </c>
      <c r="G576" s="1" t="str">
        <f ca="1">IFERROR(__xludf.DUMMYFUNCTION("""COMPUTED_VALUE"""),"2731-748X")</f>
        <v>2731-748X</v>
      </c>
      <c r="H576" s="27" t="str">
        <f ca="1">IFERROR(__xludf.DUMMYFUNCTION("""COMPUTED_VALUE"""),"https://link.springer.com/journal/12285")</f>
        <v>https://link.springer.com/journal/12285</v>
      </c>
      <c r="I576" s="1" t="str">
        <f ca="1">IFERROR(__xludf.DUMMYFUNCTION("""COMPUTED_VALUE"""),"SpringerMedizin")</f>
        <v>SpringerMedizin</v>
      </c>
      <c r="J576" s="1">
        <f ca="1">IFERROR(__xludf.DUMMYFUNCTION("""COMPUTED_VALUE"""),2008)</f>
        <v>2008</v>
      </c>
      <c r="K576" s="1" t="str">
        <f ca="1">IFERROR(__xludf.DUMMYFUNCTION("""COMPUTED_VALUE"""),"Medicine")</f>
        <v>Medicine</v>
      </c>
      <c r="L576" s="1" t="str">
        <f ca="1">IFERROR(__xludf.DUMMYFUNCTION("""COMPUTED_VALUE"""),"〇")</f>
        <v>〇</v>
      </c>
      <c r="M576" s="1" t="str">
        <f ca="1">IFERROR(__xludf.DUMMYFUNCTION("""COMPUTED_VALUE"""),"〇")</f>
        <v>〇</v>
      </c>
      <c r="N576" s="1" t="str">
        <f ca="1">IFERROR(__xludf.DUMMYFUNCTION("""COMPUTED_VALUE"""),"SNS8")</f>
        <v>SNS8</v>
      </c>
      <c r="O576" s="1"/>
      <c r="P576" s="1"/>
    </row>
    <row r="577" spans="1:16" ht="14.25" customHeight="1" x14ac:dyDescent="0.25">
      <c r="A577" s="1"/>
      <c r="B577" s="1">
        <f ca="1"/>
        <v>565</v>
      </c>
      <c r="C577" s="1">
        <f ca="1">IFERROR(__xludf.DUMMYFUNCTION("""COMPUTED_VALUE"""),2023)</f>
        <v>2023</v>
      </c>
      <c r="D577" s="1">
        <f ca="1">IFERROR(__xludf.DUMMYFUNCTION("""COMPUTED_VALUE"""),11560)</f>
        <v>11560</v>
      </c>
      <c r="E577" s="1" t="str">
        <f ca="1">IFERROR(__xludf.DUMMYFUNCTION("""COMPUTED_VALUE"""),"Die Nephrologie")</f>
        <v>Die Nephrologie</v>
      </c>
      <c r="F577" s="1" t="str">
        <f ca="1">IFERROR(__xludf.DUMMYFUNCTION("""COMPUTED_VALUE"""),"2731-7471")</f>
        <v>2731-7471</v>
      </c>
      <c r="G577" s="1" t="str">
        <f ca="1">IFERROR(__xludf.DUMMYFUNCTION("""COMPUTED_VALUE"""),"2731-7463")</f>
        <v>2731-7463</v>
      </c>
      <c r="H577" s="27" t="str">
        <f ca="1">IFERROR(__xludf.DUMMYFUNCTION("""COMPUTED_VALUE"""),"https://link.springer.com/journal/11560")</f>
        <v>https://link.springer.com/journal/11560</v>
      </c>
      <c r="I577" s="1" t="str">
        <f ca="1">IFERROR(__xludf.DUMMYFUNCTION("""COMPUTED_VALUE"""),"SpringerMedizin")</f>
        <v>SpringerMedizin</v>
      </c>
      <c r="J577" s="1">
        <f ca="1">IFERROR(__xludf.DUMMYFUNCTION("""COMPUTED_VALUE"""),2006)</f>
        <v>2006</v>
      </c>
      <c r="K577" s="1" t="str">
        <f ca="1">IFERROR(__xludf.DUMMYFUNCTION("""COMPUTED_VALUE"""),"Medicine")</f>
        <v>Medicine</v>
      </c>
      <c r="L577" s="1" t="str">
        <f ca="1">IFERROR(__xludf.DUMMYFUNCTION("""COMPUTED_VALUE"""),"〇")</f>
        <v>〇</v>
      </c>
      <c r="M577" s="1" t="str">
        <f ca="1">IFERROR(__xludf.DUMMYFUNCTION("""COMPUTED_VALUE"""),"〇")</f>
        <v>〇</v>
      </c>
      <c r="N577" s="1"/>
      <c r="O577" s="1"/>
      <c r="P577" s="1"/>
    </row>
    <row r="578" spans="1:16" ht="14.25" customHeight="1" x14ac:dyDescent="0.25">
      <c r="A578" s="1"/>
      <c r="B578" s="1">
        <f ca="1"/>
        <v>566</v>
      </c>
      <c r="C578" s="1">
        <f ca="1">IFERROR(__xludf.DUMMYFUNCTION("""COMPUTED_VALUE"""),2023)</f>
        <v>2023</v>
      </c>
      <c r="D578" s="1">
        <f ca="1">IFERROR(__xludf.DUMMYFUNCTION("""COMPUTED_VALUE"""),115)</f>
        <v>115</v>
      </c>
      <c r="E578" s="1" t="str">
        <f ca="1">IFERROR(__xludf.DUMMYFUNCTION("""COMPUTED_VALUE"""),"Der Nervenarzt")</f>
        <v>Der Nervenarzt</v>
      </c>
      <c r="F578" s="1" t="str">
        <f ca="1">IFERROR(__xludf.DUMMYFUNCTION("""COMPUTED_VALUE"""),"1433-0407")</f>
        <v>1433-0407</v>
      </c>
      <c r="G578" s="1" t="str">
        <f ca="1">IFERROR(__xludf.DUMMYFUNCTION("""COMPUTED_VALUE"""),"0028-2804")</f>
        <v>0028-2804</v>
      </c>
      <c r="H578" s="27" t="str">
        <f ca="1">IFERROR(__xludf.DUMMYFUNCTION("""COMPUTED_VALUE"""),"https://link.springer.com/journal/115")</f>
        <v>https://link.springer.com/journal/115</v>
      </c>
      <c r="I578" s="1" t="str">
        <f ca="1">IFERROR(__xludf.DUMMYFUNCTION("""COMPUTED_VALUE"""),"SpringerMedizin")</f>
        <v>SpringerMedizin</v>
      </c>
      <c r="J578" s="1">
        <f ca="1">IFERROR(__xludf.DUMMYFUNCTION("""COMPUTED_VALUE"""),2000)</f>
        <v>2000</v>
      </c>
      <c r="K578" s="1" t="str">
        <f ca="1">IFERROR(__xludf.DUMMYFUNCTION("""COMPUTED_VALUE"""),"Medicine")</f>
        <v>Medicine</v>
      </c>
      <c r="L578" s="1" t="str">
        <f ca="1">IFERROR(__xludf.DUMMYFUNCTION("""COMPUTED_VALUE"""),"〇")</f>
        <v>〇</v>
      </c>
      <c r="M578" s="1" t="str">
        <f ca="1">IFERROR(__xludf.DUMMYFUNCTION("""COMPUTED_VALUE"""),"〇")</f>
        <v>〇</v>
      </c>
      <c r="N578" s="1"/>
      <c r="O578" s="1"/>
      <c r="P578" s="1"/>
    </row>
    <row r="579" spans="1:16" ht="14.25" customHeight="1" x14ac:dyDescent="0.25">
      <c r="A579" s="1"/>
      <c r="B579" s="1">
        <f ca="1"/>
        <v>567</v>
      </c>
      <c r="C579" s="1">
        <f ca="1">IFERROR(__xludf.DUMMYFUNCTION("""COMPUTED_VALUE"""),2023)</f>
        <v>2023</v>
      </c>
      <c r="D579" s="1">
        <f ca="1">IFERROR(__xludf.DUMMYFUNCTION("""COMPUTED_VALUE"""),761)</f>
        <v>761</v>
      </c>
      <c r="E579" s="1" t="str">
        <f ca="1">IFERROR(__xludf.DUMMYFUNCTION("""COMPUTED_VALUE"""),"Die Onkologie")</f>
        <v>Die Onkologie</v>
      </c>
      <c r="F579" s="1" t="str">
        <f ca="1">IFERROR(__xludf.DUMMYFUNCTION("""COMPUTED_VALUE"""),"2731-7234")</f>
        <v>2731-7234</v>
      </c>
      <c r="G579" s="1" t="str">
        <f ca="1">IFERROR(__xludf.DUMMYFUNCTION("""COMPUTED_VALUE"""),"2731-7226")</f>
        <v>2731-7226</v>
      </c>
      <c r="H579" s="27" t="str">
        <f ca="1">IFERROR(__xludf.DUMMYFUNCTION("""COMPUTED_VALUE"""),"https://link.springer.com/journal/761")</f>
        <v>https://link.springer.com/journal/761</v>
      </c>
      <c r="I579" s="1" t="str">
        <f ca="1">IFERROR(__xludf.DUMMYFUNCTION("""COMPUTED_VALUE"""),"SpringerMedizin")</f>
        <v>SpringerMedizin</v>
      </c>
      <c r="J579" s="1">
        <f ca="1">IFERROR(__xludf.DUMMYFUNCTION("""COMPUTED_VALUE"""),2000)</f>
        <v>2000</v>
      </c>
      <c r="K579" s="1" t="str">
        <f ca="1">IFERROR(__xludf.DUMMYFUNCTION("""COMPUTED_VALUE"""),"Medicine")</f>
        <v>Medicine</v>
      </c>
      <c r="L579" s="1" t="str">
        <f ca="1">IFERROR(__xludf.DUMMYFUNCTION("""COMPUTED_VALUE"""),"〇")</f>
        <v>〇</v>
      </c>
      <c r="M579" s="1" t="str">
        <f ca="1">IFERROR(__xludf.DUMMYFUNCTION("""COMPUTED_VALUE"""),"〇")</f>
        <v>〇</v>
      </c>
      <c r="N579" s="1"/>
      <c r="O579" s="1"/>
      <c r="P579" s="1"/>
    </row>
    <row r="580" spans="1:16" ht="14.25" customHeight="1" x14ac:dyDescent="0.25">
      <c r="A580" s="1"/>
      <c r="B580" s="1">
        <f ca="1"/>
        <v>568</v>
      </c>
      <c r="C580" s="1">
        <f ca="1">IFERROR(__xludf.DUMMYFUNCTION("""COMPUTED_VALUE"""),2023)</f>
        <v>2023</v>
      </c>
      <c r="D580" s="1">
        <f ca="1">IFERROR(__xludf.DUMMYFUNCTION("""COMPUTED_VALUE"""),347)</f>
        <v>347</v>
      </c>
      <c r="E580" s="1" t="str">
        <f ca="1">IFERROR(__xludf.DUMMYFUNCTION("""COMPUTED_VALUE"""),"Die Ophthalmologie")</f>
        <v>Die Ophthalmologie</v>
      </c>
      <c r="F580" s="1" t="str">
        <f ca="1">IFERROR(__xludf.DUMMYFUNCTION("""COMPUTED_VALUE"""),"2731-7218")</f>
        <v>2731-7218</v>
      </c>
      <c r="G580" s="1" t="str">
        <f ca="1">IFERROR(__xludf.DUMMYFUNCTION("""COMPUTED_VALUE"""),"2731-720X")</f>
        <v>2731-720X</v>
      </c>
      <c r="H580" s="27" t="str">
        <f ca="1">IFERROR(__xludf.DUMMYFUNCTION("""COMPUTED_VALUE"""),"https://link.springer.com/journal/347")</f>
        <v>https://link.springer.com/journal/347</v>
      </c>
      <c r="I580" s="1" t="str">
        <f ca="1">IFERROR(__xludf.DUMMYFUNCTION("""COMPUTED_VALUE"""),"SpringerMedizin")</f>
        <v>SpringerMedizin</v>
      </c>
      <c r="J580" s="1">
        <f ca="1">IFERROR(__xludf.DUMMYFUNCTION("""COMPUTED_VALUE"""),2000)</f>
        <v>2000</v>
      </c>
      <c r="K580" s="1" t="str">
        <f ca="1">IFERROR(__xludf.DUMMYFUNCTION("""COMPUTED_VALUE"""),"Medicine")</f>
        <v>Medicine</v>
      </c>
      <c r="L580" s="1" t="str">
        <f ca="1">IFERROR(__xludf.DUMMYFUNCTION("""COMPUTED_VALUE"""),"〇")</f>
        <v>〇</v>
      </c>
      <c r="M580" s="1" t="str">
        <f ca="1">IFERROR(__xludf.DUMMYFUNCTION("""COMPUTED_VALUE"""),"〇")</f>
        <v>〇</v>
      </c>
      <c r="N580" s="1"/>
      <c r="O580" s="1"/>
      <c r="P580" s="1"/>
    </row>
    <row r="581" spans="1:16" ht="14.25" customHeight="1" x14ac:dyDescent="0.25">
      <c r="A581" s="1"/>
      <c r="B581" s="1">
        <f ca="1"/>
        <v>569</v>
      </c>
      <c r="C581" s="1">
        <f ca="1">IFERROR(__xludf.DUMMYFUNCTION("""COMPUTED_VALUE"""),2023)</f>
        <v>2023</v>
      </c>
      <c r="D581" s="1">
        <f ca="1">IFERROR(__xludf.DUMMYFUNCTION("""COMPUTED_VALUE"""),132)</f>
        <v>132</v>
      </c>
      <c r="E581" s="1" t="str">
        <f ca="1">IFERROR(__xludf.DUMMYFUNCTION("""COMPUTED_VALUE"""),"Die Orthopädie")</f>
        <v>Die Orthopädie</v>
      </c>
      <c r="F581" s="1" t="str">
        <f ca="1">IFERROR(__xludf.DUMMYFUNCTION("""COMPUTED_VALUE"""),"2731-7153")</f>
        <v>2731-7153</v>
      </c>
      <c r="G581" s="1" t="str">
        <f ca="1">IFERROR(__xludf.DUMMYFUNCTION("""COMPUTED_VALUE"""),"2731-7145")</f>
        <v>2731-7145</v>
      </c>
      <c r="H581" s="27" t="str">
        <f ca="1">IFERROR(__xludf.DUMMYFUNCTION("""COMPUTED_VALUE"""),"https://link.springer.com/journal/132")</f>
        <v>https://link.springer.com/journal/132</v>
      </c>
      <c r="I581" s="1" t="str">
        <f ca="1">IFERROR(__xludf.DUMMYFUNCTION("""COMPUTED_VALUE"""),"SpringerMedizin")</f>
        <v>SpringerMedizin</v>
      </c>
      <c r="J581" s="1">
        <f ca="1">IFERROR(__xludf.DUMMYFUNCTION("""COMPUTED_VALUE"""),2000)</f>
        <v>2000</v>
      </c>
      <c r="K581" s="1" t="str">
        <f ca="1">IFERROR(__xludf.DUMMYFUNCTION("""COMPUTED_VALUE"""),"Medicine")</f>
        <v>Medicine</v>
      </c>
      <c r="L581" s="1" t="str">
        <f ca="1">IFERROR(__xludf.DUMMYFUNCTION("""COMPUTED_VALUE"""),"〇")</f>
        <v>〇</v>
      </c>
      <c r="M581" s="1" t="str">
        <f ca="1">IFERROR(__xludf.DUMMYFUNCTION("""COMPUTED_VALUE"""),"〇")</f>
        <v>〇</v>
      </c>
      <c r="N581" s="1"/>
      <c r="O581" s="1"/>
      <c r="P581" s="1"/>
    </row>
    <row r="582" spans="1:16" ht="14.25" customHeight="1" x14ac:dyDescent="0.25">
      <c r="A582" s="1"/>
      <c r="B582" s="1">
        <f ca="1"/>
        <v>570</v>
      </c>
      <c r="C582" s="1">
        <f ca="1">IFERROR(__xludf.DUMMYFUNCTION("""COMPUTED_VALUE"""),2023)</f>
        <v>2023</v>
      </c>
      <c r="D582" s="1">
        <f ca="1">IFERROR(__xludf.DUMMYFUNCTION("""COMPUTED_VALUE"""),292)</f>
        <v>292</v>
      </c>
      <c r="E582" s="1" t="str">
        <f ca="1">IFERROR(__xludf.DUMMYFUNCTION("""COMPUTED_VALUE"""),"Die Pathologie")</f>
        <v>Die Pathologie</v>
      </c>
      <c r="F582" s="1" t="str">
        <f ca="1">IFERROR(__xludf.DUMMYFUNCTION("""COMPUTED_VALUE"""),"2731-7196")</f>
        <v>2731-7196</v>
      </c>
      <c r="G582" s="1" t="str">
        <f ca="1">IFERROR(__xludf.DUMMYFUNCTION("""COMPUTED_VALUE"""),"2731-7188")</f>
        <v>2731-7188</v>
      </c>
      <c r="H582" s="27" t="str">
        <f ca="1">IFERROR(__xludf.DUMMYFUNCTION("""COMPUTED_VALUE"""),"https://link.springer.com/journal/292")</f>
        <v>https://link.springer.com/journal/292</v>
      </c>
      <c r="I582" s="1" t="str">
        <f ca="1">IFERROR(__xludf.DUMMYFUNCTION("""COMPUTED_VALUE"""),"SpringerMedizin")</f>
        <v>SpringerMedizin</v>
      </c>
      <c r="J582" s="1">
        <f ca="1">IFERROR(__xludf.DUMMYFUNCTION("""COMPUTED_VALUE"""),2000)</f>
        <v>2000</v>
      </c>
      <c r="K582" s="1" t="str">
        <f ca="1">IFERROR(__xludf.DUMMYFUNCTION("""COMPUTED_VALUE"""),"Medicine")</f>
        <v>Medicine</v>
      </c>
      <c r="L582" s="1" t="str">
        <f ca="1">IFERROR(__xludf.DUMMYFUNCTION("""COMPUTED_VALUE"""),"〇")</f>
        <v>〇</v>
      </c>
      <c r="M582" s="1" t="str">
        <f ca="1">IFERROR(__xludf.DUMMYFUNCTION("""COMPUTED_VALUE"""),"〇")</f>
        <v>〇</v>
      </c>
      <c r="N582" s="1"/>
      <c r="O582" s="1"/>
      <c r="P582" s="1"/>
    </row>
    <row r="583" spans="1:16" ht="14.25" customHeight="1" x14ac:dyDescent="0.25">
      <c r="A583" s="1"/>
      <c r="B583" s="1">
        <f ca="1"/>
        <v>571</v>
      </c>
      <c r="C583" s="1">
        <f ca="1">IFERROR(__xludf.DUMMYFUNCTION("""COMPUTED_VALUE"""),2023)</f>
        <v>2023</v>
      </c>
      <c r="D583" s="1">
        <f ca="1">IFERROR(__xludf.DUMMYFUNCTION("""COMPUTED_VALUE"""),10405)</f>
        <v>10405</v>
      </c>
      <c r="E583" s="1" t="str">
        <f ca="1">IFERROR(__xludf.DUMMYFUNCTION("""COMPUTED_VALUE"""),"Zeitschrift für Pneumologie")</f>
        <v>Zeitschrift für Pneumologie</v>
      </c>
      <c r="F583" s="1" t="str">
        <f ca="1">IFERROR(__xludf.DUMMYFUNCTION("""COMPUTED_VALUE"""),"2731-7412")</f>
        <v>2731-7412</v>
      </c>
      <c r="G583" s="1" t="str">
        <f ca="1">IFERROR(__xludf.DUMMYFUNCTION("""COMPUTED_VALUE"""),"2731-7404")</f>
        <v>2731-7404</v>
      </c>
      <c r="H583" s="27" t="str">
        <f ca="1">IFERROR(__xludf.DUMMYFUNCTION("""COMPUTED_VALUE"""),"https://link.springer.com/journal/10405")</f>
        <v>https://link.springer.com/journal/10405</v>
      </c>
      <c r="I583" s="1" t="str">
        <f ca="1">IFERROR(__xludf.DUMMYFUNCTION("""COMPUTED_VALUE"""),"SpringerMedizin")</f>
        <v>SpringerMedizin</v>
      </c>
      <c r="J583" s="1">
        <f ca="1">IFERROR(__xludf.DUMMYFUNCTION("""COMPUTED_VALUE"""),2004)</f>
        <v>2004</v>
      </c>
      <c r="K583" s="1" t="str">
        <f ca="1">IFERROR(__xludf.DUMMYFUNCTION("""COMPUTED_VALUE"""),"Medicine")</f>
        <v>Medicine</v>
      </c>
      <c r="L583" s="1" t="str">
        <f ca="1">IFERROR(__xludf.DUMMYFUNCTION("""COMPUTED_VALUE"""),"〇")</f>
        <v>〇</v>
      </c>
      <c r="M583" s="1" t="str">
        <f ca="1">IFERROR(__xludf.DUMMYFUNCTION("""COMPUTED_VALUE"""),"〇")</f>
        <v>〇</v>
      </c>
      <c r="N583" s="1"/>
      <c r="O583" s="1"/>
      <c r="P583" s="1"/>
    </row>
    <row r="584" spans="1:16" ht="14.25" customHeight="1" x14ac:dyDescent="0.25">
      <c r="A584" s="1"/>
      <c r="B584" s="1">
        <f ca="1"/>
        <v>572</v>
      </c>
      <c r="C584" s="1">
        <f ca="1">IFERROR(__xludf.DUMMYFUNCTION("""COMPUTED_VALUE"""),2023)</f>
        <v>2023</v>
      </c>
      <c r="D584" s="1">
        <f ca="1">IFERROR(__xludf.DUMMYFUNCTION("""COMPUTED_VALUE"""),117)</f>
        <v>117</v>
      </c>
      <c r="E584" s="1" t="str">
        <f ca="1">IFERROR(__xludf.DUMMYFUNCTION("""COMPUTED_VALUE"""),"Die Radiologie")</f>
        <v>Die Radiologie</v>
      </c>
      <c r="F584" s="1" t="str">
        <f ca="1">IFERROR(__xludf.DUMMYFUNCTION("""COMPUTED_VALUE"""),"2731-7056")</f>
        <v>2731-7056</v>
      </c>
      <c r="G584" s="1" t="str">
        <f ca="1">IFERROR(__xludf.DUMMYFUNCTION("""COMPUTED_VALUE"""),"2731-7048")</f>
        <v>2731-7048</v>
      </c>
      <c r="H584" s="27" t="str">
        <f ca="1">IFERROR(__xludf.DUMMYFUNCTION("""COMPUTED_VALUE"""),"https://link.springer.com/journal/117")</f>
        <v>https://link.springer.com/journal/117</v>
      </c>
      <c r="I584" s="1" t="str">
        <f ca="1">IFERROR(__xludf.DUMMYFUNCTION("""COMPUTED_VALUE"""),"SpringerMedizin")</f>
        <v>SpringerMedizin</v>
      </c>
      <c r="J584" s="1">
        <f ca="1">IFERROR(__xludf.DUMMYFUNCTION("""COMPUTED_VALUE"""),2000)</f>
        <v>2000</v>
      </c>
      <c r="K584" s="1" t="str">
        <f ca="1">IFERROR(__xludf.DUMMYFUNCTION("""COMPUTED_VALUE"""),"Medicine")</f>
        <v>Medicine</v>
      </c>
      <c r="L584" s="1" t="str">
        <f ca="1">IFERROR(__xludf.DUMMYFUNCTION("""COMPUTED_VALUE"""),"〇")</f>
        <v>〇</v>
      </c>
      <c r="M584" s="1" t="str">
        <f ca="1">IFERROR(__xludf.DUMMYFUNCTION("""COMPUTED_VALUE"""),"〇")</f>
        <v>〇</v>
      </c>
      <c r="N584" s="1"/>
      <c r="O584" s="1"/>
      <c r="P584" s="1"/>
    </row>
    <row r="585" spans="1:16" ht="14.25" customHeight="1" x14ac:dyDescent="0.25">
      <c r="A585" s="1"/>
      <c r="B585" s="1">
        <f ca="1"/>
        <v>573</v>
      </c>
      <c r="C585" s="1">
        <f ca="1">IFERROR(__xludf.DUMMYFUNCTION("""COMPUTED_VALUE"""),2023)</f>
        <v>2023</v>
      </c>
      <c r="D585" s="1">
        <f ca="1">IFERROR(__xludf.DUMMYFUNCTION("""COMPUTED_VALUE"""),482)</f>
        <v>482</v>
      </c>
      <c r="E585" s="1" t="str">
        <f ca="1">IFERROR(__xludf.DUMMYFUNCTION("""COMPUTED_VALUE"""),"Der Schmerz")</f>
        <v>Der Schmerz</v>
      </c>
      <c r="F585" s="1" t="str">
        <f ca="1">IFERROR(__xludf.DUMMYFUNCTION("""COMPUTED_VALUE"""),"1432-2129")</f>
        <v>1432-2129</v>
      </c>
      <c r="G585" s="1" t="str">
        <f ca="1">IFERROR(__xludf.DUMMYFUNCTION("""COMPUTED_VALUE"""),"0932-433X")</f>
        <v>0932-433X</v>
      </c>
      <c r="H585" s="27" t="str">
        <f ca="1">IFERROR(__xludf.DUMMYFUNCTION("""COMPUTED_VALUE"""),"https://link.springer.com/journal/482")</f>
        <v>https://link.springer.com/journal/482</v>
      </c>
      <c r="I585" s="1" t="str">
        <f ca="1">IFERROR(__xludf.DUMMYFUNCTION("""COMPUTED_VALUE"""),"SpringerMedizin")</f>
        <v>SpringerMedizin</v>
      </c>
      <c r="J585" s="1">
        <f ca="1">IFERROR(__xludf.DUMMYFUNCTION("""COMPUTED_VALUE"""),2000)</f>
        <v>2000</v>
      </c>
      <c r="K585" s="1" t="str">
        <f ca="1">IFERROR(__xludf.DUMMYFUNCTION("""COMPUTED_VALUE"""),"Medicine")</f>
        <v>Medicine</v>
      </c>
      <c r="L585" s="1" t="str">
        <f ca="1">IFERROR(__xludf.DUMMYFUNCTION("""COMPUTED_VALUE"""),"〇")</f>
        <v>〇</v>
      </c>
      <c r="M585" s="1" t="str">
        <f ca="1">IFERROR(__xludf.DUMMYFUNCTION("""COMPUTED_VALUE"""),"〇")</f>
        <v>〇</v>
      </c>
      <c r="N585" s="1"/>
      <c r="O585" s="1"/>
      <c r="P585" s="1"/>
    </row>
    <row r="586" spans="1:16" ht="14.25" customHeight="1" x14ac:dyDescent="0.25">
      <c r="A586" s="1"/>
      <c r="B586" s="1">
        <f ca="1"/>
        <v>574</v>
      </c>
      <c r="C586" s="1">
        <f ca="1">IFERROR(__xludf.DUMMYFUNCTION("""COMPUTED_VALUE"""),2023)</f>
        <v>2023</v>
      </c>
      <c r="D586" s="1">
        <f ca="1">IFERROR(__xludf.DUMMYFUNCTION("""COMPUTED_VALUE"""),113)</f>
        <v>113</v>
      </c>
      <c r="E586" s="1" t="str">
        <f ca="1">IFERROR(__xludf.DUMMYFUNCTION("""COMPUTED_VALUE"""),"Die Unfallchirurgie")</f>
        <v>Die Unfallchirurgie</v>
      </c>
      <c r="F586" s="1" t="str">
        <f ca="1">IFERROR(__xludf.DUMMYFUNCTION("""COMPUTED_VALUE"""),"2731-703X")</f>
        <v>2731-703X</v>
      </c>
      <c r="G586" s="1" t="str">
        <f ca="1">IFERROR(__xludf.DUMMYFUNCTION("""COMPUTED_VALUE"""),"2731-7021")</f>
        <v>2731-7021</v>
      </c>
      <c r="H586" s="27" t="str">
        <f ca="1">IFERROR(__xludf.DUMMYFUNCTION("""COMPUTED_VALUE"""),"https://link.springer.com/journal/113")</f>
        <v>https://link.springer.com/journal/113</v>
      </c>
      <c r="I586" s="1" t="str">
        <f ca="1">IFERROR(__xludf.DUMMYFUNCTION("""COMPUTED_VALUE"""),"SpringerMedizin")</f>
        <v>SpringerMedizin</v>
      </c>
      <c r="J586" s="1">
        <f ca="1">IFERROR(__xludf.DUMMYFUNCTION("""COMPUTED_VALUE"""),2000)</f>
        <v>2000</v>
      </c>
      <c r="K586" s="1" t="str">
        <f ca="1">IFERROR(__xludf.DUMMYFUNCTION("""COMPUTED_VALUE"""),"Medicine")</f>
        <v>Medicine</v>
      </c>
      <c r="L586" s="1" t="str">
        <f ca="1">IFERROR(__xludf.DUMMYFUNCTION("""COMPUTED_VALUE"""),"〇")</f>
        <v>〇</v>
      </c>
      <c r="M586" s="1" t="str">
        <f ca="1">IFERROR(__xludf.DUMMYFUNCTION("""COMPUTED_VALUE"""),"〇")</f>
        <v>〇</v>
      </c>
      <c r="N586" s="1"/>
      <c r="O586" s="1"/>
      <c r="P586" s="1"/>
    </row>
    <row r="587" spans="1:16" ht="14.25" customHeight="1" x14ac:dyDescent="0.25">
      <c r="A587" s="1"/>
      <c r="B587" s="1">
        <f ca="1"/>
        <v>575</v>
      </c>
      <c r="C587" s="1">
        <f ca="1">IFERROR(__xludf.DUMMYFUNCTION("""COMPUTED_VALUE"""),2023)</f>
        <v>2023</v>
      </c>
      <c r="D587" s="1">
        <f ca="1">IFERROR(__xludf.DUMMYFUNCTION("""COMPUTED_VALUE"""),120)</f>
        <v>120</v>
      </c>
      <c r="E587" s="1" t="str">
        <f ca="1">IFERROR(__xludf.DUMMYFUNCTION("""COMPUTED_VALUE"""),"Die Urologie")</f>
        <v>Die Urologie</v>
      </c>
      <c r="F587" s="1" t="str">
        <f ca="1">IFERROR(__xludf.DUMMYFUNCTION("""COMPUTED_VALUE"""),"2731-7072")</f>
        <v>2731-7072</v>
      </c>
      <c r="G587" s="1" t="str">
        <f ca="1">IFERROR(__xludf.DUMMYFUNCTION("""COMPUTED_VALUE"""),"2731-7064")</f>
        <v>2731-7064</v>
      </c>
      <c r="H587" s="27" t="str">
        <f ca="1">IFERROR(__xludf.DUMMYFUNCTION("""COMPUTED_VALUE"""),"https://link.springer.com/journal/120")</f>
        <v>https://link.springer.com/journal/120</v>
      </c>
      <c r="I587" s="1" t="str">
        <f ca="1">IFERROR(__xludf.DUMMYFUNCTION("""COMPUTED_VALUE"""),"SpringerMedizin")</f>
        <v>SpringerMedizin</v>
      </c>
      <c r="J587" s="1">
        <f ca="1">IFERROR(__xludf.DUMMYFUNCTION("""COMPUTED_VALUE"""),2000)</f>
        <v>2000</v>
      </c>
      <c r="K587" s="1" t="str">
        <f ca="1">IFERROR(__xludf.DUMMYFUNCTION("""COMPUTED_VALUE"""),"Medicine")</f>
        <v>Medicine</v>
      </c>
      <c r="L587" s="1" t="str">
        <f ca="1">IFERROR(__xludf.DUMMYFUNCTION("""COMPUTED_VALUE"""),"〇")</f>
        <v>〇</v>
      </c>
      <c r="M587" s="1" t="str">
        <f ca="1">IFERROR(__xludf.DUMMYFUNCTION("""COMPUTED_VALUE"""),"〇")</f>
        <v>〇</v>
      </c>
      <c r="N587" s="1"/>
      <c r="O587" s="1"/>
      <c r="P587" s="1"/>
    </row>
    <row r="588" spans="1:16" ht="14.25" customHeight="1" x14ac:dyDescent="0.25">
      <c r="A588" s="1"/>
      <c r="B588" s="1">
        <f ca="1"/>
        <v>576</v>
      </c>
      <c r="C588" s="1">
        <f ca="1">IFERROR(__xludf.DUMMYFUNCTION("""COMPUTED_VALUE"""),2023)</f>
        <v>2023</v>
      </c>
      <c r="D588" s="1">
        <f ca="1">IFERROR(__xludf.DUMMYFUNCTION("""COMPUTED_VALUE"""),10617)</f>
        <v>10617</v>
      </c>
      <c r="E588" s="1" t="str">
        <f ca="1">IFERROR(__xludf.DUMMYFUNCTION("""COMPUTED_VALUE"""),"Design Automation for Embedded Systems")</f>
        <v>Design Automation for Embedded Systems</v>
      </c>
      <c r="F588" s="1" t="str">
        <f ca="1">IFERROR(__xludf.DUMMYFUNCTION("""COMPUTED_VALUE"""),"1572-8080")</f>
        <v>1572-8080</v>
      </c>
      <c r="G588" s="1" t="str">
        <f ca="1">IFERROR(__xludf.DUMMYFUNCTION("""COMPUTED_VALUE"""),"0929-5585")</f>
        <v>0929-5585</v>
      </c>
      <c r="H588" s="27" t="str">
        <f ca="1">IFERROR(__xludf.DUMMYFUNCTION("""COMPUTED_VALUE"""),"https://link.springer.com/journal/10617")</f>
        <v>https://link.springer.com/journal/10617</v>
      </c>
      <c r="I588" s="1" t="str">
        <f ca="1">IFERROR(__xludf.DUMMYFUNCTION("""COMPUTED_VALUE"""),"Springer")</f>
        <v>Springer</v>
      </c>
      <c r="J588" s="1">
        <f ca="1">IFERROR(__xludf.DUMMYFUNCTION("""COMPUTED_VALUE"""),2000)</f>
        <v>2000</v>
      </c>
      <c r="K588" s="1" t="str">
        <f ca="1">IFERROR(__xludf.DUMMYFUNCTION("""COMPUTED_VALUE"""),"Engineering")</f>
        <v>Engineering</v>
      </c>
      <c r="L588" s="1" t="str">
        <f ca="1">IFERROR(__xludf.DUMMYFUNCTION("""COMPUTED_VALUE"""),"〇")</f>
        <v>〇</v>
      </c>
      <c r="M588" s="1" t="str">
        <f ca="1">IFERROR(__xludf.DUMMYFUNCTION("""COMPUTED_VALUE"""),"〇")</f>
        <v>〇</v>
      </c>
      <c r="N588" s="1"/>
      <c r="O588" s="1"/>
      <c r="P588" s="1"/>
    </row>
    <row r="589" spans="1:16" ht="14.25" customHeight="1" x14ac:dyDescent="0.25">
      <c r="A589" s="1"/>
      <c r="B589" s="1">
        <f ca="1"/>
        <v>577</v>
      </c>
      <c r="C589" s="1">
        <f ca="1">IFERROR(__xludf.DUMMYFUNCTION("""COMPUTED_VALUE"""),2023)</f>
        <v>2023</v>
      </c>
      <c r="D589" s="1">
        <f ca="1">IFERROR(__xludf.DUMMYFUNCTION("""COMPUTED_VALUE"""),10623)</f>
        <v>10623</v>
      </c>
      <c r="E589" s="1" t="str">
        <f ca="1">IFERROR(__xludf.DUMMYFUNCTION("""COMPUTED_VALUE"""),"Designs, Codes and Cryptography")</f>
        <v>Designs, Codes and Cryptography</v>
      </c>
      <c r="F589" s="1" t="str">
        <f ca="1">IFERROR(__xludf.DUMMYFUNCTION("""COMPUTED_VALUE"""),"1573-7586")</f>
        <v>1573-7586</v>
      </c>
      <c r="G589" s="1" t="str">
        <f ca="1">IFERROR(__xludf.DUMMYFUNCTION("""COMPUTED_VALUE"""),"0925-1022")</f>
        <v>0925-1022</v>
      </c>
      <c r="H589" s="27" t="str">
        <f ca="1">IFERROR(__xludf.DUMMYFUNCTION("""COMPUTED_VALUE"""),"https://link.springer.com/journal/10623")</f>
        <v>https://link.springer.com/journal/10623</v>
      </c>
      <c r="I589" s="1" t="str">
        <f ca="1">IFERROR(__xludf.DUMMYFUNCTION("""COMPUTED_VALUE"""),"Springer")</f>
        <v>Springer</v>
      </c>
      <c r="J589" s="1">
        <f ca="1">IFERROR(__xludf.DUMMYFUNCTION("""COMPUTED_VALUE"""),2000)</f>
        <v>2000</v>
      </c>
      <c r="K589" s="1" t="str">
        <f ca="1">IFERROR(__xludf.DUMMYFUNCTION("""COMPUTED_VALUE"""),"Computer Science")</f>
        <v>Computer Science</v>
      </c>
      <c r="L589" s="1" t="str">
        <f ca="1">IFERROR(__xludf.DUMMYFUNCTION("""COMPUTED_VALUE"""),"〇")</f>
        <v>〇</v>
      </c>
      <c r="M589" s="1" t="str">
        <f ca="1">IFERROR(__xludf.DUMMYFUNCTION("""COMPUTED_VALUE"""),"〇")</f>
        <v>〇</v>
      </c>
      <c r="N589" s="1"/>
      <c r="O589" s="1"/>
      <c r="P589" s="1"/>
    </row>
    <row r="590" spans="1:16" ht="14.25" customHeight="1" x14ac:dyDescent="0.25">
      <c r="A590" s="1"/>
      <c r="B590" s="1">
        <f ca="1"/>
        <v>578</v>
      </c>
      <c r="C590" s="1">
        <f ca="1">IFERROR(__xludf.DUMMYFUNCTION("""COMPUTED_VALUE"""),2023)</f>
        <v>2023</v>
      </c>
      <c r="D590" s="1">
        <f ca="1">IFERROR(__xludf.DUMMYFUNCTION("""COMPUTED_VALUE"""),41245)</f>
        <v>41245</v>
      </c>
      <c r="E590" s="1" t="str">
        <f ca="1">IFERROR(__xludf.DUMMYFUNCTION("""COMPUTED_VALUE"""),"Deutsche Vierteljahrsschrift für Literaturwissenschaft und Geistesgeschichte")</f>
        <v>Deutsche Vierteljahrsschrift für Literaturwissenschaft und Geistesgeschichte</v>
      </c>
      <c r="F590" s="1" t="str">
        <f ca="1">IFERROR(__xludf.DUMMYFUNCTION("""COMPUTED_VALUE"""),"2365-9521")</f>
        <v>2365-9521</v>
      </c>
      <c r="G590" s="1" t="str">
        <f ca="1">IFERROR(__xludf.DUMMYFUNCTION("""COMPUTED_VALUE"""),"0012-0936")</f>
        <v>0012-0936</v>
      </c>
      <c r="H590" s="27" t="str">
        <f ca="1">IFERROR(__xludf.DUMMYFUNCTION("""COMPUTED_VALUE"""),"https://link.springer.com/journal/41245")</f>
        <v>https://link.springer.com/journal/41245</v>
      </c>
      <c r="I590" s="1" t="str">
        <f ca="1">IFERROR(__xludf.DUMMYFUNCTION("""COMPUTED_VALUE"""),"J.B. Metzler")</f>
        <v>J.B. Metzler</v>
      </c>
      <c r="J590" s="1">
        <f ca="1">IFERROR(__xludf.DUMMYFUNCTION("""COMPUTED_VALUE"""),2000)</f>
        <v>2000</v>
      </c>
      <c r="K590" s="1" t="str">
        <f ca="1">IFERROR(__xludf.DUMMYFUNCTION("""COMPUTED_VALUE"""),"Literature, Cultural and Media Studies")</f>
        <v>Literature, Cultural and Media Studies</v>
      </c>
      <c r="L590" s="1" t="str">
        <f ca="1">IFERROR(__xludf.DUMMYFUNCTION("""COMPUTED_VALUE"""),"〇")</f>
        <v>〇</v>
      </c>
      <c r="M590" s="1"/>
      <c r="N590" s="1" t="str">
        <f ca="1">IFERROR(__xludf.DUMMYFUNCTION("""COMPUTED_VALUE"""),"TO16")</f>
        <v>TO16</v>
      </c>
      <c r="O590" s="1"/>
      <c r="P590" s="1"/>
    </row>
    <row r="591" spans="1:16" ht="14.25" customHeight="1" x14ac:dyDescent="0.25">
      <c r="A591" s="1"/>
      <c r="B591" s="1">
        <f ca="1"/>
        <v>579</v>
      </c>
      <c r="C591" s="1">
        <f ca="1">IFERROR(__xludf.DUMMYFUNCTION("""COMPUTED_VALUE"""),2023)</f>
        <v>2023</v>
      </c>
      <c r="D591" s="1">
        <f ca="1">IFERROR(__xludf.DUMMYFUNCTION("""COMPUTED_VALUE"""),42212)</f>
        <v>42212</v>
      </c>
      <c r="E591" s="1" t="str">
        <f ca="1">IFERROR(__xludf.DUMMYFUNCTION("""COMPUTED_VALUE"""),"Deutsche Zeitschrift für Akupunktur")</f>
        <v>Deutsche Zeitschrift für Akupunktur</v>
      </c>
      <c r="F591" s="1" t="str">
        <f ca="1">IFERROR(__xludf.DUMMYFUNCTION("""COMPUTED_VALUE"""),"1439-4359")</f>
        <v>1439-4359</v>
      </c>
      <c r="G591" s="1" t="str">
        <f ca="1">IFERROR(__xludf.DUMMYFUNCTION("""COMPUTED_VALUE"""),"0415-6412")</f>
        <v>0415-6412</v>
      </c>
      <c r="H591" s="27" t="str">
        <f ca="1">IFERROR(__xludf.DUMMYFUNCTION("""COMPUTED_VALUE"""),"https://link.springer.com/journal/42212")</f>
        <v>https://link.springer.com/journal/42212</v>
      </c>
      <c r="I591" s="1" t="str">
        <f ca="1">IFERROR(__xludf.DUMMYFUNCTION("""COMPUTED_VALUE"""),"SpringerMedizin")</f>
        <v>SpringerMedizin</v>
      </c>
      <c r="J591" s="1">
        <f ca="1">IFERROR(__xludf.DUMMYFUNCTION("""COMPUTED_VALUE"""),2003)</f>
        <v>2003</v>
      </c>
      <c r="K591" s="1" t="str">
        <f ca="1">IFERROR(__xludf.DUMMYFUNCTION("""COMPUTED_VALUE"""),"Medicine")</f>
        <v>Medicine</v>
      </c>
      <c r="L591" s="1" t="str">
        <f ca="1">IFERROR(__xludf.DUMMYFUNCTION("""COMPUTED_VALUE"""),"〇")</f>
        <v>〇</v>
      </c>
      <c r="M591" s="1"/>
      <c r="N591" s="1" t="str">
        <f ca="1">IFERROR(__xludf.DUMMYFUNCTION("""COMPUTED_VALUE"""),"TO18")</f>
        <v>TO18</v>
      </c>
      <c r="O591" s="1"/>
      <c r="P591" s="1"/>
    </row>
    <row r="592" spans="1:16" ht="14.25" customHeight="1" x14ac:dyDescent="0.25">
      <c r="A592" s="1"/>
      <c r="B592" s="1">
        <f ca="1"/>
        <v>580</v>
      </c>
      <c r="C592" s="1">
        <f ca="1">IFERROR(__xludf.DUMMYFUNCTION("""COMPUTED_VALUE"""),2023)</f>
        <v>2023</v>
      </c>
      <c r="D592" s="1">
        <f ca="1">IFERROR(__xludf.DUMMYFUNCTION("""COMPUTED_VALUE"""),427)</f>
        <v>427</v>
      </c>
      <c r="E592" s="1" t="str">
        <f ca="1">IFERROR(__xludf.DUMMYFUNCTION("""COMPUTED_VALUE"""),"Development Genes and Evolution")</f>
        <v>Development Genes and Evolution</v>
      </c>
      <c r="F592" s="1" t="str">
        <f ca="1">IFERROR(__xludf.DUMMYFUNCTION("""COMPUTED_VALUE"""),"1432-041X")</f>
        <v>1432-041X</v>
      </c>
      <c r="G592" s="1" t="str">
        <f ca="1">IFERROR(__xludf.DUMMYFUNCTION("""COMPUTED_VALUE"""),"0949-944X")</f>
        <v>0949-944X</v>
      </c>
      <c r="H592" s="27" t="str">
        <f ca="1">IFERROR(__xludf.DUMMYFUNCTION("""COMPUTED_VALUE"""),"https://link.springer.com/journal/427")</f>
        <v>https://link.springer.com/journal/427</v>
      </c>
      <c r="I592" s="1" t="str">
        <f ca="1">IFERROR(__xludf.DUMMYFUNCTION("""COMPUTED_VALUE"""),"Springer")</f>
        <v>Springer</v>
      </c>
      <c r="J592" s="1">
        <f ca="1">IFERROR(__xludf.DUMMYFUNCTION("""COMPUTED_VALUE"""),2000)</f>
        <v>2000</v>
      </c>
      <c r="K592" s="1" t="str">
        <f ca="1">IFERROR(__xludf.DUMMYFUNCTION("""COMPUTED_VALUE"""),"Biomedical and Life Sciences")</f>
        <v>Biomedical and Life Sciences</v>
      </c>
      <c r="L592" s="1" t="str">
        <f ca="1">IFERROR(__xludf.DUMMYFUNCTION("""COMPUTED_VALUE"""),"〇")</f>
        <v>〇</v>
      </c>
      <c r="M592" s="1" t="str">
        <f ca="1">IFERROR(__xludf.DUMMYFUNCTION("""COMPUTED_VALUE"""),"〇")</f>
        <v>〇</v>
      </c>
      <c r="N592" s="1"/>
      <c r="O592" s="1"/>
      <c r="P592" s="1"/>
    </row>
    <row r="593" spans="1:16" ht="14.25" customHeight="1" x14ac:dyDescent="0.25">
      <c r="A593" s="1"/>
      <c r="B593" s="1">
        <f ca="1"/>
        <v>581</v>
      </c>
      <c r="C593" s="1">
        <f ca="1">IFERROR(__xludf.DUMMYFUNCTION("""COMPUTED_VALUE"""),2023)</f>
        <v>2023</v>
      </c>
      <c r="D593" s="1">
        <f ca="1">IFERROR(__xludf.DUMMYFUNCTION("""COMPUTED_VALUE"""),125)</f>
        <v>125</v>
      </c>
      <c r="E593" s="1" t="str">
        <f ca="1">IFERROR(__xludf.DUMMYFUNCTION("""COMPUTED_VALUE"""),"Diabetologia")</f>
        <v>Diabetologia</v>
      </c>
      <c r="F593" s="1" t="str">
        <f ca="1">IFERROR(__xludf.DUMMYFUNCTION("""COMPUTED_VALUE"""),"1432-0428")</f>
        <v>1432-0428</v>
      </c>
      <c r="G593" s="1" t="str">
        <f ca="1">IFERROR(__xludf.DUMMYFUNCTION("""COMPUTED_VALUE"""),"0012-186X")</f>
        <v>0012-186X</v>
      </c>
      <c r="H593" s="27" t="str">
        <f ca="1">IFERROR(__xludf.DUMMYFUNCTION("""COMPUTED_VALUE"""),"https://link.springer.com/journal/125")</f>
        <v>https://link.springer.com/journal/125</v>
      </c>
      <c r="I593" s="1" t="str">
        <f ca="1">IFERROR(__xludf.DUMMYFUNCTION("""COMPUTED_VALUE"""),"Springer")</f>
        <v>Springer</v>
      </c>
      <c r="J593" s="1">
        <f ca="1">IFERROR(__xludf.DUMMYFUNCTION("""COMPUTED_VALUE"""),2000)</f>
        <v>2000</v>
      </c>
      <c r="K593" s="1" t="str">
        <f ca="1">IFERROR(__xludf.DUMMYFUNCTION("""COMPUTED_VALUE"""),"Medicine")</f>
        <v>Medicine</v>
      </c>
      <c r="L593" s="1" t="str">
        <f ca="1">IFERROR(__xludf.DUMMYFUNCTION("""COMPUTED_VALUE"""),"〇")</f>
        <v>〇</v>
      </c>
      <c r="M593" s="1" t="str">
        <f ca="1">IFERROR(__xludf.DUMMYFUNCTION("""COMPUTED_VALUE"""),"〇")</f>
        <v>〇</v>
      </c>
      <c r="N593" s="1"/>
      <c r="O593" s="1"/>
      <c r="P593" s="1"/>
    </row>
    <row r="594" spans="1:16" ht="14.25" customHeight="1" x14ac:dyDescent="0.25">
      <c r="A594" s="1"/>
      <c r="B594" s="1">
        <f ca="1"/>
        <v>582</v>
      </c>
      <c r="C594" s="1">
        <f ca="1">IFERROR(__xludf.DUMMYFUNCTION("""COMPUTED_VALUE"""),2023)</f>
        <v>2023</v>
      </c>
      <c r="D594" s="1">
        <f ca="1">IFERROR(__xludf.DUMMYFUNCTION("""COMPUTED_VALUE"""),13340)</f>
        <v>13340</v>
      </c>
      <c r="E594" s="1" t="str">
        <f ca="1">IFERROR(__xludf.DUMMYFUNCTION("""COMPUTED_VALUE"""),"Diabetology International")</f>
        <v>Diabetology International</v>
      </c>
      <c r="F594" s="1" t="str">
        <f ca="1">IFERROR(__xludf.DUMMYFUNCTION("""COMPUTED_VALUE"""),"2190-1686")</f>
        <v>2190-1686</v>
      </c>
      <c r="G594" s="1" t="str">
        <f ca="1">IFERROR(__xludf.DUMMYFUNCTION("""COMPUTED_VALUE"""),"2190-1678")</f>
        <v>2190-1678</v>
      </c>
      <c r="H594" s="27" t="str">
        <f ca="1">IFERROR(__xludf.DUMMYFUNCTION("""COMPUTED_VALUE"""),"https://link.springer.com/journal/13340")</f>
        <v>https://link.springer.com/journal/13340</v>
      </c>
      <c r="I594" s="1" t="str">
        <f ca="1">IFERROR(__xludf.DUMMYFUNCTION("""COMPUTED_VALUE"""),"Springer")</f>
        <v>Springer</v>
      </c>
      <c r="J594" s="1">
        <f ca="1">IFERROR(__xludf.DUMMYFUNCTION("""COMPUTED_VALUE"""),2010)</f>
        <v>2010</v>
      </c>
      <c r="K594" s="1" t="str">
        <f ca="1">IFERROR(__xludf.DUMMYFUNCTION("""COMPUTED_VALUE"""),"Medicine")</f>
        <v>Medicine</v>
      </c>
      <c r="L594" s="1" t="str">
        <f ca="1">IFERROR(__xludf.DUMMYFUNCTION("""COMPUTED_VALUE"""),"〇")</f>
        <v>〇</v>
      </c>
      <c r="M594" s="1" t="str">
        <f ca="1">IFERROR(__xludf.DUMMYFUNCTION("""COMPUTED_VALUE"""),"〇")</f>
        <v>〇</v>
      </c>
      <c r="N594" s="1" t="str">
        <f ca="1">IFERROR(__xludf.DUMMYFUNCTION("""COMPUTED_VALUE"""),"SNS10")</f>
        <v>SNS10</v>
      </c>
      <c r="O594" s="1"/>
      <c r="P594" s="1"/>
    </row>
    <row r="595" spans="1:16" ht="14.25" customHeight="1" x14ac:dyDescent="0.25">
      <c r="A595" s="1"/>
      <c r="B595" s="1">
        <f ca="1"/>
        <v>583</v>
      </c>
      <c r="C595" s="1">
        <f ca="1">IFERROR(__xludf.DUMMYFUNCTION("""COMPUTED_VALUE"""),2023)</f>
        <v>2023</v>
      </c>
      <c r="D595" s="1">
        <f ca="1">IFERROR(__xludf.DUMMYFUNCTION("""COMPUTED_VALUE"""),10624)</f>
        <v>10624</v>
      </c>
      <c r="E595" s="1" t="str">
        <f ca="1">IFERROR(__xludf.DUMMYFUNCTION("""COMPUTED_VALUE"""),"Dialectical Anthropology")</f>
        <v>Dialectical Anthropology</v>
      </c>
      <c r="F595" s="1" t="str">
        <f ca="1">IFERROR(__xludf.DUMMYFUNCTION("""COMPUTED_VALUE"""),"1573-0786")</f>
        <v>1573-0786</v>
      </c>
      <c r="G595" s="1" t="str">
        <f ca="1">IFERROR(__xludf.DUMMYFUNCTION("""COMPUTED_VALUE"""),"0304-4092")</f>
        <v>0304-4092</v>
      </c>
      <c r="H595" s="27" t="str">
        <f ca="1">IFERROR(__xludf.DUMMYFUNCTION("""COMPUTED_VALUE"""),"https://link.springer.com/journal/10624")</f>
        <v>https://link.springer.com/journal/10624</v>
      </c>
      <c r="I595" s="1" t="str">
        <f ca="1">IFERROR(__xludf.DUMMYFUNCTION("""COMPUTED_VALUE"""),"Springer")</f>
        <v>Springer</v>
      </c>
      <c r="J595" s="1">
        <f ca="1">IFERROR(__xludf.DUMMYFUNCTION("""COMPUTED_VALUE"""),2000)</f>
        <v>2000</v>
      </c>
      <c r="K595" s="1" t="str">
        <f ca="1">IFERROR(__xludf.DUMMYFUNCTION("""COMPUTED_VALUE"""),"Social Sciences")</f>
        <v>Social Sciences</v>
      </c>
      <c r="L595" s="1" t="str">
        <f ca="1">IFERROR(__xludf.DUMMYFUNCTION("""COMPUTED_VALUE"""),"〇")</f>
        <v>〇</v>
      </c>
      <c r="M595" s="1" t="str">
        <f ca="1">IFERROR(__xludf.DUMMYFUNCTION("""COMPUTED_VALUE"""),"〇")</f>
        <v>〇</v>
      </c>
      <c r="N595" s="1"/>
      <c r="O595" s="1"/>
      <c r="P595" s="1"/>
    </row>
    <row r="596" spans="1:16" ht="14.25" customHeight="1" x14ac:dyDescent="0.25">
      <c r="A596" s="1"/>
      <c r="B596" s="1">
        <f ca="1"/>
        <v>584</v>
      </c>
      <c r="C596" s="1">
        <f ca="1">IFERROR(__xludf.DUMMYFUNCTION("""COMPUTED_VALUE"""),2023)</f>
        <v>2023</v>
      </c>
      <c r="D596" s="1">
        <f ca="1">IFERROR(__xludf.DUMMYFUNCTION("""COMPUTED_VALUE"""),10625)</f>
        <v>10625</v>
      </c>
      <c r="E596" s="1" t="str">
        <f ca="1">IFERROR(__xludf.DUMMYFUNCTION("""COMPUTED_VALUE"""),"Differential Equations")</f>
        <v>Differential Equations</v>
      </c>
      <c r="F596" s="1" t="str">
        <f ca="1">IFERROR(__xludf.DUMMYFUNCTION("""COMPUTED_VALUE"""),"1608-3083")</f>
        <v>1608-3083</v>
      </c>
      <c r="G596" s="1" t="str">
        <f ca="1">IFERROR(__xludf.DUMMYFUNCTION("""COMPUTED_VALUE"""),"0012-2661")</f>
        <v>0012-2661</v>
      </c>
      <c r="H596" s="27" t="str">
        <f ca="1">IFERROR(__xludf.DUMMYFUNCTION("""COMPUTED_VALUE"""),"https://link.springer.com/journal/10625")</f>
        <v>https://link.springer.com/journal/10625</v>
      </c>
      <c r="I596" s="1" t="str">
        <f ca="1">IFERROR(__xludf.DUMMYFUNCTION("""COMPUTED_VALUE"""),"Pleiades Publishing")</f>
        <v>Pleiades Publishing</v>
      </c>
      <c r="J596" s="1">
        <f ca="1">IFERROR(__xludf.DUMMYFUNCTION("""COMPUTED_VALUE"""),2000)</f>
        <v>2000</v>
      </c>
      <c r="K596" s="1" t="str">
        <f ca="1">IFERROR(__xludf.DUMMYFUNCTION("""COMPUTED_VALUE"""),"Mathematics and Statistics")</f>
        <v>Mathematics and Statistics</v>
      </c>
      <c r="L596" s="1" t="str">
        <f ca="1">IFERROR(__xludf.DUMMYFUNCTION("""COMPUTED_VALUE"""),"〇")</f>
        <v>〇</v>
      </c>
      <c r="M596" s="1" t="str">
        <f ca="1">IFERROR(__xludf.DUMMYFUNCTION("""COMPUTED_VALUE"""),"〇")</f>
        <v>〇</v>
      </c>
      <c r="N596" s="1"/>
      <c r="O596" s="1"/>
      <c r="P596" s="1"/>
    </row>
    <row r="597" spans="1:16" ht="14.25" customHeight="1" x14ac:dyDescent="0.25">
      <c r="A597" s="1"/>
      <c r="B597" s="1">
        <f ca="1"/>
        <v>585</v>
      </c>
      <c r="C597" s="1">
        <f ca="1">IFERROR(__xludf.DUMMYFUNCTION("""COMPUTED_VALUE"""),2023)</f>
        <v>2023</v>
      </c>
      <c r="D597" s="1">
        <f ca="1">IFERROR(__xludf.DUMMYFUNCTION("""COMPUTED_VALUE"""),12591)</f>
        <v>12591</v>
      </c>
      <c r="E597" s="1" t="str">
        <f ca="1">IFERROR(__xludf.DUMMYFUNCTION("""COMPUTED_VALUE"""),"Differential Equations and Dynamical Systems")</f>
        <v>Differential Equations and Dynamical Systems</v>
      </c>
      <c r="F597" s="1" t="str">
        <f ca="1">IFERROR(__xludf.DUMMYFUNCTION("""COMPUTED_VALUE"""),"0974-6870")</f>
        <v>0974-6870</v>
      </c>
      <c r="G597" s="1" t="str">
        <f ca="1">IFERROR(__xludf.DUMMYFUNCTION("""COMPUTED_VALUE"""),"0971-3514")</f>
        <v>0971-3514</v>
      </c>
      <c r="H597" s="27" t="str">
        <f ca="1">IFERROR(__xludf.DUMMYFUNCTION("""COMPUTED_VALUE"""),"https://link.springer.com/journal/12591")</f>
        <v>https://link.springer.com/journal/12591</v>
      </c>
      <c r="I597" s="1" t="str">
        <f ca="1">IFERROR(__xludf.DUMMYFUNCTION("""COMPUTED_VALUE"""),"Springer")</f>
        <v>Springer</v>
      </c>
      <c r="J597" s="1">
        <f ca="1">IFERROR(__xludf.DUMMYFUNCTION("""COMPUTED_VALUE"""),2008)</f>
        <v>2008</v>
      </c>
      <c r="K597" s="1" t="str">
        <f ca="1">IFERROR(__xludf.DUMMYFUNCTION("""COMPUTED_VALUE"""),"Mathematics and Statistics")</f>
        <v>Mathematics and Statistics</v>
      </c>
      <c r="L597" s="1" t="str">
        <f ca="1">IFERROR(__xludf.DUMMYFUNCTION("""COMPUTED_VALUE"""),"〇")</f>
        <v>〇</v>
      </c>
      <c r="M597" s="1" t="str">
        <f ca="1">IFERROR(__xludf.DUMMYFUNCTION("""COMPUTED_VALUE"""),"〇")</f>
        <v>〇</v>
      </c>
      <c r="N597" s="1" t="str">
        <f ca="1">IFERROR(__xludf.DUMMYFUNCTION("""COMPUTED_VALUE"""),"TO8")</f>
        <v>TO8</v>
      </c>
      <c r="O597" s="1"/>
      <c r="P597" s="1"/>
    </row>
    <row r="598" spans="1:16" ht="14.25" customHeight="1" x14ac:dyDescent="0.25">
      <c r="A598" s="1"/>
      <c r="B598" s="1">
        <f ca="1"/>
        <v>586</v>
      </c>
      <c r="C598" s="1">
        <f ca="1">IFERROR(__xludf.DUMMYFUNCTION("""COMPUTED_VALUE"""),2023)</f>
        <v>2023</v>
      </c>
      <c r="D598" s="1">
        <f ca="1">IFERROR(__xludf.DUMMYFUNCTION("""COMPUTED_VALUE"""),10620)</f>
        <v>10620</v>
      </c>
      <c r="E598" s="1" t="str">
        <f ca="1">IFERROR(__xludf.DUMMYFUNCTION("""COMPUTED_VALUE"""),"Digestive Diseases and Sciences")</f>
        <v>Digestive Diseases and Sciences</v>
      </c>
      <c r="F598" s="1" t="str">
        <f ca="1">IFERROR(__xludf.DUMMYFUNCTION("""COMPUTED_VALUE"""),"1573-2568")</f>
        <v>1573-2568</v>
      </c>
      <c r="G598" s="1" t="str">
        <f ca="1">IFERROR(__xludf.DUMMYFUNCTION("""COMPUTED_VALUE"""),"0163-2116")</f>
        <v>0163-2116</v>
      </c>
      <c r="H598" s="27" t="str">
        <f ca="1">IFERROR(__xludf.DUMMYFUNCTION("""COMPUTED_VALUE"""),"https://link.springer.com/journal/10620")</f>
        <v>https://link.springer.com/journal/10620</v>
      </c>
      <c r="I598" s="1" t="str">
        <f ca="1">IFERROR(__xludf.DUMMYFUNCTION("""COMPUTED_VALUE"""),"Springer")</f>
        <v>Springer</v>
      </c>
      <c r="J598" s="1">
        <f ca="1">IFERROR(__xludf.DUMMYFUNCTION("""COMPUTED_VALUE"""),2000)</f>
        <v>2000</v>
      </c>
      <c r="K598" s="1" t="str">
        <f ca="1">IFERROR(__xludf.DUMMYFUNCTION("""COMPUTED_VALUE"""),"Medicine")</f>
        <v>Medicine</v>
      </c>
      <c r="L598" s="1" t="str">
        <f ca="1">IFERROR(__xludf.DUMMYFUNCTION("""COMPUTED_VALUE"""),"〇")</f>
        <v>〇</v>
      </c>
      <c r="M598" s="1" t="str">
        <f ca="1">IFERROR(__xludf.DUMMYFUNCTION("""COMPUTED_VALUE"""),"〇")</f>
        <v>〇</v>
      </c>
      <c r="N598" s="1"/>
      <c r="O598" s="1"/>
      <c r="P598" s="1"/>
    </row>
    <row r="599" spans="1:16" ht="14.25" customHeight="1" x14ac:dyDescent="0.25">
      <c r="A599" s="1"/>
      <c r="B599" s="1">
        <f ca="1"/>
        <v>587</v>
      </c>
      <c r="C599" s="1">
        <f ca="1">IFERROR(__xludf.DUMMYFUNCTION("""COMPUTED_VALUE"""),2023)</f>
        <v>2023</v>
      </c>
      <c r="D599" s="1">
        <f ca="1">IFERROR(__xludf.DUMMYFUNCTION("""COMPUTED_VALUE"""),40751)</f>
        <v>40751</v>
      </c>
      <c r="E599" s="1" t="str">
        <f ca="1">IFERROR(__xludf.DUMMYFUNCTION("""COMPUTED_VALUE"""),"Digital Experiences in Mathematics Education")</f>
        <v>Digital Experiences in Mathematics Education</v>
      </c>
      <c r="F599" s="1" t="str">
        <f ca="1">IFERROR(__xludf.DUMMYFUNCTION("""COMPUTED_VALUE"""),"2199-3254")</f>
        <v>2199-3254</v>
      </c>
      <c r="G599" s="1" t="str">
        <f ca="1">IFERROR(__xludf.DUMMYFUNCTION("""COMPUTED_VALUE"""),"2199-3246")</f>
        <v>2199-3246</v>
      </c>
      <c r="H599" s="27" t="str">
        <f ca="1">IFERROR(__xludf.DUMMYFUNCTION("""COMPUTED_VALUE"""),"https://link.springer.com/journal/40751")</f>
        <v>https://link.springer.com/journal/40751</v>
      </c>
      <c r="I599" s="1" t="str">
        <f ca="1">IFERROR(__xludf.DUMMYFUNCTION("""COMPUTED_VALUE"""),"Springer")</f>
        <v>Springer</v>
      </c>
      <c r="J599" s="1">
        <f ca="1">IFERROR(__xludf.DUMMYFUNCTION("""COMPUTED_VALUE"""),2015)</f>
        <v>2015</v>
      </c>
      <c r="K599" s="1" t="str">
        <f ca="1">IFERROR(__xludf.DUMMYFUNCTION("""COMPUTED_VALUE"""),"Education")</f>
        <v>Education</v>
      </c>
      <c r="L599" s="1" t="str">
        <f ca="1">IFERROR(__xludf.DUMMYFUNCTION("""COMPUTED_VALUE"""),"〇")</f>
        <v>〇</v>
      </c>
      <c r="M599" s="1"/>
      <c r="N599" s="1" t="str">
        <f ca="1">IFERROR(__xludf.DUMMYFUNCTION("""COMPUTED_VALUE"""),"SNS15")</f>
        <v>SNS15</v>
      </c>
      <c r="O599" s="1"/>
      <c r="P599" s="1"/>
    </row>
    <row r="600" spans="1:16" ht="14.25" customHeight="1" x14ac:dyDescent="0.25">
      <c r="A600" s="1"/>
      <c r="B600" s="1">
        <f ca="1"/>
        <v>588</v>
      </c>
      <c r="C600" s="1">
        <f ca="1">IFERROR(__xludf.DUMMYFUNCTION("""COMPUTED_VALUE"""),2023)</f>
        <v>2023</v>
      </c>
      <c r="D600" s="1">
        <f ca="1">IFERROR(__xludf.DUMMYFUNCTION("""COMPUTED_VALUE"""),42521)</f>
        <v>42521</v>
      </c>
      <c r="E600" s="1" t="str">
        <f ca="1">IFERROR(__xludf.DUMMYFUNCTION("""COMPUTED_VALUE"""),"Digital Finance")</f>
        <v>Digital Finance</v>
      </c>
      <c r="F600" s="1" t="str">
        <f ca="1">IFERROR(__xludf.DUMMYFUNCTION("""COMPUTED_VALUE"""),"2524-6186")</f>
        <v>2524-6186</v>
      </c>
      <c r="G600" s="1"/>
      <c r="H600" s="27" t="str">
        <f ca="1">IFERROR(__xludf.DUMMYFUNCTION("""COMPUTED_VALUE"""),"https://link.springer.com/journal/42521")</f>
        <v>https://link.springer.com/journal/42521</v>
      </c>
      <c r="I600" s="1" t="str">
        <f ca="1">IFERROR(__xludf.DUMMYFUNCTION("""COMPUTED_VALUE"""),"Springer")</f>
        <v>Springer</v>
      </c>
      <c r="J600" s="1">
        <f ca="1">IFERROR(__xludf.DUMMYFUNCTION("""COMPUTED_VALUE"""),2019)</f>
        <v>2019</v>
      </c>
      <c r="K600" s="1" t="str">
        <f ca="1">IFERROR(__xludf.DUMMYFUNCTION("""COMPUTED_VALUE"""),"Economics and Finance")</f>
        <v>Economics and Finance</v>
      </c>
      <c r="L600" s="1"/>
      <c r="M600" s="1"/>
      <c r="N600" s="1" t="str">
        <f ca="1">IFERROR(__xludf.DUMMYFUNCTION("""COMPUTED_VALUE"""),"SNS19")</f>
        <v>SNS19</v>
      </c>
      <c r="O600" s="1"/>
      <c r="P600" s="1"/>
    </row>
    <row r="601" spans="1:16" ht="14.25" customHeight="1" x14ac:dyDescent="0.25">
      <c r="A601" s="1"/>
      <c r="B601" s="1">
        <f ca="1"/>
        <v>589</v>
      </c>
      <c r="C601" s="1">
        <f ca="1">IFERROR(__xludf.DUMMYFUNCTION("""COMPUTED_VALUE"""),2023)</f>
        <v>2023</v>
      </c>
      <c r="D601" s="1">
        <f ca="1">IFERROR(__xludf.DUMMYFUNCTION("""COMPUTED_VALUE"""),44206)</f>
        <v>44206</v>
      </c>
      <c r="E601" s="1" t="str">
        <f ca="1">IFERROR(__xludf.DUMMYFUNCTION("""COMPUTED_VALUE"""),"Digital Society")</f>
        <v>Digital Society</v>
      </c>
      <c r="F601" s="1" t="str">
        <f ca="1">IFERROR(__xludf.DUMMYFUNCTION("""COMPUTED_VALUE"""),"2731-4669")</f>
        <v>2731-4669</v>
      </c>
      <c r="G601" s="1"/>
      <c r="H601" s="27" t="str">
        <f ca="1">IFERROR(__xludf.DUMMYFUNCTION("""COMPUTED_VALUE"""),"https://link.springer.com/journal/44206")</f>
        <v>https://link.springer.com/journal/44206</v>
      </c>
      <c r="I601" s="1" t="str">
        <f ca="1">IFERROR(__xludf.DUMMYFUNCTION("""COMPUTED_VALUE"""),"Springer")</f>
        <v>Springer</v>
      </c>
      <c r="J601" s="1"/>
      <c r="K601" s="1" t="str">
        <f ca="1">IFERROR(__xludf.DUMMYFUNCTION("""COMPUTED_VALUE"""),"Computer Science")</f>
        <v>Computer Science</v>
      </c>
      <c r="L601" s="1"/>
      <c r="M601" s="1"/>
      <c r="N601" s="1" t="str">
        <f ca="1">IFERROR(__xludf.DUMMYFUNCTION("""COMPUTED_VALUE"""),"SNS22")</f>
        <v>SNS22</v>
      </c>
      <c r="O601" s="1"/>
      <c r="P601" s="1"/>
    </row>
    <row r="602" spans="1:16" ht="14.25" customHeight="1" x14ac:dyDescent="0.25">
      <c r="A602" s="1"/>
      <c r="B602" s="1">
        <f ca="1"/>
        <v>590</v>
      </c>
      <c r="C602" s="1">
        <f ca="1">IFERROR(__xludf.DUMMYFUNCTION("""COMPUTED_VALUE"""),2023)</f>
        <v>2023</v>
      </c>
      <c r="D602" s="1">
        <f ca="1">IFERROR(__xludf.DUMMYFUNCTION("""COMPUTED_VALUE"""),454)</f>
        <v>454</v>
      </c>
      <c r="E602" s="1" t="str">
        <f ca="1">IFERROR(__xludf.DUMMYFUNCTION("""COMPUTED_VALUE"""),"Discrete &amp; Computational Geometry")</f>
        <v>Discrete &amp; Computational Geometry</v>
      </c>
      <c r="F602" s="1" t="str">
        <f ca="1">IFERROR(__xludf.DUMMYFUNCTION("""COMPUTED_VALUE"""),"1432-0444")</f>
        <v>1432-0444</v>
      </c>
      <c r="G602" s="1" t="str">
        <f ca="1">IFERROR(__xludf.DUMMYFUNCTION("""COMPUTED_VALUE"""),"0179-5376")</f>
        <v>0179-5376</v>
      </c>
      <c r="H602" s="27" t="str">
        <f ca="1">IFERROR(__xludf.DUMMYFUNCTION("""COMPUTED_VALUE"""),"https://link.springer.com/journal/454")</f>
        <v>https://link.springer.com/journal/454</v>
      </c>
      <c r="I602" s="1" t="str">
        <f ca="1">IFERROR(__xludf.DUMMYFUNCTION("""COMPUTED_VALUE"""),"Springer")</f>
        <v>Springer</v>
      </c>
      <c r="J602" s="1">
        <f ca="1">IFERROR(__xludf.DUMMYFUNCTION("""COMPUTED_VALUE"""),2000)</f>
        <v>2000</v>
      </c>
      <c r="K602" s="1" t="str">
        <f ca="1">IFERROR(__xludf.DUMMYFUNCTION("""COMPUTED_VALUE"""),"Mathematics and Statistics")</f>
        <v>Mathematics and Statistics</v>
      </c>
      <c r="L602" s="1" t="str">
        <f ca="1">IFERROR(__xludf.DUMMYFUNCTION("""COMPUTED_VALUE"""),"〇")</f>
        <v>〇</v>
      </c>
      <c r="M602" s="1" t="str">
        <f ca="1">IFERROR(__xludf.DUMMYFUNCTION("""COMPUTED_VALUE"""),"〇")</f>
        <v>〇</v>
      </c>
      <c r="N602" s="1"/>
      <c r="O602" s="1"/>
      <c r="P602" s="1"/>
    </row>
    <row r="603" spans="1:16" ht="14.25" customHeight="1" x14ac:dyDescent="0.25">
      <c r="A603" s="1"/>
      <c r="B603" s="1">
        <f ca="1"/>
        <v>591</v>
      </c>
      <c r="C603" s="1">
        <f ca="1">IFERROR(__xludf.DUMMYFUNCTION("""COMPUTED_VALUE"""),2023)</f>
        <v>2023</v>
      </c>
      <c r="D603" s="1">
        <f ca="1">IFERROR(__xludf.DUMMYFUNCTION("""COMPUTED_VALUE"""),10626)</f>
        <v>10626</v>
      </c>
      <c r="E603" s="1" t="str">
        <f ca="1">IFERROR(__xludf.DUMMYFUNCTION("""COMPUTED_VALUE"""),"Discrete Event Dynamic Systems")</f>
        <v>Discrete Event Dynamic Systems</v>
      </c>
      <c r="F603" s="1" t="str">
        <f ca="1">IFERROR(__xludf.DUMMYFUNCTION("""COMPUTED_VALUE"""),"1573-7594")</f>
        <v>1573-7594</v>
      </c>
      <c r="G603" s="1" t="str">
        <f ca="1">IFERROR(__xludf.DUMMYFUNCTION("""COMPUTED_VALUE"""),"0924-6703")</f>
        <v>0924-6703</v>
      </c>
      <c r="H603" s="27" t="str">
        <f ca="1">IFERROR(__xludf.DUMMYFUNCTION("""COMPUTED_VALUE"""),"https://link.springer.com/journal/10626")</f>
        <v>https://link.springer.com/journal/10626</v>
      </c>
      <c r="I603" s="1" t="str">
        <f ca="1">IFERROR(__xludf.DUMMYFUNCTION("""COMPUTED_VALUE"""),"Springer")</f>
        <v>Springer</v>
      </c>
      <c r="J603" s="1">
        <f ca="1">IFERROR(__xludf.DUMMYFUNCTION("""COMPUTED_VALUE"""),2000)</f>
        <v>2000</v>
      </c>
      <c r="K603" s="1" t="str">
        <f ca="1">IFERROR(__xludf.DUMMYFUNCTION("""COMPUTED_VALUE"""),"Mathematics and Statistics")</f>
        <v>Mathematics and Statistics</v>
      </c>
      <c r="L603" s="1" t="str">
        <f ca="1">IFERROR(__xludf.DUMMYFUNCTION("""COMPUTED_VALUE"""),"〇")</f>
        <v>〇</v>
      </c>
      <c r="M603" s="1" t="str">
        <f ca="1">IFERROR(__xludf.DUMMYFUNCTION("""COMPUTED_VALUE"""),"〇")</f>
        <v>〇</v>
      </c>
      <c r="N603" s="1"/>
      <c r="O603" s="1"/>
      <c r="P603" s="1"/>
    </row>
    <row r="604" spans="1:16" ht="14.25" customHeight="1" x14ac:dyDescent="0.25">
      <c r="A604" s="1"/>
      <c r="B604" s="1">
        <f ca="1"/>
        <v>592</v>
      </c>
      <c r="C604" s="1">
        <f ca="1">IFERROR(__xludf.DUMMYFUNCTION("""COMPUTED_VALUE"""),2023)</f>
        <v>2023</v>
      </c>
      <c r="D604" s="1">
        <f ca="1">IFERROR(__xludf.DUMMYFUNCTION("""COMPUTED_VALUE"""),10619)</f>
        <v>10619</v>
      </c>
      <c r="E604" s="1" t="str">
        <f ca="1">IFERROR(__xludf.DUMMYFUNCTION("""COMPUTED_VALUE"""),"Distributed and Parallel Databases")</f>
        <v>Distributed and Parallel Databases</v>
      </c>
      <c r="F604" s="1" t="str">
        <f ca="1">IFERROR(__xludf.DUMMYFUNCTION("""COMPUTED_VALUE"""),"1573-7578")</f>
        <v>1573-7578</v>
      </c>
      <c r="G604" s="1" t="str">
        <f ca="1">IFERROR(__xludf.DUMMYFUNCTION("""COMPUTED_VALUE"""),"0926-8782")</f>
        <v>0926-8782</v>
      </c>
      <c r="H604" s="27" t="str">
        <f ca="1">IFERROR(__xludf.DUMMYFUNCTION("""COMPUTED_VALUE"""),"https://link.springer.com/journal/10619")</f>
        <v>https://link.springer.com/journal/10619</v>
      </c>
      <c r="I604" s="1" t="str">
        <f ca="1">IFERROR(__xludf.DUMMYFUNCTION("""COMPUTED_VALUE"""),"Springer")</f>
        <v>Springer</v>
      </c>
      <c r="J604" s="1">
        <f ca="1">IFERROR(__xludf.DUMMYFUNCTION("""COMPUTED_VALUE"""),2000)</f>
        <v>2000</v>
      </c>
      <c r="K604" s="1" t="str">
        <f ca="1">IFERROR(__xludf.DUMMYFUNCTION("""COMPUTED_VALUE"""),"Computer Science")</f>
        <v>Computer Science</v>
      </c>
      <c r="L604" s="1" t="str">
        <f ca="1">IFERROR(__xludf.DUMMYFUNCTION("""COMPUTED_VALUE"""),"〇")</f>
        <v>〇</v>
      </c>
      <c r="M604" s="1" t="str">
        <f ca="1">IFERROR(__xludf.DUMMYFUNCTION("""COMPUTED_VALUE"""),"〇")</f>
        <v>〇</v>
      </c>
      <c r="N604" s="1"/>
      <c r="O604" s="1"/>
      <c r="P604" s="1"/>
    </row>
    <row r="605" spans="1:16" ht="14.25" customHeight="1" x14ac:dyDescent="0.25">
      <c r="A605" s="1"/>
      <c r="B605" s="1">
        <f ca="1"/>
        <v>593</v>
      </c>
      <c r="C605" s="1">
        <f ca="1">IFERROR(__xludf.DUMMYFUNCTION("""COMPUTED_VALUE"""),2023)</f>
        <v>2023</v>
      </c>
      <c r="D605" s="1">
        <f ca="1">IFERROR(__xludf.DUMMYFUNCTION("""COMPUTED_VALUE"""),446)</f>
        <v>446</v>
      </c>
      <c r="E605" s="1" t="str">
        <f ca="1">IFERROR(__xludf.DUMMYFUNCTION("""COMPUTED_VALUE"""),"Distributed Computing")</f>
        <v>Distributed Computing</v>
      </c>
      <c r="F605" s="1" t="str">
        <f ca="1">IFERROR(__xludf.DUMMYFUNCTION("""COMPUTED_VALUE"""),"1432-0452")</f>
        <v>1432-0452</v>
      </c>
      <c r="G605" s="1" t="str">
        <f ca="1">IFERROR(__xludf.DUMMYFUNCTION("""COMPUTED_VALUE"""),"0178-2770")</f>
        <v>0178-2770</v>
      </c>
      <c r="H605" s="27" t="str">
        <f ca="1">IFERROR(__xludf.DUMMYFUNCTION("""COMPUTED_VALUE"""),"https://link.springer.com/journal/446")</f>
        <v>https://link.springer.com/journal/446</v>
      </c>
      <c r="I605" s="1" t="str">
        <f ca="1">IFERROR(__xludf.DUMMYFUNCTION("""COMPUTED_VALUE"""),"Springer")</f>
        <v>Springer</v>
      </c>
      <c r="J605" s="1">
        <f ca="1">IFERROR(__xludf.DUMMYFUNCTION("""COMPUTED_VALUE"""),2000)</f>
        <v>2000</v>
      </c>
      <c r="K605" s="1" t="str">
        <f ca="1">IFERROR(__xludf.DUMMYFUNCTION("""COMPUTED_VALUE"""),"Computer Science")</f>
        <v>Computer Science</v>
      </c>
      <c r="L605" s="1" t="str">
        <f ca="1">IFERROR(__xludf.DUMMYFUNCTION("""COMPUTED_VALUE"""),"〇")</f>
        <v>〇</v>
      </c>
      <c r="M605" s="1" t="str">
        <f ca="1">IFERROR(__xludf.DUMMYFUNCTION("""COMPUTED_VALUE"""),"〇")</f>
        <v>〇</v>
      </c>
      <c r="N605" s="1"/>
      <c r="O605" s="1"/>
      <c r="P605" s="1"/>
    </row>
    <row r="606" spans="1:16" ht="14.25" customHeight="1" x14ac:dyDescent="0.25">
      <c r="A606" s="1"/>
      <c r="B606" s="1">
        <f ca="1"/>
        <v>594</v>
      </c>
      <c r="C606" s="1">
        <f ca="1">IFERROR(__xludf.DUMMYFUNCTION("""COMPUTED_VALUE"""),2023)</f>
        <v>2023</v>
      </c>
      <c r="D606" s="1">
        <f ca="1">IFERROR(__xludf.DUMMYFUNCTION("""COMPUTED_VALUE"""),15202)</f>
        <v>15202</v>
      </c>
      <c r="E606" s="1" t="str">
        <f ca="1">IFERROR(__xludf.DUMMYFUNCTION("""COMPUTED_VALUE"""),"DNP – Die Neurologie &amp; Psychiatrie")</f>
        <v>DNP – Die Neurologie &amp; Psychiatrie</v>
      </c>
      <c r="F606" s="1" t="str">
        <f ca="1">IFERROR(__xludf.DUMMYFUNCTION("""COMPUTED_VALUE"""),"2731-8176")</f>
        <v>2731-8176</v>
      </c>
      <c r="G606" s="1" t="str">
        <f ca="1">IFERROR(__xludf.DUMMYFUNCTION("""COMPUTED_VALUE"""),"2731-8168")</f>
        <v>2731-8168</v>
      </c>
      <c r="H606" s="27" t="str">
        <f ca="1">IFERROR(__xludf.DUMMYFUNCTION("""COMPUTED_VALUE"""),"https://link.springer.com/journal/15202")</f>
        <v>https://link.springer.com/journal/15202</v>
      </c>
      <c r="I606" s="1" t="str">
        <f ca="1">IFERROR(__xludf.DUMMYFUNCTION("""COMPUTED_VALUE"""),"SpringerMedizin")</f>
        <v>SpringerMedizin</v>
      </c>
      <c r="J606" s="1">
        <f ca="1">IFERROR(__xludf.DUMMYFUNCTION("""COMPUTED_VALUE"""),2012)</f>
        <v>2012</v>
      </c>
      <c r="K606" s="1" t="str">
        <f ca="1">IFERROR(__xludf.DUMMYFUNCTION("""COMPUTED_VALUE"""),"Medicine")</f>
        <v>Medicine</v>
      </c>
      <c r="L606" s="1" t="str">
        <f ca="1">IFERROR(__xludf.DUMMYFUNCTION("""COMPUTED_VALUE"""),"〇")</f>
        <v>〇</v>
      </c>
      <c r="M606" s="1"/>
      <c r="N606" s="1"/>
      <c r="O606" s="1"/>
      <c r="P606" s="1"/>
    </row>
    <row r="607" spans="1:16" ht="14.25" customHeight="1" x14ac:dyDescent="0.25">
      <c r="A607" s="1"/>
      <c r="B607" s="1">
        <f ca="1"/>
        <v>595</v>
      </c>
      <c r="C607" s="1">
        <f ca="1">IFERROR(__xludf.DUMMYFUNCTION("""COMPUTED_VALUE"""),2023)</f>
        <v>2023</v>
      </c>
      <c r="D607" s="1">
        <f ca="1">IFERROR(__xludf.DUMMYFUNCTION("""COMPUTED_VALUE"""),10633)</f>
        <v>10633</v>
      </c>
      <c r="E607" s="1" t="str">
        <f ca="1">IFERROR(__xludf.DUMMYFUNCTION("""COMPUTED_VALUE"""),"Documenta Ophthalmologica")</f>
        <v>Documenta Ophthalmologica</v>
      </c>
      <c r="F607" s="1" t="str">
        <f ca="1">IFERROR(__xludf.DUMMYFUNCTION("""COMPUTED_VALUE"""),"1573-2622")</f>
        <v>1573-2622</v>
      </c>
      <c r="G607" s="1" t="str">
        <f ca="1">IFERROR(__xludf.DUMMYFUNCTION("""COMPUTED_VALUE"""),"0012-4486")</f>
        <v>0012-4486</v>
      </c>
      <c r="H607" s="27" t="str">
        <f ca="1">IFERROR(__xludf.DUMMYFUNCTION("""COMPUTED_VALUE"""),"https://link.springer.com/journal/10633")</f>
        <v>https://link.springer.com/journal/10633</v>
      </c>
      <c r="I607" s="1" t="str">
        <f ca="1">IFERROR(__xludf.DUMMYFUNCTION("""COMPUTED_VALUE"""),"Springer")</f>
        <v>Springer</v>
      </c>
      <c r="J607" s="1">
        <f ca="1">IFERROR(__xludf.DUMMYFUNCTION("""COMPUTED_VALUE"""),2000)</f>
        <v>2000</v>
      </c>
      <c r="K607" s="1" t="str">
        <f ca="1">IFERROR(__xludf.DUMMYFUNCTION("""COMPUTED_VALUE"""),"Medicine")</f>
        <v>Medicine</v>
      </c>
      <c r="L607" s="1" t="str">
        <f ca="1">IFERROR(__xludf.DUMMYFUNCTION("""COMPUTED_VALUE"""),"〇")</f>
        <v>〇</v>
      </c>
      <c r="M607" s="1" t="str">
        <f ca="1">IFERROR(__xludf.DUMMYFUNCTION("""COMPUTED_VALUE"""),"〇")</f>
        <v>〇</v>
      </c>
      <c r="N607" s="1"/>
      <c r="O607" s="1"/>
      <c r="P607" s="1"/>
    </row>
    <row r="608" spans="1:16" ht="14.25" customHeight="1" x14ac:dyDescent="0.25">
      <c r="A608" s="1"/>
      <c r="B608" s="1">
        <f ca="1"/>
        <v>596</v>
      </c>
      <c r="C608" s="1">
        <f ca="1">IFERROR(__xludf.DUMMYFUNCTION("""COMPUTED_VALUE"""),2023)</f>
        <v>2023</v>
      </c>
      <c r="D608" s="1">
        <f ca="1">IFERROR(__xludf.DUMMYFUNCTION("""COMPUTED_VALUE"""),10628)</f>
        <v>10628</v>
      </c>
      <c r="E608" s="1" t="str">
        <f ca="1">IFERROR(__xludf.DUMMYFUNCTION("""COMPUTED_VALUE"""),"Doklady Biochemistry and Biophysics")</f>
        <v>Doklady Biochemistry and Biophysics</v>
      </c>
      <c r="F608" s="1" t="str">
        <f ca="1">IFERROR(__xludf.DUMMYFUNCTION("""COMPUTED_VALUE"""),"1608-3091")</f>
        <v>1608-3091</v>
      </c>
      <c r="G608" s="1" t="str">
        <f ca="1">IFERROR(__xludf.DUMMYFUNCTION("""COMPUTED_VALUE"""),"1607-6729")</f>
        <v>1607-6729</v>
      </c>
      <c r="H608" s="27" t="str">
        <f ca="1">IFERROR(__xludf.DUMMYFUNCTION("""COMPUTED_VALUE"""),"https://link.springer.com/journal/10628")</f>
        <v>https://link.springer.com/journal/10628</v>
      </c>
      <c r="I608" s="1" t="str">
        <f ca="1">IFERROR(__xludf.DUMMYFUNCTION("""COMPUTED_VALUE"""),"Pleiades Publishing")</f>
        <v>Pleiades Publishing</v>
      </c>
      <c r="J608" s="1">
        <f ca="1">IFERROR(__xludf.DUMMYFUNCTION("""COMPUTED_VALUE"""),2000)</f>
        <v>2000</v>
      </c>
      <c r="K608" s="1" t="str">
        <f ca="1">IFERROR(__xludf.DUMMYFUNCTION("""COMPUTED_VALUE"""),"Biomedical and Life Sciences")</f>
        <v>Biomedical and Life Sciences</v>
      </c>
      <c r="L608" s="1" t="str">
        <f ca="1">IFERROR(__xludf.DUMMYFUNCTION("""COMPUTED_VALUE"""),"〇")</f>
        <v>〇</v>
      </c>
      <c r="M608" s="1" t="str">
        <f ca="1">IFERROR(__xludf.DUMMYFUNCTION("""COMPUTED_VALUE"""),"〇")</f>
        <v>〇</v>
      </c>
      <c r="N608" s="1"/>
      <c r="O608" s="1"/>
      <c r="P608" s="1"/>
    </row>
    <row r="609" spans="1:16" ht="14.25" customHeight="1" x14ac:dyDescent="0.25">
      <c r="A609" s="1"/>
      <c r="B609" s="1">
        <f ca="1"/>
        <v>597</v>
      </c>
      <c r="C609" s="1">
        <f ca="1">IFERROR(__xludf.DUMMYFUNCTION("""COMPUTED_VALUE"""),2023)</f>
        <v>2023</v>
      </c>
      <c r="D609" s="1">
        <f ca="1">IFERROR(__xludf.DUMMYFUNCTION("""COMPUTED_VALUE"""),10630)</f>
        <v>10630</v>
      </c>
      <c r="E609" s="1" t="str">
        <f ca="1">IFERROR(__xludf.DUMMYFUNCTION("""COMPUTED_VALUE"""),"Doklady Biological Sciences")</f>
        <v>Doklady Biological Sciences</v>
      </c>
      <c r="F609" s="1" t="str">
        <f ca="1">IFERROR(__xludf.DUMMYFUNCTION("""COMPUTED_VALUE"""),"1608-3105")</f>
        <v>1608-3105</v>
      </c>
      <c r="G609" s="1" t="str">
        <f ca="1">IFERROR(__xludf.DUMMYFUNCTION("""COMPUTED_VALUE"""),"0012-4966")</f>
        <v>0012-4966</v>
      </c>
      <c r="H609" s="27" t="str">
        <f ca="1">IFERROR(__xludf.DUMMYFUNCTION("""COMPUTED_VALUE"""),"https://link.springer.com/journal/10630")</f>
        <v>https://link.springer.com/journal/10630</v>
      </c>
      <c r="I609" s="1" t="str">
        <f ca="1">IFERROR(__xludf.DUMMYFUNCTION("""COMPUTED_VALUE"""),"Pleiades Publishing")</f>
        <v>Pleiades Publishing</v>
      </c>
      <c r="J609" s="1">
        <f ca="1">IFERROR(__xludf.DUMMYFUNCTION("""COMPUTED_VALUE"""),2000)</f>
        <v>2000</v>
      </c>
      <c r="K609" s="1" t="str">
        <f ca="1">IFERROR(__xludf.DUMMYFUNCTION("""COMPUTED_VALUE"""),"Biomedical and Life Sciences")</f>
        <v>Biomedical and Life Sciences</v>
      </c>
      <c r="L609" s="1" t="str">
        <f ca="1">IFERROR(__xludf.DUMMYFUNCTION("""COMPUTED_VALUE"""),"〇")</f>
        <v>〇</v>
      </c>
      <c r="M609" s="1" t="str">
        <f ca="1">IFERROR(__xludf.DUMMYFUNCTION("""COMPUTED_VALUE"""),"〇")</f>
        <v>〇</v>
      </c>
      <c r="N609" s="1"/>
      <c r="O609" s="1"/>
      <c r="P609" s="1"/>
    </row>
    <row r="610" spans="1:16" ht="14.25" customHeight="1" x14ac:dyDescent="0.25">
      <c r="A610" s="1"/>
      <c r="B610" s="1">
        <f ca="1"/>
        <v>598</v>
      </c>
      <c r="C610" s="1">
        <f ca="1">IFERROR(__xludf.DUMMYFUNCTION("""COMPUTED_VALUE"""),2023)</f>
        <v>2023</v>
      </c>
      <c r="D610" s="1">
        <f ca="1">IFERROR(__xludf.DUMMYFUNCTION("""COMPUTED_VALUE"""),10631)</f>
        <v>10631</v>
      </c>
      <c r="E610" s="1" t="str">
        <f ca="1">IFERROR(__xludf.DUMMYFUNCTION("""COMPUTED_VALUE"""),"Doklady Chemistry")</f>
        <v>Doklady Chemistry</v>
      </c>
      <c r="F610" s="1" t="str">
        <f ca="1">IFERROR(__xludf.DUMMYFUNCTION("""COMPUTED_VALUE"""),"1608-3113")</f>
        <v>1608-3113</v>
      </c>
      <c r="G610" s="1" t="str">
        <f ca="1">IFERROR(__xludf.DUMMYFUNCTION("""COMPUTED_VALUE"""),"0012-5008")</f>
        <v>0012-5008</v>
      </c>
      <c r="H610" s="27" t="str">
        <f ca="1">IFERROR(__xludf.DUMMYFUNCTION("""COMPUTED_VALUE"""),"https://link.springer.com/journal/10631")</f>
        <v>https://link.springer.com/journal/10631</v>
      </c>
      <c r="I610" s="1" t="str">
        <f ca="1">IFERROR(__xludf.DUMMYFUNCTION("""COMPUTED_VALUE"""),"Pleiades Publishing")</f>
        <v>Pleiades Publishing</v>
      </c>
      <c r="J610" s="1">
        <f ca="1">IFERROR(__xludf.DUMMYFUNCTION("""COMPUTED_VALUE"""),2000)</f>
        <v>2000</v>
      </c>
      <c r="K610" s="1" t="str">
        <f ca="1">IFERROR(__xludf.DUMMYFUNCTION("""COMPUTED_VALUE"""),"Chemistry and Materials Science")</f>
        <v>Chemistry and Materials Science</v>
      </c>
      <c r="L610" s="1" t="str">
        <f ca="1">IFERROR(__xludf.DUMMYFUNCTION("""COMPUTED_VALUE"""),"〇")</f>
        <v>〇</v>
      </c>
      <c r="M610" s="1" t="str">
        <f ca="1">IFERROR(__xludf.DUMMYFUNCTION("""COMPUTED_VALUE"""),"〇")</f>
        <v>〇</v>
      </c>
      <c r="N610" s="1"/>
      <c r="O610" s="1"/>
      <c r="P610" s="1"/>
    </row>
    <row r="611" spans="1:16" ht="14.25" customHeight="1" x14ac:dyDescent="0.25">
      <c r="A611" s="1"/>
      <c r="B611" s="1">
        <f ca="1"/>
        <v>599</v>
      </c>
      <c r="C611" s="1">
        <f ca="1">IFERROR(__xludf.DUMMYFUNCTION("""COMPUTED_VALUE"""),2023)</f>
        <v>2023</v>
      </c>
      <c r="D611" s="1">
        <f ca="1">IFERROR(__xludf.DUMMYFUNCTION("""COMPUTED_VALUE"""),11471)</f>
        <v>11471</v>
      </c>
      <c r="E611" s="1" t="str">
        <f ca="1">IFERROR(__xludf.DUMMYFUNCTION("""COMPUTED_VALUE"""),"Doklady Earth Sciences")</f>
        <v>Doklady Earth Sciences</v>
      </c>
      <c r="F611" s="1" t="str">
        <f ca="1">IFERROR(__xludf.DUMMYFUNCTION("""COMPUTED_VALUE"""),"1531-8354")</f>
        <v>1531-8354</v>
      </c>
      <c r="G611" s="1" t="str">
        <f ca="1">IFERROR(__xludf.DUMMYFUNCTION("""COMPUTED_VALUE"""),"1028-334X")</f>
        <v>1028-334X</v>
      </c>
      <c r="H611" s="27" t="str">
        <f ca="1">IFERROR(__xludf.DUMMYFUNCTION("""COMPUTED_VALUE"""),"https://link.springer.com/journal/11471")</f>
        <v>https://link.springer.com/journal/11471</v>
      </c>
      <c r="I611" s="1" t="str">
        <f ca="1">IFERROR(__xludf.DUMMYFUNCTION("""COMPUTED_VALUE"""),"Pleiades Publishing")</f>
        <v>Pleiades Publishing</v>
      </c>
      <c r="J611" s="1">
        <f ca="1">IFERROR(__xludf.DUMMYFUNCTION("""COMPUTED_VALUE"""),2006)</f>
        <v>2006</v>
      </c>
      <c r="K611" s="1" t="str">
        <f ca="1">IFERROR(__xludf.DUMMYFUNCTION("""COMPUTED_VALUE"""),"Earth and Environmental Science")</f>
        <v>Earth and Environmental Science</v>
      </c>
      <c r="L611" s="1" t="str">
        <f ca="1">IFERROR(__xludf.DUMMYFUNCTION("""COMPUTED_VALUE"""),"〇")</f>
        <v>〇</v>
      </c>
      <c r="M611" s="1" t="str">
        <f ca="1">IFERROR(__xludf.DUMMYFUNCTION("""COMPUTED_VALUE"""),"〇")</f>
        <v>〇</v>
      </c>
      <c r="N611" s="1"/>
      <c r="O611" s="1"/>
      <c r="P611" s="1"/>
    </row>
    <row r="612" spans="1:16" ht="14.25" customHeight="1" x14ac:dyDescent="0.25">
      <c r="A612" s="1"/>
      <c r="B612" s="1">
        <f ca="1"/>
        <v>600</v>
      </c>
      <c r="C612" s="1">
        <f ca="1">IFERROR(__xludf.DUMMYFUNCTION("""COMPUTED_VALUE"""),2023)</f>
        <v>2023</v>
      </c>
      <c r="D612" s="1">
        <f ca="1">IFERROR(__xludf.DUMMYFUNCTION("""COMPUTED_VALUE"""),11472)</f>
        <v>11472</v>
      </c>
      <c r="E612" s="1" t="str">
        <f ca="1">IFERROR(__xludf.DUMMYFUNCTION("""COMPUTED_VALUE"""),"Doklady Mathematics")</f>
        <v>Doklady Mathematics</v>
      </c>
      <c r="F612" s="1" t="str">
        <f ca="1">IFERROR(__xludf.DUMMYFUNCTION("""COMPUTED_VALUE"""),"1531-8362")</f>
        <v>1531-8362</v>
      </c>
      <c r="G612" s="1" t="str">
        <f ca="1">IFERROR(__xludf.DUMMYFUNCTION("""COMPUTED_VALUE"""),"1064-5624")</f>
        <v>1064-5624</v>
      </c>
      <c r="H612" s="27" t="str">
        <f ca="1">IFERROR(__xludf.DUMMYFUNCTION("""COMPUTED_VALUE"""),"https://link.springer.com/journal/11472")</f>
        <v>https://link.springer.com/journal/11472</v>
      </c>
      <c r="I612" s="1" t="str">
        <f ca="1">IFERROR(__xludf.DUMMYFUNCTION("""COMPUTED_VALUE"""),"Pleiades Publishing")</f>
        <v>Pleiades Publishing</v>
      </c>
      <c r="J612" s="1">
        <f ca="1">IFERROR(__xludf.DUMMYFUNCTION("""COMPUTED_VALUE"""),2006)</f>
        <v>2006</v>
      </c>
      <c r="K612" s="1" t="str">
        <f ca="1">IFERROR(__xludf.DUMMYFUNCTION("""COMPUTED_VALUE"""),"Mathematics and Statistics")</f>
        <v>Mathematics and Statistics</v>
      </c>
      <c r="L612" s="1" t="str">
        <f ca="1">IFERROR(__xludf.DUMMYFUNCTION("""COMPUTED_VALUE"""),"〇")</f>
        <v>〇</v>
      </c>
      <c r="M612" s="1" t="str">
        <f ca="1">IFERROR(__xludf.DUMMYFUNCTION("""COMPUTED_VALUE"""),"〇")</f>
        <v>〇</v>
      </c>
      <c r="N612" s="1"/>
      <c r="O612" s="1"/>
      <c r="P612" s="1"/>
    </row>
    <row r="613" spans="1:16" ht="14.25" customHeight="1" x14ac:dyDescent="0.25">
      <c r="A613" s="1"/>
      <c r="B613" s="1">
        <f ca="1"/>
        <v>601</v>
      </c>
      <c r="C613" s="1">
        <f ca="1">IFERROR(__xludf.DUMMYFUNCTION("""COMPUTED_VALUE"""),2023)</f>
        <v>2023</v>
      </c>
      <c r="D613" s="1">
        <f ca="1">IFERROR(__xludf.DUMMYFUNCTION("""COMPUTED_VALUE"""),10634)</f>
        <v>10634</v>
      </c>
      <c r="E613" s="1" t="str">
        <f ca="1">IFERROR(__xludf.DUMMYFUNCTION("""COMPUTED_VALUE"""),"Doklady Physical Chemistry")</f>
        <v>Doklady Physical Chemistry</v>
      </c>
      <c r="F613" s="1" t="str">
        <f ca="1">IFERROR(__xludf.DUMMYFUNCTION("""COMPUTED_VALUE"""),"1608-3121")</f>
        <v>1608-3121</v>
      </c>
      <c r="G613" s="1" t="str">
        <f ca="1">IFERROR(__xludf.DUMMYFUNCTION("""COMPUTED_VALUE"""),"0012-5016")</f>
        <v>0012-5016</v>
      </c>
      <c r="H613" s="27" t="str">
        <f ca="1">IFERROR(__xludf.DUMMYFUNCTION("""COMPUTED_VALUE"""),"https://link.springer.com/journal/10634")</f>
        <v>https://link.springer.com/journal/10634</v>
      </c>
      <c r="I613" s="1" t="str">
        <f ca="1">IFERROR(__xludf.DUMMYFUNCTION("""COMPUTED_VALUE"""),"Pleiades Publishing")</f>
        <v>Pleiades Publishing</v>
      </c>
      <c r="J613" s="1">
        <f ca="1">IFERROR(__xludf.DUMMYFUNCTION("""COMPUTED_VALUE"""),2000)</f>
        <v>2000</v>
      </c>
      <c r="K613" s="1" t="str">
        <f ca="1">IFERROR(__xludf.DUMMYFUNCTION("""COMPUTED_VALUE"""),"Chemistry and Materials Science")</f>
        <v>Chemistry and Materials Science</v>
      </c>
      <c r="L613" s="1" t="str">
        <f ca="1">IFERROR(__xludf.DUMMYFUNCTION("""COMPUTED_VALUE"""),"〇")</f>
        <v>〇</v>
      </c>
      <c r="M613" s="1" t="str">
        <f ca="1">IFERROR(__xludf.DUMMYFUNCTION("""COMPUTED_VALUE"""),"〇")</f>
        <v>〇</v>
      </c>
      <c r="N613" s="1"/>
      <c r="O613" s="1"/>
      <c r="P613" s="1"/>
    </row>
    <row r="614" spans="1:16" ht="14.25" customHeight="1" x14ac:dyDescent="0.25">
      <c r="A614" s="1"/>
      <c r="B614" s="1">
        <f ca="1"/>
        <v>602</v>
      </c>
      <c r="C614" s="1">
        <f ca="1">IFERROR(__xludf.DUMMYFUNCTION("""COMPUTED_VALUE"""),2023)</f>
        <v>2023</v>
      </c>
      <c r="D614" s="1">
        <f ca="1">IFERROR(__xludf.DUMMYFUNCTION("""COMPUTED_VALUE"""),11446)</f>
        <v>11446</v>
      </c>
      <c r="E614" s="1" t="str">
        <f ca="1">IFERROR(__xludf.DUMMYFUNCTION("""COMPUTED_VALUE"""),"Doklady Physics")</f>
        <v>Doklady Physics</v>
      </c>
      <c r="F614" s="1" t="str">
        <f ca="1">IFERROR(__xludf.DUMMYFUNCTION("""COMPUTED_VALUE"""),"1562-6903")</f>
        <v>1562-6903</v>
      </c>
      <c r="G614" s="1" t="str">
        <f ca="1">IFERROR(__xludf.DUMMYFUNCTION("""COMPUTED_VALUE"""),"1028-3358")</f>
        <v>1028-3358</v>
      </c>
      <c r="H614" s="27" t="str">
        <f ca="1">IFERROR(__xludf.DUMMYFUNCTION("""COMPUTED_VALUE"""),"https://link.springer.com/journal/11446")</f>
        <v>https://link.springer.com/journal/11446</v>
      </c>
      <c r="I614" s="1" t="str">
        <f ca="1">IFERROR(__xludf.DUMMYFUNCTION("""COMPUTED_VALUE"""),"Pleiades Publishing")</f>
        <v>Pleiades Publishing</v>
      </c>
      <c r="J614" s="1">
        <f ca="1">IFERROR(__xludf.DUMMYFUNCTION("""COMPUTED_VALUE"""),2000)</f>
        <v>2000</v>
      </c>
      <c r="K614" s="1" t="str">
        <f ca="1">IFERROR(__xludf.DUMMYFUNCTION("""COMPUTED_VALUE"""),"Physics and Astronomy")</f>
        <v>Physics and Astronomy</v>
      </c>
      <c r="L614" s="1" t="str">
        <f ca="1">IFERROR(__xludf.DUMMYFUNCTION("""COMPUTED_VALUE"""),"〇")</f>
        <v>〇</v>
      </c>
      <c r="M614" s="1" t="str">
        <f ca="1">IFERROR(__xludf.DUMMYFUNCTION("""COMPUTED_VALUE"""),"〇")</f>
        <v>〇</v>
      </c>
      <c r="N614" s="1"/>
      <c r="O614" s="1"/>
      <c r="P614" s="1"/>
    </row>
    <row r="615" spans="1:16" ht="14.25" customHeight="1" x14ac:dyDescent="0.25">
      <c r="A615" s="1"/>
      <c r="B615" s="1">
        <f ca="1"/>
        <v>603</v>
      </c>
      <c r="C615" s="1">
        <f ca="1">IFERROR(__xludf.DUMMYFUNCTION("""COMPUTED_VALUE"""),2023)</f>
        <v>2023</v>
      </c>
      <c r="D615" s="1">
        <f ca="1">IFERROR(__xludf.DUMMYFUNCTION("""COMPUTED_VALUE"""),13346)</f>
        <v>13346</v>
      </c>
      <c r="E615" s="1" t="str">
        <f ca="1">IFERROR(__xludf.DUMMYFUNCTION("""COMPUTED_VALUE"""),"Drug Delivery and Translational Research")</f>
        <v>Drug Delivery and Translational Research</v>
      </c>
      <c r="F615" s="1" t="str">
        <f ca="1">IFERROR(__xludf.DUMMYFUNCTION("""COMPUTED_VALUE"""),"2190-3948")</f>
        <v>2190-3948</v>
      </c>
      <c r="G615" s="1" t="str">
        <f ca="1">IFERROR(__xludf.DUMMYFUNCTION("""COMPUTED_VALUE"""),"2190-393X")</f>
        <v>2190-393X</v>
      </c>
      <c r="H615" s="27" t="str">
        <f ca="1">IFERROR(__xludf.DUMMYFUNCTION("""COMPUTED_VALUE"""),"https://link.springer.com/journal/13346")</f>
        <v>https://link.springer.com/journal/13346</v>
      </c>
      <c r="I615" s="1" t="str">
        <f ca="1">IFERROR(__xludf.DUMMYFUNCTION("""COMPUTED_VALUE"""),"Springer")</f>
        <v>Springer</v>
      </c>
      <c r="J615" s="1">
        <f ca="1">IFERROR(__xludf.DUMMYFUNCTION("""COMPUTED_VALUE"""),2011)</f>
        <v>2011</v>
      </c>
      <c r="K615" s="1" t="str">
        <f ca="1">IFERROR(__xludf.DUMMYFUNCTION("""COMPUTED_VALUE"""),"Biomedical and Life Sciences")</f>
        <v>Biomedical and Life Sciences</v>
      </c>
      <c r="L615" s="1" t="str">
        <f ca="1">IFERROR(__xludf.DUMMYFUNCTION("""COMPUTED_VALUE"""),"〇")</f>
        <v>〇</v>
      </c>
      <c r="M615" s="1"/>
      <c r="N615" s="1" t="str">
        <f ca="1">IFERROR(__xludf.DUMMYFUNCTION("""COMPUTED_VALUE"""),"SNS11")</f>
        <v>SNS11</v>
      </c>
      <c r="O615" s="1"/>
      <c r="P615" s="1"/>
    </row>
    <row r="616" spans="1:16" ht="14.25" customHeight="1" x14ac:dyDescent="0.25">
      <c r="A616" s="1"/>
      <c r="B616" s="1">
        <f ca="1"/>
        <v>604</v>
      </c>
      <c r="C616" s="1">
        <f ca="1">IFERROR(__xludf.DUMMYFUNCTION("""COMPUTED_VALUE"""),2023)</f>
        <v>2023</v>
      </c>
      <c r="D616" s="1">
        <f ca="1">IFERROR(__xludf.DUMMYFUNCTION("""COMPUTED_VALUE"""),13235)</f>
        <v>13235</v>
      </c>
      <c r="E616" s="1" t="str">
        <f ca="1">IFERROR(__xludf.DUMMYFUNCTION("""COMPUTED_VALUE"""),"Dynamic Games and Applications")</f>
        <v>Dynamic Games and Applications</v>
      </c>
      <c r="F616" s="1" t="str">
        <f ca="1">IFERROR(__xludf.DUMMYFUNCTION("""COMPUTED_VALUE"""),"2153-0793")</f>
        <v>2153-0793</v>
      </c>
      <c r="G616" s="1" t="str">
        <f ca="1">IFERROR(__xludf.DUMMYFUNCTION("""COMPUTED_VALUE"""),"2153-0785")</f>
        <v>2153-0785</v>
      </c>
      <c r="H616" s="27" t="str">
        <f ca="1">IFERROR(__xludf.DUMMYFUNCTION("""COMPUTED_VALUE"""),"https://link.springer.com/journal/13235")</f>
        <v>https://link.springer.com/journal/13235</v>
      </c>
      <c r="I616" s="1" t="str">
        <f ca="1">IFERROR(__xludf.DUMMYFUNCTION("""COMPUTED_VALUE"""),"Birkhäuser")</f>
        <v>Birkhäuser</v>
      </c>
      <c r="J616" s="1">
        <f ca="1">IFERROR(__xludf.DUMMYFUNCTION("""COMPUTED_VALUE"""),2011)</f>
        <v>2011</v>
      </c>
      <c r="K616" s="1" t="str">
        <f ca="1">IFERROR(__xludf.DUMMYFUNCTION("""COMPUTED_VALUE"""),"Mathematics and Statistics")</f>
        <v>Mathematics and Statistics</v>
      </c>
      <c r="L616" s="1" t="str">
        <f ca="1">IFERROR(__xludf.DUMMYFUNCTION("""COMPUTED_VALUE"""),"〇")</f>
        <v>〇</v>
      </c>
      <c r="M616" s="1"/>
      <c r="N616" s="1" t="str">
        <f ca="1">IFERROR(__xludf.DUMMYFUNCTION("""COMPUTED_VALUE"""),"SNS11")</f>
        <v>SNS11</v>
      </c>
      <c r="O616" s="1"/>
      <c r="P616" s="1"/>
    </row>
    <row r="617" spans="1:16" ht="14.25" customHeight="1" x14ac:dyDescent="0.25">
      <c r="A617" s="1"/>
      <c r="B617" s="1">
        <f ca="1"/>
        <v>605</v>
      </c>
      <c r="C617" s="1">
        <f ca="1">IFERROR(__xludf.DUMMYFUNCTION("""COMPUTED_VALUE"""),2023)</f>
        <v>2023</v>
      </c>
      <c r="D617" s="1">
        <f ca="1">IFERROR(__xludf.DUMMYFUNCTION("""COMPUTED_VALUE"""),455)</f>
        <v>455</v>
      </c>
      <c r="E617" s="1" t="str">
        <f ca="1">IFERROR(__xludf.DUMMYFUNCTION("""COMPUTED_VALUE"""),"Dysphagia")</f>
        <v>Dysphagia</v>
      </c>
      <c r="F617" s="1" t="str">
        <f ca="1">IFERROR(__xludf.DUMMYFUNCTION("""COMPUTED_VALUE"""),"1432-0460")</f>
        <v>1432-0460</v>
      </c>
      <c r="G617" s="1" t="str">
        <f ca="1">IFERROR(__xludf.DUMMYFUNCTION("""COMPUTED_VALUE"""),"0179-051X")</f>
        <v>0179-051X</v>
      </c>
      <c r="H617" s="27" t="str">
        <f ca="1">IFERROR(__xludf.DUMMYFUNCTION("""COMPUTED_VALUE"""),"https://link.springer.com/journal/455")</f>
        <v>https://link.springer.com/journal/455</v>
      </c>
      <c r="I617" s="1" t="str">
        <f ca="1">IFERROR(__xludf.DUMMYFUNCTION("""COMPUTED_VALUE"""),"Springer")</f>
        <v>Springer</v>
      </c>
      <c r="J617" s="1">
        <f ca="1">IFERROR(__xludf.DUMMYFUNCTION("""COMPUTED_VALUE"""),2000)</f>
        <v>2000</v>
      </c>
      <c r="K617" s="1" t="str">
        <f ca="1">IFERROR(__xludf.DUMMYFUNCTION("""COMPUTED_VALUE"""),"Medicine")</f>
        <v>Medicine</v>
      </c>
      <c r="L617" s="1" t="str">
        <f ca="1">IFERROR(__xludf.DUMMYFUNCTION("""COMPUTED_VALUE"""),"〇")</f>
        <v>〇</v>
      </c>
      <c r="M617" s="1" t="str">
        <f ca="1">IFERROR(__xludf.DUMMYFUNCTION("""COMPUTED_VALUE"""),"〇")</f>
        <v>〇</v>
      </c>
      <c r="N617" s="1"/>
      <c r="O617" s="1"/>
      <c r="P617" s="1"/>
    </row>
    <row r="618" spans="1:16" ht="14.25" customHeight="1" x14ac:dyDescent="0.25">
      <c r="A618" s="1"/>
      <c r="B618" s="1">
        <f ca="1"/>
        <v>606</v>
      </c>
      <c r="C618" s="1">
        <f ca="1">IFERROR(__xludf.DUMMYFUNCTION("""COMPUTED_VALUE"""),2023)</f>
        <v>2023</v>
      </c>
      <c r="D618" s="1">
        <f ca="1">IFERROR(__xludf.DUMMYFUNCTION("""COMPUTED_VALUE"""),502)</f>
        <v>502</v>
      </c>
      <c r="E618" s="1" t="str">
        <f ca="1">IFERROR(__xludf.DUMMYFUNCTION("""COMPUTED_VALUE"""),"e &amp; i Elektrotechnik und Informationstechnik")</f>
        <v>e &amp; i Elektrotechnik und Informationstechnik</v>
      </c>
      <c r="F618" s="1" t="str">
        <f ca="1">IFERROR(__xludf.DUMMYFUNCTION("""COMPUTED_VALUE"""),"1613-7620")</f>
        <v>1613-7620</v>
      </c>
      <c r="G618" s="1" t="str">
        <f ca="1">IFERROR(__xludf.DUMMYFUNCTION("""COMPUTED_VALUE"""),"0932-383X")</f>
        <v>0932-383X</v>
      </c>
      <c r="H618" s="27" t="str">
        <f ca="1">IFERROR(__xludf.DUMMYFUNCTION("""COMPUTED_VALUE"""),"https://link.springer.com/journal/502")</f>
        <v>https://link.springer.com/journal/502</v>
      </c>
      <c r="I618" s="1" t="str">
        <f ca="1">IFERROR(__xludf.DUMMYFUNCTION("""COMPUTED_VALUE"""),"Springer")</f>
        <v>Springer</v>
      </c>
      <c r="J618" s="1">
        <f ca="1">IFERROR(__xludf.DUMMYFUNCTION("""COMPUTED_VALUE"""),2000)</f>
        <v>2000</v>
      </c>
      <c r="K618" s="1" t="str">
        <f ca="1">IFERROR(__xludf.DUMMYFUNCTION("""COMPUTED_VALUE"""),"Engineering")</f>
        <v>Engineering</v>
      </c>
      <c r="L618" s="1" t="str">
        <f ca="1">IFERROR(__xludf.DUMMYFUNCTION("""COMPUTED_VALUE"""),"〇")</f>
        <v>〇</v>
      </c>
      <c r="M618" s="1" t="str">
        <f ca="1">IFERROR(__xludf.DUMMYFUNCTION("""COMPUTED_VALUE"""),"〇")</f>
        <v>〇</v>
      </c>
      <c r="N618" s="1"/>
      <c r="O618" s="1"/>
      <c r="P618" s="1"/>
    </row>
    <row r="619" spans="1:16" ht="14.25" customHeight="1" x14ac:dyDescent="0.25">
      <c r="A619" s="1"/>
      <c r="B619" s="1">
        <f ca="1"/>
        <v>607</v>
      </c>
      <c r="C619" s="1">
        <f ca="1">IFERROR(__xludf.DUMMYFUNCTION("""COMPUTED_VALUE"""),2023)</f>
        <v>2023</v>
      </c>
      <c r="D619" s="1">
        <f ca="1">IFERROR(__xludf.DUMMYFUNCTION("""COMPUTED_VALUE"""),10643)</f>
        <v>10643</v>
      </c>
      <c r="E619" s="1" t="str">
        <f ca="1">IFERROR(__xludf.DUMMYFUNCTION("""COMPUTED_VALUE"""),"Early Childhood Education Journal")</f>
        <v>Early Childhood Education Journal</v>
      </c>
      <c r="F619" s="1" t="str">
        <f ca="1">IFERROR(__xludf.DUMMYFUNCTION("""COMPUTED_VALUE"""),"1573-1707")</f>
        <v>1573-1707</v>
      </c>
      <c r="G619" s="1" t="str">
        <f ca="1">IFERROR(__xludf.DUMMYFUNCTION("""COMPUTED_VALUE"""),"1082-3301")</f>
        <v>1082-3301</v>
      </c>
      <c r="H619" s="27" t="str">
        <f ca="1">IFERROR(__xludf.DUMMYFUNCTION("""COMPUTED_VALUE"""),"https://link.springer.com/journal/10643")</f>
        <v>https://link.springer.com/journal/10643</v>
      </c>
      <c r="I619" s="1" t="str">
        <f ca="1">IFERROR(__xludf.DUMMYFUNCTION("""COMPUTED_VALUE"""),"Springer")</f>
        <v>Springer</v>
      </c>
      <c r="J619" s="1">
        <f ca="1">IFERROR(__xludf.DUMMYFUNCTION("""COMPUTED_VALUE"""),2000)</f>
        <v>2000</v>
      </c>
      <c r="K619" s="1" t="str">
        <f ca="1">IFERROR(__xludf.DUMMYFUNCTION("""COMPUTED_VALUE"""),"Education")</f>
        <v>Education</v>
      </c>
      <c r="L619" s="1" t="str">
        <f ca="1">IFERROR(__xludf.DUMMYFUNCTION("""COMPUTED_VALUE"""),"〇")</f>
        <v>〇</v>
      </c>
      <c r="M619" s="1" t="str">
        <f ca="1">IFERROR(__xludf.DUMMYFUNCTION("""COMPUTED_VALUE"""),"〇")</f>
        <v>〇</v>
      </c>
      <c r="N619" s="1"/>
      <c r="O619" s="1"/>
      <c r="P619" s="1"/>
    </row>
    <row r="620" spans="1:16" ht="14.25" customHeight="1" x14ac:dyDescent="0.25">
      <c r="A620" s="1"/>
      <c r="B620" s="1">
        <f ca="1"/>
        <v>608</v>
      </c>
      <c r="C620" s="1">
        <f ca="1">IFERROR(__xludf.DUMMYFUNCTION("""COMPUTED_VALUE"""),2023)</f>
        <v>2023</v>
      </c>
      <c r="D620" s="1">
        <f ca="1">IFERROR(__xludf.DUMMYFUNCTION("""COMPUTED_VALUE"""),12145)</f>
        <v>12145</v>
      </c>
      <c r="E620" s="1" t="str">
        <f ca="1">IFERROR(__xludf.DUMMYFUNCTION("""COMPUTED_VALUE"""),"Earth Science Informatics")</f>
        <v>Earth Science Informatics</v>
      </c>
      <c r="F620" s="1" t="str">
        <f ca="1">IFERROR(__xludf.DUMMYFUNCTION("""COMPUTED_VALUE"""),"1865-0481")</f>
        <v>1865-0481</v>
      </c>
      <c r="G620" s="1" t="str">
        <f ca="1">IFERROR(__xludf.DUMMYFUNCTION("""COMPUTED_VALUE"""),"1865-0473")</f>
        <v>1865-0473</v>
      </c>
      <c r="H620" s="27" t="str">
        <f ca="1">IFERROR(__xludf.DUMMYFUNCTION("""COMPUTED_VALUE"""),"https://link.springer.com/journal/12145")</f>
        <v>https://link.springer.com/journal/12145</v>
      </c>
      <c r="I620" s="1" t="str">
        <f ca="1">IFERROR(__xludf.DUMMYFUNCTION("""COMPUTED_VALUE"""),"Springer")</f>
        <v>Springer</v>
      </c>
      <c r="J620" s="1">
        <f ca="1">IFERROR(__xludf.DUMMYFUNCTION("""COMPUTED_VALUE"""),2008)</f>
        <v>2008</v>
      </c>
      <c r="K620" s="1" t="str">
        <f ca="1">IFERROR(__xludf.DUMMYFUNCTION("""COMPUTED_VALUE"""),"Earth and Environmental Science")</f>
        <v>Earth and Environmental Science</v>
      </c>
      <c r="L620" s="1" t="str">
        <f ca="1">IFERROR(__xludf.DUMMYFUNCTION("""COMPUTED_VALUE"""),"〇")</f>
        <v>〇</v>
      </c>
      <c r="M620" s="1" t="str">
        <f ca="1">IFERROR(__xludf.DUMMYFUNCTION("""COMPUTED_VALUE"""),"〇")</f>
        <v>〇</v>
      </c>
      <c r="N620" s="1" t="str">
        <f ca="1">IFERROR(__xludf.DUMMYFUNCTION("""COMPUTED_VALUE"""),"SNS8")</f>
        <v>SNS8</v>
      </c>
      <c r="O620" s="1"/>
      <c r="P620" s="1"/>
    </row>
    <row r="621" spans="1:16" ht="14.25" customHeight="1" x14ac:dyDescent="0.25">
      <c r="A621" s="1"/>
      <c r="B621" s="1">
        <f ca="1"/>
        <v>609</v>
      </c>
      <c r="C621" s="1">
        <f ca="1">IFERROR(__xludf.DUMMYFUNCTION("""COMPUTED_VALUE"""),2023)</f>
        <v>2023</v>
      </c>
      <c r="D621" s="1">
        <f ca="1">IFERROR(__xludf.DUMMYFUNCTION("""COMPUTED_VALUE"""),41748)</f>
        <v>41748</v>
      </c>
      <c r="E621" s="1" t="str">
        <f ca="1">IFERROR(__xludf.DUMMYFUNCTION("""COMPUTED_VALUE"""),"Earth Systems and Environment")</f>
        <v>Earth Systems and Environment</v>
      </c>
      <c r="F621" s="1" t="str">
        <f ca="1">IFERROR(__xludf.DUMMYFUNCTION("""COMPUTED_VALUE"""),"2509-9434")</f>
        <v>2509-9434</v>
      </c>
      <c r="G621" s="1" t="str">
        <f ca="1">IFERROR(__xludf.DUMMYFUNCTION("""COMPUTED_VALUE"""),"2509-9426")</f>
        <v>2509-9426</v>
      </c>
      <c r="H621" s="27" t="str">
        <f ca="1">IFERROR(__xludf.DUMMYFUNCTION("""COMPUTED_VALUE"""),"https://link.springer.com/journal/41748")</f>
        <v>https://link.springer.com/journal/41748</v>
      </c>
      <c r="I621" s="1" t="str">
        <f ca="1">IFERROR(__xludf.DUMMYFUNCTION("""COMPUTED_VALUE"""),"Springer")</f>
        <v>Springer</v>
      </c>
      <c r="J621" s="1">
        <f ca="1">IFERROR(__xludf.DUMMYFUNCTION("""COMPUTED_VALUE"""),2017)</f>
        <v>2017</v>
      </c>
      <c r="K621" s="1" t="str">
        <f ca="1">IFERROR(__xludf.DUMMYFUNCTION("""COMPUTED_VALUE"""),"Earth and Environmental Science")</f>
        <v>Earth and Environmental Science</v>
      </c>
      <c r="L621" s="1" t="str">
        <f ca="1">IFERROR(__xludf.DUMMYFUNCTION("""COMPUTED_VALUE"""),"〇")</f>
        <v>〇</v>
      </c>
      <c r="M621" s="1"/>
      <c r="N621" s="1" t="str">
        <f ca="1">IFERROR(__xludf.DUMMYFUNCTION("""COMPUTED_VALUE"""),"SNS17")</f>
        <v>SNS17</v>
      </c>
      <c r="O621" s="1"/>
      <c r="P621" s="1"/>
    </row>
    <row r="622" spans="1:16" ht="14.25" customHeight="1" x14ac:dyDescent="0.25">
      <c r="A622" s="1"/>
      <c r="B622" s="1">
        <f ca="1"/>
        <v>610</v>
      </c>
      <c r="C622" s="1">
        <f ca="1">IFERROR(__xludf.DUMMYFUNCTION("""COMPUTED_VALUE"""),2023)</f>
        <v>2023</v>
      </c>
      <c r="D622" s="1">
        <f ca="1">IFERROR(__xludf.DUMMYFUNCTION("""COMPUTED_VALUE"""),11038)</f>
        <v>11038</v>
      </c>
      <c r="E622" s="1" t="str">
        <f ca="1">IFERROR(__xludf.DUMMYFUNCTION("""COMPUTED_VALUE"""),"Earth, Moon, and Planets")</f>
        <v>Earth, Moon, and Planets</v>
      </c>
      <c r="F622" s="1" t="str">
        <f ca="1">IFERROR(__xludf.DUMMYFUNCTION("""COMPUTED_VALUE"""),"1573-0794")</f>
        <v>1573-0794</v>
      </c>
      <c r="G622" s="1" t="str">
        <f ca="1">IFERROR(__xludf.DUMMYFUNCTION("""COMPUTED_VALUE"""),"0167-9295")</f>
        <v>0167-9295</v>
      </c>
      <c r="H622" s="27" t="str">
        <f ca="1">IFERROR(__xludf.DUMMYFUNCTION("""COMPUTED_VALUE"""),"https://link.springer.com/journal/11038")</f>
        <v>https://link.springer.com/journal/11038</v>
      </c>
      <c r="I622" s="1" t="str">
        <f ca="1">IFERROR(__xludf.DUMMYFUNCTION("""COMPUTED_VALUE"""),"Springer")</f>
        <v>Springer</v>
      </c>
      <c r="J622" s="1">
        <f ca="1">IFERROR(__xludf.DUMMYFUNCTION("""COMPUTED_VALUE"""),2000)</f>
        <v>2000</v>
      </c>
      <c r="K622" s="1" t="str">
        <f ca="1">IFERROR(__xludf.DUMMYFUNCTION("""COMPUTED_VALUE"""),"Physics and Astronomy")</f>
        <v>Physics and Astronomy</v>
      </c>
      <c r="L622" s="1" t="str">
        <f ca="1">IFERROR(__xludf.DUMMYFUNCTION("""COMPUTED_VALUE"""),"〇")</f>
        <v>〇</v>
      </c>
      <c r="M622" s="1" t="str">
        <f ca="1">IFERROR(__xludf.DUMMYFUNCTION("""COMPUTED_VALUE"""),"〇")</f>
        <v>〇</v>
      </c>
      <c r="N622" s="1"/>
      <c r="O622" s="1"/>
      <c r="P622" s="1"/>
    </row>
    <row r="623" spans="1:16" ht="14.25" customHeight="1" x14ac:dyDescent="0.25">
      <c r="A623" s="1"/>
      <c r="B623" s="1">
        <f ca="1"/>
        <v>611</v>
      </c>
      <c r="C623" s="1">
        <f ca="1">IFERROR(__xludf.DUMMYFUNCTION("""COMPUTED_VALUE"""),2023)</f>
        <v>2023</v>
      </c>
      <c r="D623" s="1">
        <f ca="1">IFERROR(__xludf.DUMMYFUNCTION("""COMPUTED_VALUE"""),11803)</f>
        <v>11803</v>
      </c>
      <c r="E623" s="1" t="str">
        <f ca="1">IFERROR(__xludf.DUMMYFUNCTION("""COMPUTED_VALUE"""),"Earthquake Engineering and Engineering Vibration")</f>
        <v>Earthquake Engineering and Engineering Vibration</v>
      </c>
      <c r="F623" s="1" t="str">
        <f ca="1">IFERROR(__xludf.DUMMYFUNCTION("""COMPUTED_VALUE"""),"1993-503X")</f>
        <v>1993-503X</v>
      </c>
      <c r="G623" s="1" t="str">
        <f ca="1">IFERROR(__xludf.DUMMYFUNCTION("""COMPUTED_VALUE"""),"1671-3664")</f>
        <v>1671-3664</v>
      </c>
      <c r="H623" s="27" t="str">
        <f ca="1">IFERROR(__xludf.DUMMYFUNCTION("""COMPUTED_VALUE"""),"https://link.springer.com/journal/11803")</f>
        <v>https://link.springer.com/journal/11803</v>
      </c>
      <c r="I623" s="1" t="str">
        <f ca="1">IFERROR(__xludf.DUMMYFUNCTION("""COMPUTED_VALUE"""),"Institute of Engineering Mechanics, China Earthquake Administration, co-published with Springer")</f>
        <v>Institute of Engineering Mechanics, China Earthquake Administration, co-published with Springer</v>
      </c>
      <c r="J623" s="1">
        <f ca="1">IFERROR(__xludf.DUMMYFUNCTION("""COMPUTED_VALUE"""),2002)</f>
        <v>2002</v>
      </c>
      <c r="K623" s="1" t="str">
        <f ca="1">IFERROR(__xludf.DUMMYFUNCTION("""COMPUTED_VALUE"""),"Earth and Environmental Science")</f>
        <v>Earth and Environmental Science</v>
      </c>
      <c r="L623" s="1" t="str">
        <f ca="1">IFERROR(__xludf.DUMMYFUNCTION("""COMPUTED_VALUE"""),"〇")</f>
        <v>〇</v>
      </c>
      <c r="M623" s="1" t="str">
        <f ca="1">IFERROR(__xludf.DUMMYFUNCTION("""COMPUTED_VALUE"""),"〇")</f>
        <v>〇</v>
      </c>
      <c r="N623" s="1" t="str">
        <f ca="1">IFERROR(__xludf.DUMMYFUNCTION("""COMPUTED_VALUE"""),"TO7")</f>
        <v>TO7</v>
      </c>
      <c r="O623" s="1"/>
      <c r="P623" s="1"/>
    </row>
    <row r="624" spans="1:16" ht="14.25" customHeight="1" x14ac:dyDescent="0.25">
      <c r="A624" s="1"/>
      <c r="B624" s="1">
        <f ca="1"/>
        <v>612</v>
      </c>
      <c r="C624" s="1">
        <f ca="1">IFERROR(__xludf.DUMMYFUNCTION("""COMPUTED_VALUE"""),2023)</f>
        <v>2023</v>
      </c>
      <c r="D624" s="1">
        <f ca="1">IFERROR(__xludf.DUMMYFUNCTION("""COMPUTED_VALUE"""),12140)</f>
        <v>12140</v>
      </c>
      <c r="E624" s="1" t="str">
        <f ca="1">IFERROR(__xludf.DUMMYFUNCTION("""COMPUTED_VALUE"""),"East Asia")</f>
        <v>East Asia</v>
      </c>
      <c r="F624" s="1" t="str">
        <f ca="1">IFERROR(__xludf.DUMMYFUNCTION("""COMPUTED_VALUE"""),"1874-6284")</f>
        <v>1874-6284</v>
      </c>
      <c r="G624" s="1" t="str">
        <f ca="1">IFERROR(__xludf.DUMMYFUNCTION("""COMPUTED_VALUE"""),"1096-6838")</f>
        <v>1096-6838</v>
      </c>
      <c r="H624" s="27" t="str">
        <f ca="1">IFERROR(__xludf.DUMMYFUNCTION("""COMPUTED_VALUE"""),"https://link.springer.com/journal/12140")</f>
        <v>https://link.springer.com/journal/12140</v>
      </c>
      <c r="I624" s="1" t="str">
        <f ca="1">IFERROR(__xludf.DUMMYFUNCTION("""COMPUTED_VALUE"""),"Springer")</f>
        <v>Springer</v>
      </c>
      <c r="J624" s="1">
        <f ca="1">IFERROR(__xludf.DUMMYFUNCTION("""COMPUTED_VALUE"""),2000)</f>
        <v>2000</v>
      </c>
      <c r="K624" s="1" t="str">
        <f ca="1">IFERROR(__xludf.DUMMYFUNCTION("""COMPUTED_VALUE"""),"Political Science and International Studies")</f>
        <v>Political Science and International Studies</v>
      </c>
      <c r="L624" s="1" t="str">
        <f ca="1">IFERROR(__xludf.DUMMYFUNCTION("""COMPUTED_VALUE"""),"〇")</f>
        <v>〇</v>
      </c>
      <c r="M624" s="1" t="str">
        <f ca="1">IFERROR(__xludf.DUMMYFUNCTION("""COMPUTED_VALUE"""),"〇")</f>
        <v>〇</v>
      </c>
      <c r="N624" s="1" t="str">
        <f ca="1">IFERROR(__xludf.DUMMYFUNCTION("""COMPUTED_VALUE"""),"TO7")</f>
        <v>TO7</v>
      </c>
      <c r="O624" s="1"/>
      <c r="P624" s="1"/>
    </row>
    <row r="625" spans="1:16" ht="14.25" customHeight="1" x14ac:dyDescent="0.25">
      <c r="A625" s="1"/>
      <c r="B625" s="1">
        <f ca="1"/>
        <v>613</v>
      </c>
      <c r="C625" s="1">
        <f ca="1">IFERROR(__xludf.DUMMYFUNCTION("""COMPUTED_VALUE"""),2023)</f>
        <v>2023</v>
      </c>
      <c r="D625" s="1">
        <f ca="1">IFERROR(__xludf.DUMMYFUNCTION("""COMPUTED_VALUE"""),10393)</f>
        <v>10393</v>
      </c>
      <c r="E625" s="1" t="str">
        <f ca="1">IFERROR(__xludf.DUMMYFUNCTION("""COMPUTED_VALUE"""),"EcoHealth")</f>
        <v>EcoHealth</v>
      </c>
      <c r="F625" s="1" t="str">
        <f ca="1">IFERROR(__xludf.DUMMYFUNCTION("""COMPUTED_VALUE"""),"1612-9210")</f>
        <v>1612-9210</v>
      </c>
      <c r="G625" s="1" t="str">
        <f ca="1">IFERROR(__xludf.DUMMYFUNCTION("""COMPUTED_VALUE"""),"1612-9202")</f>
        <v>1612-9202</v>
      </c>
      <c r="H625" s="27" t="str">
        <f ca="1">IFERROR(__xludf.DUMMYFUNCTION("""COMPUTED_VALUE"""),"https://link.springer.com/journal/10393")</f>
        <v>https://link.springer.com/journal/10393</v>
      </c>
      <c r="I625" s="1" t="str">
        <f ca="1">IFERROR(__xludf.DUMMYFUNCTION("""COMPUTED_VALUE"""),"Springer")</f>
        <v>Springer</v>
      </c>
      <c r="J625" s="1">
        <f ca="1">IFERROR(__xludf.DUMMYFUNCTION("""COMPUTED_VALUE"""),2004)</f>
        <v>2004</v>
      </c>
      <c r="K625" s="1" t="str">
        <f ca="1">IFERROR(__xludf.DUMMYFUNCTION("""COMPUTED_VALUE"""),"Medicine")</f>
        <v>Medicine</v>
      </c>
      <c r="L625" s="1" t="str">
        <f ca="1">IFERROR(__xludf.DUMMYFUNCTION("""COMPUTED_VALUE"""),"〇")</f>
        <v>〇</v>
      </c>
      <c r="M625" s="1" t="str">
        <f ca="1">IFERROR(__xludf.DUMMYFUNCTION("""COMPUTED_VALUE"""),"〇")</f>
        <v>〇</v>
      </c>
      <c r="N625" s="1"/>
      <c r="O625" s="1"/>
      <c r="P625" s="1"/>
    </row>
    <row r="626" spans="1:16" ht="14.25" customHeight="1" x14ac:dyDescent="0.25">
      <c r="A626" s="1"/>
      <c r="B626" s="1">
        <f ca="1"/>
        <v>614</v>
      </c>
      <c r="C626" s="1">
        <f ca="1">IFERROR(__xludf.DUMMYFUNCTION("""COMPUTED_VALUE"""),2023)</f>
        <v>2023</v>
      </c>
      <c r="D626" s="1">
        <f ca="1">IFERROR(__xludf.DUMMYFUNCTION("""COMPUTED_VALUE"""),40888)</f>
        <v>40888</v>
      </c>
      <c r="E626" s="1" t="str">
        <f ca="1">IFERROR(__xludf.DUMMYFUNCTION("""COMPUTED_VALUE"""),"Economia Politica")</f>
        <v>Economia Politica</v>
      </c>
      <c r="F626" s="1" t="str">
        <f ca="1">IFERROR(__xludf.DUMMYFUNCTION("""COMPUTED_VALUE"""),"1973-820X")</f>
        <v>1973-820X</v>
      </c>
      <c r="G626" s="1" t="str">
        <f ca="1">IFERROR(__xludf.DUMMYFUNCTION("""COMPUTED_VALUE"""),"1120-2890")</f>
        <v>1120-2890</v>
      </c>
      <c r="H626" s="27" t="str">
        <f ca="1">IFERROR(__xludf.DUMMYFUNCTION("""COMPUTED_VALUE"""),"https://link.springer.com/journal/40888")</f>
        <v>https://link.springer.com/journal/40888</v>
      </c>
      <c r="I626" s="1" t="str">
        <f ca="1">IFERROR(__xludf.DUMMYFUNCTION("""COMPUTED_VALUE"""),"Springer")</f>
        <v>Springer</v>
      </c>
      <c r="J626" s="1">
        <f ca="1">IFERROR(__xludf.DUMMYFUNCTION("""COMPUTED_VALUE"""),2015)</f>
        <v>2015</v>
      </c>
      <c r="K626" s="1" t="str">
        <f ca="1">IFERROR(__xludf.DUMMYFUNCTION("""COMPUTED_VALUE"""),"Economics and Finance")</f>
        <v>Economics and Finance</v>
      </c>
      <c r="L626" s="1" t="str">
        <f ca="1">IFERROR(__xludf.DUMMYFUNCTION("""COMPUTED_VALUE"""),"〇")</f>
        <v>〇</v>
      </c>
      <c r="M626" s="1"/>
      <c r="N626" s="1" t="str">
        <f ca="1">IFERROR(__xludf.DUMMYFUNCTION("""COMPUTED_VALUE"""),"TO15")</f>
        <v>TO15</v>
      </c>
      <c r="O626" s="1"/>
      <c r="P626" s="1"/>
    </row>
    <row r="627" spans="1:16" ht="14.25" customHeight="1" x14ac:dyDescent="0.25">
      <c r="A627" s="1"/>
      <c r="B627" s="1">
        <f ca="1"/>
        <v>615</v>
      </c>
      <c r="C627" s="1">
        <f ca="1">IFERROR(__xludf.DUMMYFUNCTION("""COMPUTED_VALUE"""),2023)</f>
        <v>2023</v>
      </c>
      <c r="D627" s="1">
        <f ca="1">IFERROR(__xludf.DUMMYFUNCTION("""COMPUTED_VALUE"""),12231)</f>
        <v>12231</v>
      </c>
      <c r="E627" s="1" t="str">
        <f ca="1">IFERROR(__xludf.DUMMYFUNCTION("""COMPUTED_VALUE"""),"Economic Botany")</f>
        <v>Economic Botany</v>
      </c>
      <c r="F627" s="1" t="str">
        <f ca="1">IFERROR(__xludf.DUMMYFUNCTION("""COMPUTED_VALUE"""),"1874-9364")</f>
        <v>1874-9364</v>
      </c>
      <c r="G627" s="1" t="str">
        <f ca="1">IFERROR(__xludf.DUMMYFUNCTION("""COMPUTED_VALUE"""),"0013-0001")</f>
        <v>0013-0001</v>
      </c>
      <c r="H627" s="27" t="str">
        <f ca="1">IFERROR(__xludf.DUMMYFUNCTION("""COMPUTED_VALUE"""),"https://link.springer.com/journal/12231")</f>
        <v>https://link.springer.com/journal/12231</v>
      </c>
      <c r="I627" s="1" t="str">
        <f ca="1">IFERROR(__xludf.DUMMYFUNCTION("""COMPUTED_VALUE"""),"Springer")</f>
        <v>Springer</v>
      </c>
      <c r="J627" s="1">
        <f ca="1">IFERROR(__xludf.DUMMYFUNCTION("""COMPUTED_VALUE"""),2000)</f>
        <v>2000</v>
      </c>
      <c r="K627" s="1" t="str">
        <f ca="1">IFERROR(__xludf.DUMMYFUNCTION("""COMPUTED_VALUE"""),"Biomedical and Life Sciences")</f>
        <v>Biomedical and Life Sciences</v>
      </c>
      <c r="L627" s="1" t="str">
        <f ca="1">IFERROR(__xludf.DUMMYFUNCTION("""COMPUTED_VALUE"""),"〇")</f>
        <v>〇</v>
      </c>
      <c r="M627" s="1" t="str">
        <f ca="1">IFERROR(__xludf.DUMMYFUNCTION("""COMPUTED_VALUE"""),"〇")</f>
        <v>〇</v>
      </c>
      <c r="N627" s="1" t="str">
        <f ca="1">IFERROR(__xludf.DUMMYFUNCTION("""COMPUTED_VALUE"""),"TO8")</f>
        <v>TO8</v>
      </c>
      <c r="O627" s="1"/>
      <c r="P627" s="1"/>
    </row>
    <row r="628" spans="1:16" ht="14.25" customHeight="1" x14ac:dyDescent="0.25">
      <c r="A628" s="1"/>
      <c r="B628" s="1">
        <f ca="1"/>
        <v>616</v>
      </c>
      <c r="C628" s="1">
        <f ca="1">IFERROR(__xludf.DUMMYFUNCTION("""COMPUTED_VALUE"""),2023)</f>
        <v>2023</v>
      </c>
      <c r="D628" s="1">
        <f ca="1">IFERROR(__xludf.DUMMYFUNCTION("""COMPUTED_VALUE"""),10644)</f>
        <v>10644</v>
      </c>
      <c r="E628" s="1" t="str">
        <f ca="1">IFERROR(__xludf.DUMMYFUNCTION("""COMPUTED_VALUE"""),"Economic Change and Restructuring")</f>
        <v>Economic Change and Restructuring</v>
      </c>
      <c r="F628" s="1" t="str">
        <f ca="1">IFERROR(__xludf.DUMMYFUNCTION("""COMPUTED_VALUE"""),"1574-0277")</f>
        <v>1574-0277</v>
      </c>
      <c r="G628" s="1" t="str">
        <f ca="1">IFERROR(__xludf.DUMMYFUNCTION("""COMPUTED_VALUE"""),"1573-9414")</f>
        <v>1573-9414</v>
      </c>
      <c r="H628" s="27" t="str">
        <f ca="1">IFERROR(__xludf.DUMMYFUNCTION("""COMPUTED_VALUE"""),"https://link.springer.com/journal/10644")</f>
        <v>https://link.springer.com/journal/10644</v>
      </c>
      <c r="I628" s="1" t="str">
        <f ca="1">IFERROR(__xludf.DUMMYFUNCTION("""COMPUTED_VALUE"""),"Springer")</f>
        <v>Springer</v>
      </c>
      <c r="J628" s="1">
        <f ca="1">IFERROR(__xludf.DUMMYFUNCTION("""COMPUTED_VALUE"""),2000)</f>
        <v>2000</v>
      </c>
      <c r="K628" s="1" t="str">
        <f ca="1">IFERROR(__xludf.DUMMYFUNCTION("""COMPUTED_VALUE"""),"Economics and Finance")</f>
        <v>Economics and Finance</v>
      </c>
      <c r="L628" s="1" t="str">
        <f ca="1">IFERROR(__xludf.DUMMYFUNCTION("""COMPUTED_VALUE"""),"〇")</f>
        <v>〇</v>
      </c>
      <c r="M628" s="1" t="str">
        <f ca="1">IFERROR(__xludf.DUMMYFUNCTION("""COMPUTED_VALUE"""),"〇")</f>
        <v>〇</v>
      </c>
      <c r="N628" s="1"/>
      <c r="O628" s="1"/>
      <c r="P628" s="1"/>
    </row>
    <row r="629" spans="1:16" ht="14.25" customHeight="1" x14ac:dyDescent="0.25">
      <c r="A629" s="1"/>
      <c r="B629" s="1">
        <f ca="1"/>
        <v>617</v>
      </c>
      <c r="C629" s="1">
        <f ca="1">IFERROR(__xludf.DUMMYFUNCTION("""COMPUTED_VALUE"""),2023)</f>
        <v>2023</v>
      </c>
      <c r="D629" s="1">
        <f ca="1">IFERROR(__xludf.DUMMYFUNCTION("""COMPUTED_VALUE"""),199)</f>
        <v>199</v>
      </c>
      <c r="E629" s="1" t="str">
        <f ca="1">IFERROR(__xludf.DUMMYFUNCTION("""COMPUTED_VALUE"""),"Economic Theory")</f>
        <v>Economic Theory</v>
      </c>
      <c r="F629" s="1" t="str">
        <f ca="1">IFERROR(__xludf.DUMMYFUNCTION("""COMPUTED_VALUE"""),"1432-0479")</f>
        <v>1432-0479</v>
      </c>
      <c r="G629" s="1" t="str">
        <f ca="1">IFERROR(__xludf.DUMMYFUNCTION("""COMPUTED_VALUE"""),"0938-2259")</f>
        <v>0938-2259</v>
      </c>
      <c r="H629" s="27" t="str">
        <f ca="1">IFERROR(__xludf.DUMMYFUNCTION("""COMPUTED_VALUE"""),"https://link.springer.com/journal/199")</f>
        <v>https://link.springer.com/journal/199</v>
      </c>
      <c r="I629" s="1" t="str">
        <f ca="1">IFERROR(__xludf.DUMMYFUNCTION("""COMPUTED_VALUE"""),"Springer")</f>
        <v>Springer</v>
      </c>
      <c r="J629" s="1">
        <f ca="1">IFERROR(__xludf.DUMMYFUNCTION("""COMPUTED_VALUE"""),2000)</f>
        <v>2000</v>
      </c>
      <c r="K629" s="1" t="str">
        <f ca="1">IFERROR(__xludf.DUMMYFUNCTION("""COMPUTED_VALUE"""),"Economics and Finance")</f>
        <v>Economics and Finance</v>
      </c>
      <c r="L629" s="1" t="str">
        <f ca="1">IFERROR(__xludf.DUMMYFUNCTION("""COMPUTED_VALUE"""),"〇")</f>
        <v>〇</v>
      </c>
      <c r="M629" s="1" t="str">
        <f ca="1">IFERROR(__xludf.DUMMYFUNCTION("""COMPUTED_VALUE"""),"〇")</f>
        <v>〇</v>
      </c>
      <c r="N629" s="1"/>
      <c r="O629" s="1"/>
      <c r="P629" s="1"/>
    </row>
    <row r="630" spans="1:16" ht="14.25" customHeight="1" x14ac:dyDescent="0.25">
      <c r="A630" s="1"/>
      <c r="B630" s="1">
        <f ca="1"/>
        <v>618</v>
      </c>
      <c r="C630" s="1">
        <f ca="1">IFERROR(__xludf.DUMMYFUNCTION("""COMPUTED_VALUE"""),2023)</f>
        <v>2023</v>
      </c>
      <c r="D630" s="1">
        <f ca="1">IFERROR(__xludf.DUMMYFUNCTION("""COMPUTED_VALUE"""),40505)</f>
        <v>40505</v>
      </c>
      <c r="E630" s="1" t="str">
        <f ca="1">IFERROR(__xludf.DUMMYFUNCTION("""COMPUTED_VALUE"""),"Economic Theory Bulletin")</f>
        <v>Economic Theory Bulletin</v>
      </c>
      <c r="F630" s="1" t="str">
        <f ca="1">IFERROR(__xludf.DUMMYFUNCTION("""COMPUTED_VALUE"""),"2196-1093")</f>
        <v>2196-1093</v>
      </c>
      <c r="G630" s="1"/>
      <c r="H630" s="27" t="str">
        <f ca="1">IFERROR(__xludf.DUMMYFUNCTION("""COMPUTED_VALUE"""),"https://link.springer.com/journal/40505")</f>
        <v>https://link.springer.com/journal/40505</v>
      </c>
      <c r="I630" s="1" t="str">
        <f ca="1">IFERROR(__xludf.DUMMYFUNCTION("""COMPUTED_VALUE"""),"Springer")</f>
        <v>Springer</v>
      </c>
      <c r="J630" s="1">
        <f ca="1">IFERROR(__xludf.DUMMYFUNCTION("""COMPUTED_VALUE"""),2013)</f>
        <v>2013</v>
      </c>
      <c r="K630" s="1" t="str">
        <f ca="1">IFERROR(__xludf.DUMMYFUNCTION("""COMPUTED_VALUE"""),"Economics and Finance")</f>
        <v>Economics and Finance</v>
      </c>
      <c r="L630" s="1"/>
      <c r="M630" s="1"/>
      <c r="N630" s="1" t="str">
        <f ca="1">IFERROR(__xludf.DUMMYFUNCTION("""COMPUTED_VALUE"""),"SNS13")</f>
        <v>SNS13</v>
      </c>
      <c r="O630" s="1"/>
      <c r="P630" s="1"/>
    </row>
    <row r="631" spans="1:16" ht="14.25" customHeight="1" x14ac:dyDescent="0.25">
      <c r="A631" s="1"/>
      <c r="B631" s="1">
        <f ca="1"/>
        <v>619</v>
      </c>
      <c r="C631" s="1">
        <f ca="1">IFERROR(__xludf.DUMMYFUNCTION("""COMPUTED_VALUE"""),2023)</f>
        <v>2023</v>
      </c>
      <c r="D631" s="1">
        <f ca="1">IFERROR(__xludf.DUMMYFUNCTION("""COMPUTED_VALUE"""),41885)</f>
        <v>41885</v>
      </c>
      <c r="E631" s="1" t="str">
        <f ca="1">IFERROR(__xludf.DUMMYFUNCTION("""COMPUTED_VALUE"""),"Economics of Disasters and Climate Change")</f>
        <v>Economics of Disasters and Climate Change</v>
      </c>
      <c r="F631" s="1" t="str">
        <f ca="1">IFERROR(__xludf.DUMMYFUNCTION("""COMPUTED_VALUE"""),"2511-1299")</f>
        <v>2511-1299</v>
      </c>
      <c r="G631" s="1" t="str">
        <f ca="1">IFERROR(__xludf.DUMMYFUNCTION("""COMPUTED_VALUE"""),"2511-1280")</f>
        <v>2511-1280</v>
      </c>
      <c r="H631" s="27" t="str">
        <f ca="1">IFERROR(__xludf.DUMMYFUNCTION("""COMPUTED_VALUE"""),"https://link.springer.com/journal/41885")</f>
        <v>https://link.springer.com/journal/41885</v>
      </c>
      <c r="I631" s="1" t="str">
        <f ca="1">IFERROR(__xludf.DUMMYFUNCTION("""COMPUTED_VALUE"""),"Springer")</f>
        <v>Springer</v>
      </c>
      <c r="J631" s="1">
        <f ca="1">IFERROR(__xludf.DUMMYFUNCTION("""COMPUTED_VALUE"""),2017)</f>
        <v>2017</v>
      </c>
      <c r="K631" s="1" t="str">
        <f ca="1">IFERROR(__xludf.DUMMYFUNCTION("""COMPUTED_VALUE"""),"Economics and Finance")</f>
        <v>Economics and Finance</v>
      </c>
      <c r="L631" s="1" t="str">
        <f ca="1">IFERROR(__xludf.DUMMYFUNCTION("""COMPUTED_VALUE"""),"〇")</f>
        <v>〇</v>
      </c>
      <c r="M631" s="1"/>
      <c r="N631" s="1" t="str">
        <f ca="1">IFERROR(__xludf.DUMMYFUNCTION("""COMPUTED_VALUE"""),"SNS17")</f>
        <v>SNS17</v>
      </c>
      <c r="O631" s="1"/>
      <c r="P631" s="1"/>
    </row>
    <row r="632" spans="1:16" ht="14.25" customHeight="1" x14ac:dyDescent="0.25">
      <c r="A632" s="1"/>
      <c r="B632" s="1">
        <f ca="1"/>
        <v>620</v>
      </c>
      <c r="C632" s="1">
        <f ca="1">IFERROR(__xludf.DUMMYFUNCTION("""COMPUTED_VALUE"""),2023)</f>
        <v>2023</v>
      </c>
      <c r="D632" s="1">
        <f ca="1">IFERROR(__xludf.DUMMYFUNCTION("""COMPUTED_VALUE"""),10101)</f>
        <v>10101</v>
      </c>
      <c r="E632" s="1" t="str">
        <f ca="1">IFERROR(__xludf.DUMMYFUNCTION("""COMPUTED_VALUE"""),"Economics of Governance")</f>
        <v>Economics of Governance</v>
      </c>
      <c r="F632" s="1" t="str">
        <f ca="1">IFERROR(__xludf.DUMMYFUNCTION("""COMPUTED_VALUE"""),"1435-8131")</f>
        <v>1435-8131</v>
      </c>
      <c r="G632" s="1" t="str">
        <f ca="1">IFERROR(__xludf.DUMMYFUNCTION("""COMPUTED_VALUE"""),"1435-6104")</f>
        <v>1435-6104</v>
      </c>
      <c r="H632" s="27" t="str">
        <f ca="1">IFERROR(__xludf.DUMMYFUNCTION("""COMPUTED_VALUE"""),"https://link.springer.com/journal/10101")</f>
        <v>https://link.springer.com/journal/10101</v>
      </c>
      <c r="I632" s="1" t="str">
        <f ca="1">IFERROR(__xludf.DUMMYFUNCTION("""COMPUTED_VALUE"""),"Springer")</f>
        <v>Springer</v>
      </c>
      <c r="J632" s="1">
        <f ca="1">IFERROR(__xludf.DUMMYFUNCTION("""COMPUTED_VALUE"""),2000)</f>
        <v>2000</v>
      </c>
      <c r="K632" s="1" t="str">
        <f ca="1">IFERROR(__xludf.DUMMYFUNCTION("""COMPUTED_VALUE"""),"Economics and Finance")</f>
        <v>Economics and Finance</v>
      </c>
      <c r="L632" s="1" t="str">
        <f ca="1">IFERROR(__xludf.DUMMYFUNCTION("""COMPUTED_VALUE"""),"〇")</f>
        <v>〇</v>
      </c>
      <c r="M632" s="1" t="str">
        <f ca="1">IFERROR(__xludf.DUMMYFUNCTION("""COMPUTED_VALUE"""),"〇")</f>
        <v>〇</v>
      </c>
      <c r="N632" s="1"/>
      <c r="O632" s="1"/>
      <c r="P632" s="1"/>
    </row>
    <row r="633" spans="1:16" ht="14.25" customHeight="1" x14ac:dyDescent="0.25">
      <c r="A633" s="1"/>
      <c r="B633" s="1">
        <f ca="1"/>
        <v>621</v>
      </c>
      <c r="C633" s="1">
        <f ca="1">IFERROR(__xludf.DUMMYFUNCTION("""COMPUTED_VALUE"""),2023)</f>
        <v>2023</v>
      </c>
      <c r="D633" s="1">
        <f ca="1">IFERROR(__xludf.DUMMYFUNCTION("""COMPUTED_VALUE"""),10021)</f>
        <v>10021</v>
      </c>
      <c r="E633" s="1" t="str">
        <f ca="1">IFERROR(__xludf.DUMMYFUNCTION("""COMPUTED_VALUE"""),"Ecosystems")</f>
        <v>Ecosystems</v>
      </c>
      <c r="F633" s="1" t="str">
        <f ca="1">IFERROR(__xludf.DUMMYFUNCTION("""COMPUTED_VALUE"""),"1435-0629")</f>
        <v>1435-0629</v>
      </c>
      <c r="G633" s="1" t="str">
        <f ca="1">IFERROR(__xludf.DUMMYFUNCTION("""COMPUTED_VALUE"""),"1432-9840")</f>
        <v>1432-9840</v>
      </c>
      <c r="H633" s="27" t="str">
        <f ca="1">IFERROR(__xludf.DUMMYFUNCTION("""COMPUTED_VALUE"""),"https://link.springer.com/journal/10021")</f>
        <v>https://link.springer.com/journal/10021</v>
      </c>
      <c r="I633" s="1" t="str">
        <f ca="1">IFERROR(__xludf.DUMMYFUNCTION("""COMPUTED_VALUE"""),"Springer")</f>
        <v>Springer</v>
      </c>
      <c r="J633" s="1">
        <f ca="1">IFERROR(__xludf.DUMMYFUNCTION("""COMPUTED_VALUE"""),2000)</f>
        <v>2000</v>
      </c>
      <c r="K633" s="1" t="str">
        <f ca="1">IFERROR(__xludf.DUMMYFUNCTION("""COMPUTED_VALUE"""),"Biomedical and Life Sciences")</f>
        <v>Biomedical and Life Sciences</v>
      </c>
      <c r="L633" s="1" t="str">
        <f ca="1">IFERROR(__xludf.DUMMYFUNCTION("""COMPUTED_VALUE"""),"〇")</f>
        <v>〇</v>
      </c>
      <c r="M633" s="1" t="str">
        <f ca="1">IFERROR(__xludf.DUMMYFUNCTION("""COMPUTED_VALUE"""),"〇")</f>
        <v>〇</v>
      </c>
      <c r="N633" s="1"/>
      <c r="O633" s="1"/>
      <c r="P633" s="1"/>
    </row>
    <row r="634" spans="1:16" ht="14.25" customHeight="1" x14ac:dyDescent="0.25">
      <c r="A634" s="1"/>
      <c r="B634" s="1">
        <f ca="1"/>
        <v>622</v>
      </c>
      <c r="C634" s="1">
        <f ca="1">IFERROR(__xludf.DUMMYFUNCTION("""COMPUTED_VALUE"""),2023)</f>
        <v>2023</v>
      </c>
      <c r="D634" s="1">
        <f ca="1">IFERROR(__xludf.DUMMYFUNCTION("""COMPUTED_VALUE"""),10646)</f>
        <v>10646</v>
      </c>
      <c r="E634" s="1" t="str">
        <f ca="1">IFERROR(__xludf.DUMMYFUNCTION("""COMPUTED_VALUE"""),"Ecotoxicology")</f>
        <v>Ecotoxicology</v>
      </c>
      <c r="F634" s="1" t="str">
        <f ca="1">IFERROR(__xludf.DUMMYFUNCTION("""COMPUTED_VALUE"""),"1573-3017")</f>
        <v>1573-3017</v>
      </c>
      <c r="G634" s="1" t="str">
        <f ca="1">IFERROR(__xludf.DUMMYFUNCTION("""COMPUTED_VALUE"""),"0963-9292")</f>
        <v>0963-9292</v>
      </c>
      <c r="H634" s="27" t="str">
        <f ca="1">IFERROR(__xludf.DUMMYFUNCTION("""COMPUTED_VALUE"""),"https://link.springer.com/journal/10646")</f>
        <v>https://link.springer.com/journal/10646</v>
      </c>
      <c r="I634" s="1" t="str">
        <f ca="1">IFERROR(__xludf.DUMMYFUNCTION("""COMPUTED_VALUE"""),"Springer")</f>
        <v>Springer</v>
      </c>
      <c r="J634" s="1">
        <f ca="1">IFERROR(__xludf.DUMMYFUNCTION("""COMPUTED_VALUE"""),2000)</f>
        <v>2000</v>
      </c>
      <c r="K634" s="1" t="str">
        <f ca="1">IFERROR(__xludf.DUMMYFUNCTION("""COMPUTED_VALUE"""),"Earth and Environmental Science")</f>
        <v>Earth and Environmental Science</v>
      </c>
      <c r="L634" s="1" t="str">
        <f ca="1">IFERROR(__xludf.DUMMYFUNCTION("""COMPUTED_VALUE"""),"〇")</f>
        <v>〇</v>
      </c>
      <c r="M634" s="1" t="str">
        <f ca="1">IFERROR(__xludf.DUMMYFUNCTION("""COMPUTED_VALUE"""),"〇")</f>
        <v>〇</v>
      </c>
      <c r="N634" s="1"/>
      <c r="O634" s="1"/>
      <c r="P634" s="1"/>
    </row>
    <row r="635" spans="1:16" ht="14.25" customHeight="1" x14ac:dyDescent="0.25">
      <c r="A635" s="1"/>
      <c r="B635" s="1">
        <f ca="1"/>
        <v>623</v>
      </c>
      <c r="C635" s="1">
        <f ca="1">IFERROR(__xludf.DUMMYFUNCTION("""COMPUTED_VALUE"""),2023)</f>
        <v>2023</v>
      </c>
      <c r="D635" s="1">
        <f ca="1">IFERROR(__xludf.DUMMYFUNCTION("""COMPUTED_VALUE"""),10639)</f>
        <v>10639</v>
      </c>
      <c r="E635" s="1" t="str">
        <f ca="1">IFERROR(__xludf.DUMMYFUNCTION("""COMPUTED_VALUE"""),"Education and Information Technologies")</f>
        <v>Education and Information Technologies</v>
      </c>
      <c r="F635" s="1" t="str">
        <f ca="1">IFERROR(__xludf.DUMMYFUNCTION("""COMPUTED_VALUE"""),"1573-7608")</f>
        <v>1573-7608</v>
      </c>
      <c r="G635" s="1" t="str">
        <f ca="1">IFERROR(__xludf.DUMMYFUNCTION("""COMPUTED_VALUE"""),"1360-2357")</f>
        <v>1360-2357</v>
      </c>
      <c r="H635" s="27" t="str">
        <f ca="1">IFERROR(__xludf.DUMMYFUNCTION("""COMPUTED_VALUE"""),"https://link.springer.com/journal/10639")</f>
        <v>https://link.springer.com/journal/10639</v>
      </c>
      <c r="I635" s="1" t="str">
        <f ca="1">IFERROR(__xludf.DUMMYFUNCTION("""COMPUTED_VALUE"""),"Springer")</f>
        <v>Springer</v>
      </c>
      <c r="J635" s="1">
        <f ca="1">IFERROR(__xludf.DUMMYFUNCTION("""COMPUTED_VALUE"""),2000)</f>
        <v>2000</v>
      </c>
      <c r="K635" s="1" t="str">
        <f ca="1">IFERROR(__xludf.DUMMYFUNCTION("""COMPUTED_VALUE"""),"Computer Science")</f>
        <v>Computer Science</v>
      </c>
      <c r="L635" s="1" t="str">
        <f ca="1">IFERROR(__xludf.DUMMYFUNCTION("""COMPUTED_VALUE"""),"〇")</f>
        <v>〇</v>
      </c>
      <c r="M635" s="1" t="str">
        <f ca="1">IFERROR(__xludf.DUMMYFUNCTION("""COMPUTED_VALUE"""),"〇")</f>
        <v>〇</v>
      </c>
      <c r="N635" s="1"/>
      <c r="O635" s="1"/>
      <c r="P635" s="1"/>
    </row>
    <row r="636" spans="1:16" ht="14.25" customHeight="1" x14ac:dyDescent="0.25">
      <c r="A636" s="1"/>
      <c r="B636" s="1">
        <f ca="1"/>
        <v>624</v>
      </c>
      <c r="C636" s="1">
        <f ca="1">IFERROR(__xludf.DUMMYFUNCTION("""COMPUTED_VALUE"""),2023)</f>
        <v>2023</v>
      </c>
      <c r="D636" s="1">
        <f ca="1">IFERROR(__xludf.DUMMYFUNCTION("""COMPUTED_VALUE"""),43494)</f>
        <v>43494</v>
      </c>
      <c r="E636" s="1" t="str">
        <f ca="1">IFERROR(__xludf.DUMMYFUNCTION("""COMPUTED_VALUE"""),"Education and Treatment of Children")</f>
        <v>Education and Treatment of Children</v>
      </c>
      <c r="F636" s="1" t="str">
        <f ca="1">IFERROR(__xludf.DUMMYFUNCTION("""COMPUTED_VALUE"""),"1934-8924")</f>
        <v>1934-8924</v>
      </c>
      <c r="G636" s="1" t="str">
        <f ca="1">IFERROR(__xludf.DUMMYFUNCTION("""COMPUTED_VALUE"""),"0748-8491")</f>
        <v>0748-8491</v>
      </c>
      <c r="H636" s="27" t="str">
        <f ca="1">IFERROR(__xludf.DUMMYFUNCTION("""COMPUTED_VALUE"""),"https://link.springer.com/journal/43494")</f>
        <v>https://link.springer.com/journal/43494</v>
      </c>
      <c r="I636" s="1" t="str">
        <f ca="1">IFERROR(__xludf.DUMMYFUNCTION("""COMPUTED_VALUE"""),"Springer")</f>
        <v>Springer</v>
      </c>
      <c r="J636" s="1">
        <f ca="1">IFERROR(__xludf.DUMMYFUNCTION("""COMPUTED_VALUE"""),2020)</f>
        <v>2020</v>
      </c>
      <c r="K636" s="1" t="str">
        <f ca="1">IFERROR(__xludf.DUMMYFUNCTION("""COMPUTED_VALUE"""),"Behavioral Science and Psychology")</f>
        <v>Behavioral Science and Psychology</v>
      </c>
      <c r="L636" s="1" t="str">
        <f ca="1">IFERROR(__xludf.DUMMYFUNCTION("""COMPUTED_VALUE"""),"〇")</f>
        <v>〇</v>
      </c>
      <c r="M636" s="1"/>
      <c r="N636" s="1" t="str">
        <f ca="1">IFERROR(__xludf.DUMMYFUNCTION("""COMPUTED_VALUE"""),"TO20")</f>
        <v>TO20</v>
      </c>
      <c r="O636" s="1"/>
      <c r="P636" s="1"/>
    </row>
    <row r="637" spans="1:16" ht="14.25" customHeight="1" x14ac:dyDescent="0.25">
      <c r="A637" s="1"/>
      <c r="B637" s="1">
        <f ca="1"/>
        <v>625</v>
      </c>
      <c r="C637" s="1">
        <f ca="1">IFERROR(__xludf.DUMMYFUNCTION("""COMPUTED_VALUE"""),2023)</f>
        <v>2023</v>
      </c>
      <c r="D637" s="1">
        <f ca="1">IFERROR(__xludf.DUMMYFUNCTION("""COMPUTED_VALUE"""),11092)</f>
        <v>11092</v>
      </c>
      <c r="E637" s="1" t="str">
        <f ca="1">IFERROR(__xludf.DUMMYFUNCTION("""COMPUTED_VALUE"""),"Educational Assessment, Evaluation and Accountability")</f>
        <v>Educational Assessment, Evaluation and Accountability</v>
      </c>
      <c r="F637" s="1" t="str">
        <f ca="1">IFERROR(__xludf.DUMMYFUNCTION("""COMPUTED_VALUE"""),"1874-8600")</f>
        <v>1874-8600</v>
      </c>
      <c r="G637" s="1" t="str">
        <f ca="1">IFERROR(__xludf.DUMMYFUNCTION("""COMPUTED_VALUE"""),"1874-8597")</f>
        <v>1874-8597</v>
      </c>
      <c r="H637" s="27" t="str">
        <f ca="1">IFERROR(__xludf.DUMMYFUNCTION("""COMPUTED_VALUE"""),"https://link.springer.com/journal/11092")</f>
        <v>https://link.springer.com/journal/11092</v>
      </c>
      <c r="I637" s="1" t="str">
        <f ca="1">IFERROR(__xludf.DUMMYFUNCTION("""COMPUTED_VALUE"""),"Springer")</f>
        <v>Springer</v>
      </c>
      <c r="J637" s="1">
        <f ca="1">IFERROR(__xludf.DUMMYFUNCTION("""COMPUTED_VALUE"""),2000)</f>
        <v>2000</v>
      </c>
      <c r="K637" s="1" t="str">
        <f ca="1">IFERROR(__xludf.DUMMYFUNCTION("""COMPUTED_VALUE"""),"Education")</f>
        <v>Education</v>
      </c>
      <c r="L637" s="1" t="str">
        <f ca="1">IFERROR(__xludf.DUMMYFUNCTION("""COMPUTED_VALUE"""),"〇")</f>
        <v>〇</v>
      </c>
      <c r="M637" s="1" t="str">
        <f ca="1">IFERROR(__xludf.DUMMYFUNCTION("""COMPUTED_VALUE"""),"〇")</f>
        <v>〇</v>
      </c>
      <c r="N637" s="1"/>
      <c r="O637" s="1"/>
      <c r="P637" s="1"/>
    </row>
    <row r="638" spans="1:16" ht="14.25" customHeight="1" x14ac:dyDescent="0.25">
      <c r="A638" s="1"/>
      <c r="B638" s="1">
        <f ca="1"/>
        <v>626</v>
      </c>
      <c r="C638" s="1">
        <f ca="1">IFERROR(__xludf.DUMMYFUNCTION("""COMPUTED_VALUE"""),2023)</f>
        <v>2023</v>
      </c>
      <c r="D638" s="1">
        <f ca="1">IFERROR(__xludf.DUMMYFUNCTION("""COMPUTED_VALUE"""),10648)</f>
        <v>10648</v>
      </c>
      <c r="E638" s="1" t="str">
        <f ca="1">IFERROR(__xludf.DUMMYFUNCTION("""COMPUTED_VALUE"""),"Educational Psychology Review")</f>
        <v>Educational Psychology Review</v>
      </c>
      <c r="F638" s="1" t="str">
        <f ca="1">IFERROR(__xludf.DUMMYFUNCTION("""COMPUTED_VALUE"""),"1573-336X")</f>
        <v>1573-336X</v>
      </c>
      <c r="G638" s="1" t="str">
        <f ca="1">IFERROR(__xludf.DUMMYFUNCTION("""COMPUTED_VALUE"""),"1040-726X")</f>
        <v>1040-726X</v>
      </c>
      <c r="H638" s="27" t="str">
        <f ca="1">IFERROR(__xludf.DUMMYFUNCTION("""COMPUTED_VALUE"""),"https://link.springer.com/journal/10648")</f>
        <v>https://link.springer.com/journal/10648</v>
      </c>
      <c r="I638" s="1" t="str">
        <f ca="1">IFERROR(__xludf.DUMMYFUNCTION("""COMPUTED_VALUE"""),"Springer")</f>
        <v>Springer</v>
      </c>
      <c r="J638" s="1">
        <f ca="1">IFERROR(__xludf.DUMMYFUNCTION("""COMPUTED_VALUE"""),2000)</f>
        <v>2000</v>
      </c>
      <c r="K638" s="1" t="str">
        <f ca="1">IFERROR(__xludf.DUMMYFUNCTION("""COMPUTED_VALUE"""),"Education")</f>
        <v>Education</v>
      </c>
      <c r="L638" s="1" t="str">
        <f ca="1">IFERROR(__xludf.DUMMYFUNCTION("""COMPUTED_VALUE"""),"〇")</f>
        <v>〇</v>
      </c>
      <c r="M638" s="1" t="str">
        <f ca="1">IFERROR(__xludf.DUMMYFUNCTION("""COMPUTED_VALUE"""),"〇")</f>
        <v>〇</v>
      </c>
      <c r="N638" s="1"/>
      <c r="O638" s="1"/>
      <c r="P638" s="1"/>
    </row>
    <row r="639" spans="1:16" ht="14.25" customHeight="1" x14ac:dyDescent="0.25">
      <c r="A639" s="1"/>
      <c r="B639" s="1">
        <f ca="1"/>
        <v>627</v>
      </c>
      <c r="C639" s="1">
        <f ca="1">IFERROR(__xludf.DUMMYFUNCTION("""COMPUTED_VALUE"""),2023)</f>
        <v>2023</v>
      </c>
      <c r="D639" s="1">
        <f ca="1">IFERROR(__xludf.DUMMYFUNCTION("""COMPUTED_VALUE"""),10671)</f>
        <v>10671</v>
      </c>
      <c r="E639" s="1" t="str">
        <f ca="1">IFERROR(__xludf.DUMMYFUNCTION("""COMPUTED_VALUE"""),"Educational Research for Policy and Practice")</f>
        <v>Educational Research for Policy and Practice</v>
      </c>
      <c r="F639" s="1" t="str">
        <f ca="1">IFERROR(__xludf.DUMMYFUNCTION("""COMPUTED_VALUE"""),"1573-1723")</f>
        <v>1573-1723</v>
      </c>
      <c r="G639" s="1" t="str">
        <f ca="1">IFERROR(__xludf.DUMMYFUNCTION("""COMPUTED_VALUE"""),"1570-2081")</f>
        <v>1570-2081</v>
      </c>
      <c r="H639" s="27" t="str">
        <f ca="1">IFERROR(__xludf.DUMMYFUNCTION("""COMPUTED_VALUE"""),"https://link.springer.com/journal/10671")</f>
        <v>https://link.springer.com/journal/10671</v>
      </c>
      <c r="I639" s="1" t="str">
        <f ca="1">IFERROR(__xludf.DUMMYFUNCTION("""COMPUTED_VALUE"""),"Springer")</f>
        <v>Springer</v>
      </c>
      <c r="J639" s="1">
        <f ca="1">IFERROR(__xludf.DUMMYFUNCTION("""COMPUTED_VALUE"""),2002)</f>
        <v>2002</v>
      </c>
      <c r="K639" s="1" t="str">
        <f ca="1">IFERROR(__xludf.DUMMYFUNCTION("""COMPUTED_VALUE"""),"Education")</f>
        <v>Education</v>
      </c>
      <c r="L639" s="1" t="str">
        <f ca="1">IFERROR(__xludf.DUMMYFUNCTION("""COMPUTED_VALUE"""),"〇")</f>
        <v>〇</v>
      </c>
      <c r="M639" s="1" t="str">
        <f ca="1">IFERROR(__xludf.DUMMYFUNCTION("""COMPUTED_VALUE"""),"〇")</f>
        <v>〇</v>
      </c>
      <c r="N639" s="1"/>
      <c r="O639" s="1"/>
      <c r="P639" s="1"/>
    </row>
    <row r="640" spans="1:16" ht="14.25" customHeight="1" x14ac:dyDescent="0.25">
      <c r="A640" s="1"/>
      <c r="B640" s="1">
        <f ca="1"/>
        <v>628</v>
      </c>
      <c r="C640" s="1">
        <f ca="1">IFERROR(__xludf.DUMMYFUNCTION("""COMPUTED_VALUE"""),2023)</f>
        <v>2023</v>
      </c>
      <c r="D640" s="1">
        <f ca="1">IFERROR(__xludf.DUMMYFUNCTION("""COMPUTED_VALUE"""),10649)</f>
        <v>10649</v>
      </c>
      <c r="E640" s="1" t="str">
        <f ca="1">IFERROR(__xludf.DUMMYFUNCTION("""COMPUTED_VALUE"""),"Educational Studies in Mathematics")</f>
        <v>Educational Studies in Mathematics</v>
      </c>
      <c r="F640" s="1" t="str">
        <f ca="1">IFERROR(__xludf.DUMMYFUNCTION("""COMPUTED_VALUE"""),"1573-0816")</f>
        <v>1573-0816</v>
      </c>
      <c r="G640" s="1" t="str">
        <f ca="1">IFERROR(__xludf.DUMMYFUNCTION("""COMPUTED_VALUE"""),"0013-1954")</f>
        <v>0013-1954</v>
      </c>
      <c r="H640" s="27" t="str">
        <f ca="1">IFERROR(__xludf.DUMMYFUNCTION("""COMPUTED_VALUE"""),"https://link.springer.com/journal/10649")</f>
        <v>https://link.springer.com/journal/10649</v>
      </c>
      <c r="I640" s="1" t="str">
        <f ca="1">IFERROR(__xludf.DUMMYFUNCTION("""COMPUTED_VALUE"""),"Springer")</f>
        <v>Springer</v>
      </c>
      <c r="J640" s="1">
        <f ca="1">IFERROR(__xludf.DUMMYFUNCTION("""COMPUTED_VALUE"""),2000)</f>
        <v>2000</v>
      </c>
      <c r="K640" s="1" t="str">
        <f ca="1">IFERROR(__xludf.DUMMYFUNCTION("""COMPUTED_VALUE"""),"Education")</f>
        <v>Education</v>
      </c>
      <c r="L640" s="1" t="str">
        <f ca="1">IFERROR(__xludf.DUMMYFUNCTION("""COMPUTED_VALUE"""),"〇")</f>
        <v>〇</v>
      </c>
      <c r="M640" s="1" t="str">
        <f ca="1">IFERROR(__xludf.DUMMYFUNCTION("""COMPUTED_VALUE"""),"〇")</f>
        <v>〇</v>
      </c>
      <c r="N640" s="1"/>
      <c r="O640" s="1"/>
      <c r="P640" s="1"/>
    </row>
    <row r="641" spans="1:16" ht="14.25" customHeight="1" x14ac:dyDescent="0.25">
      <c r="A641" s="1"/>
      <c r="B641" s="1">
        <f ca="1"/>
        <v>629</v>
      </c>
      <c r="C641" s="1">
        <f ca="1">IFERROR(__xludf.DUMMYFUNCTION("""COMPUTED_VALUE"""),2023)</f>
        <v>2023</v>
      </c>
      <c r="D641" s="1">
        <f ca="1">IFERROR(__xludf.DUMMYFUNCTION("""COMPUTED_VALUE"""),11423)</f>
        <v>11423</v>
      </c>
      <c r="E641" s="1" t="str">
        <f ca="1">IFERROR(__xludf.DUMMYFUNCTION("""COMPUTED_VALUE"""),"Educational technology research and development")</f>
        <v>Educational technology research and development</v>
      </c>
      <c r="F641" s="1" t="str">
        <f ca="1">IFERROR(__xludf.DUMMYFUNCTION("""COMPUTED_VALUE"""),"1556-6501")</f>
        <v>1556-6501</v>
      </c>
      <c r="G641" s="1" t="str">
        <f ca="1">IFERROR(__xludf.DUMMYFUNCTION("""COMPUTED_VALUE"""),"1042-1629")</f>
        <v>1042-1629</v>
      </c>
      <c r="H641" s="27" t="str">
        <f ca="1">IFERROR(__xludf.DUMMYFUNCTION("""COMPUTED_VALUE"""),"https://link.springer.com/journal/11423")</f>
        <v>https://link.springer.com/journal/11423</v>
      </c>
      <c r="I641" s="1" t="str">
        <f ca="1">IFERROR(__xludf.DUMMYFUNCTION("""COMPUTED_VALUE"""),"Springer")</f>
        <v>Springer</v>
      </c>
      <c r="J641" s="1">
        <f ca="1">IFERROR(__xludf.DUMMYFUNCTION("""COMPUTED_VALUE"""),2000)</f>
        <v>2000</v>
      </c>
      <c r="K641" s="1" t="str">
        <f ca="1">IFERROR(__xludf.DUMMYFUNCTION("""COMPUTED_VALUE"""),"Education")</f>
        <v>Education</v>
      </c>
      <c r="L641" s="1" t="str">
        <f ca="1">IFERROR(__xludf.DUMMYFUNCTION("""COMPUTED_VALUE"""),"〇")</f>
        <v>〇</v>
      </c>
      <c r="M641" s="1" t="str">
        <f ca="1">IFERROR(__xludf.DUMMYFUNCTION("""COMPUTED_VALUE"""),"〇")</f>
        <v>〇</v>
      </c>
      <c r="N641" s="1"/>
      <c r="O641" s="1"/>
      <c r="P641" s="1"/>
    </row>
    <row r="642" spans="1:16" ht="14.25" customHeight="1" x14ac:dyDescent="0.25">
      <c r="A642" s="1"/>
      <c r="B642" s="1">
        <f ca="1"/>
        <v>630</v>
      </c>
      <c r="C642" s="1">
        <f ca="1">IFERROR(__xludf.DUMMYFUNCTION("""COMPUTED_VALUE"""),2023)</f>
        <v>2023</v>
      </c>
      <c r="D642" s="1">
        <f ca="1">IFERROR(__xludf.DUMMYFUNCTION("""COMPUTED_VALUE"""),202)</f>
        <v>202</v>
      </c>
      <c r="E642" s="1" t="str">
        <f ca="1">IFERROR(__xludf.DUMMYFUNCTION("""COMPUTED_VALUE"""),"Electrical Engineering")</f>
        <v>Electrical Engineering</v>
      </c>
      <c r="F642" s="1" t="str">
        <f ca="1">IFERROR(__xludf.DUMMYFUNCTION("""COMPUTED_VALUE"""),"1432-0487")</f>
        <v>1432-0487</v>
      </c>
      <c r="G642" s="1" t="str">
        <f ca="1">IFERROR(__xludf.DUMMYFUNCTION("""COMPUTED_VALUE"""),"0948-7921")</f>
        <v>0948-7921</v>
      </c>
      <c r="H642" s="27" t="str">
        <f ca="1">IFERROR(__xludf.DUMMYFUNCTION("""COMPUTED_VALUE"""),"https://link.springer.com/journal/202")</f>
        <v>https://link.springer.com/journal/202</v>
      </c>
      <c r="I642" s="1" t="str">
        <f ca="1">IFERROR(__xludf.DUMMYFUNCTION("""COMPUTED_VALUE"""),"Springer")</f>
        <v>Springer</v>
      </c>
      <c r="J642" s="1">
        <f ca="1">IFERROR(__xludf.DUMMYFUNCTION("""COMPUTED_VALUE"""),2000)</f>
        <v>2000</v>
      </c>
      <c r="K642" s="1" t="str">
        <f ca="1">IFERROR(__xludf.DUMMYFUNCTION("""COMPUTED_VALUE"""),"Engineering")</f>
        <v>Engineering</v>
      </c>
      <c r="L642" s="1" t="str">
        <f ca="1">IFERROR(__xludf.DUMMYFUNCTION("""COMPUTED_VALUE"""),"〇")</f>
        <v>〇</v>
      </c>
      <c r="M642" s="1" t="str">
        <f ca="1">IFERROR(__xludf.DUMMYFUNCTION("""COMPUTED_VALUE"""),"〇")</f>
        <v>〇</v>
      </c>
      <c r="N642" s="1"/>
      <c r="O642" s="1"/>
      <c r="P642" s="1"/>
    </row>
    <row r="643" spans="1:16" ht="14.25" customHeight="1" x14ac:dyDescent="0.25">
      <c r="A643" s="1"/>
      <c r="B643" s="1">
        <f ca="1"/>
        <v>631</v>
      </c>
      <c r="C643" s="1">
        <f ca="1">IFERROR(__xludf.DUMMYFUNCTION("""COMPUTED_VALUE"""),2023)</f>
        <v>2023</v>
      </c>
      <c r="D643" s="1">
        <f ca="1">IFERROR(__xludf.DUMMYFUNCTION("""COMPUTED_VALUE"""),12678)</f>
        <v>12678</v>
      </c>
      <c r="E643" s="1" t="str">
        <f ca="1">IFERROR(__xludf.DUMMYFUNCTION("""COMPUTED_VALUE"""),"Electrocatalysis")</f>
        <v>Electrocatalysis</v>
      </c>
      <c r="F643" s="1" t="str">
        <f ca="1">IFERROR(__xludf.DUMMYFUNCTION("""COMPUTED_VALUE"""),"1868-5994")</f>
        <v>1868-5994</v>
      </c>
      <c r="G643" s="1" t="str">
        <f ca="1">IFERROR(__xludf.DUMMYFUNCTION("""COMPUTED_VALUE"""),"1868-2529")</f>
        <v>1868-2529</v>
      </c>
      <c r="H643" s="27" t="str">
        <f ca="1">IFERROR(__xludf.DUMMYFUNCTION("""COMPUTED_VALUE"""),"https://link.springer.com/journal/12678")</f>
        <v>https://link.springer.com/journal/12678</v>
      </c>
      <c r="I643" s="1" t="str">
        <f ca="1">IFERROR(__xludf.DUMMYFUNCTION("""COMPUTED_VALUE"""),"Springer")</f>
        <v>Springer</v>
      </c>
      <c r="J643" s="1">
        <f ca="1">IFERROR(__xludf.DUMMYFUNCTION("""COMPUTED_VALUE"""),2010)</f>
        <v>2010</v>
      </c>
      <c r="K643" s="1" t="str">
        <f ca="1">IFERROR(__xludf.DUMMYFUNCTION("""COMPUTED_VALUE"""),"Chemistry and Materials Science")</f>
        <v>Chemistry and Materials Science</v>
      </c>
      <c r="L643" s="1" t="str">
        <f ca="1">IFERROR(__xludf.DUMMYFUNCTION("""COMPUTED_VALUE"""),"〇")</f>
        <v>〇</v>
      </c>
      <c r="M643" s="1" t="str">
        <f ca="1">IFERROR(__xludf.DUMMYFUNCTION("""COMPUTED_VALUE"""),"〇")</f>
        <v>〇</v>
      </c>
      <c r="N643" s="1" t="str">
        <f ca="1">IFERROR(__xludf.DUMMYFUNCTION("""COMPUTED_VALUE"""),"SNS10")</f>
        <v>SNS10</v>
      </c>
      <c r="O643" s="1"/>
      <c r="P643" s="1"/>
    </row>
    <row r="644" spans="1:16" ht="14.25" customHeight="1" x14ac:dyDescent="0.25">
      <c r="A644" s="1"/>
      <c r="B644" s="1">
        <f ca="1"/>
        <v>632</v>
      </c>
      <c r="C644" s="1">
        <f ca="1">IFERROR(__xludf.DUMMYFUNCTION("""COMPUTED_VALUE"""),2023)</f>
        <v>2023</v>
      </c>
      <c r="D644" s="1">
        <f ca="1">IFERROR(__xludf.DUMMYFUNCTION("""COMPUTED_VALUE"""),41918)</f>
        <v>41918</v>
      </c>
      <c r="E644" s="1" t="str">
        <f ca="1">IFERROR(__xludf.DUMMYFUNCTION("""COMPUTED_VALUE"""),"Electrochemical Energy Reviews")</f>
        <v>Electrochemical Energy Reviews</v>
      </c>
      <c r="F644" s="1" t="str">
        <f ca="1">IFERROR(__xludf.DUMMYFUNCTION("""COMPUTED_VALUE"""),"2520-8136")</f>
        <v>2520-8136</v>
      </c>
      <c r="G644" s="1" t="str">
        <f ca="1">IFERROR(__xludf.DUMMYFUNCTION("""COMPUTED_VALUE"""),"2520-8489")</f>
        <v>2520-8489</v>
      </c>
      <c r="H644" s="27" t="str">
        <f ca="1">IFERROR(__xludf.DUMMYFUNCTION("""COMPUTED_VALUE"""),"https://link.springer.com/journal/41918")</f>
        <v>https://link.springer.com/journal/41918</v>
      </c>
      <c r="I644" s="1" t="str">
        <f ca="1">IFERROR(__xludf.DUMMYFUNCTION("""COMPUTED_VALUE"""),"Shanghai University, co-published with Springer")</f>
        <v>Shanghai University, co-published with Springer</v>
      </c>
      <c r="J644" s="1">
        <f ca="1">IFERROR(__xludf.DUMMYFUNCTION("""COMPUTED_VALUE"""),2018)</f>
        <v>2018</v>
      </c>
      <c r="K644" s="1" t="str">
        <f ca="1">IFERROR(__xludf.DUMMYFUNCTION("""COMPUTED_VALUE"""),"Chemistry and Materials Science")</f>
        <v>Chemistry and Materials Science</v>
      </c>
      <c r="L644" s="1" t="str">
        <f ca="1">IFERROR(__xludf.DUMMYFUNCTION("""COMPUTED_VALUE"""),"〇")</f>
        <v>〇</v>
      </c>
      <c r="M644" s="1"/>
      <c r="N644" s="1" t="str">
        <f ca="1">IFERROR(__xludf.DUMMYFUNCTION("""COMPUTED_VALUE"""),"SNS18")</f>
        <v>SNS18</v>
      </c>
      <c r="O644" s="1"/>
      <c r="P644" s="1"/>
    </row>
    <row r="645" spans="1:16" ht="14.25" customHeight="1" x14ac:dyDescent="0.25">
      <c r="A645" s="1"/>
      <c r="B645" s="1">
        <f ca="1"/>
        <v>633</v>
      </c>
      <c r="C645" s="1">
        <f ca="1">IFERROR(__xludf.DUMMYFUNCTION("""COMPUTED_VALUE"""),2023)</f>
        <v>2023</v>
      </c>
      <c r="D645" s="1">
        <f ca="1">IFERROR(__xludf.DUMMYFUNCTION("""COMPUTED_VALUE"""),10660)</f>
        <v>10660</v>
      </c>
      <c r="E645" s="1" t="str">
        <f ca="1">IFERROR(__xludf.DUMMYFUNCTION("""COMPUTED_VALUE"""),"Electronic Commerce Research")</f>
        <v>Electronic Commerce Research</v>
      </c>
      <c r="F645" s="1" t="str">
        <f ca="1">IFERROR(__xludf.DUMMYFUNCTION("""COMPUTED_VALUE"""),"1572-9362")</f>
        <v>1572-9362</v>
      </c>
      <c r="G645" s="1" t="str">
        <f ca="1">IFERROR(__xludf.DUMMYFUNCTION("""COMPUTED_VALUE"""),"1389-5753")</f>
        <v>1389-5753</v>
      </c>
      <c r="H645" s="27" t="str">
        <f ca="1">IFERROR(__xludf.DUMMYFUNCTION("""COMPUTED_VALUE"""),"https://link.springer.com/journal/10660")</f>
        <v>https://link.springer.com/journal/10660</v>
      </c>
      <c r="I645" s="1" t="str">
        <f ca="1">IFERROR(__xludf.DUMMYFUNCTION("""COMPUTED_VALUE"""),"Springer")</f>
        <v>Springer</v>
      </c>
      <c r="J645" s="1">
        <f ca="1">IFERROR(__xludf.DUMMYFUNCTION("""COMPUTED_VALUE"""),2001)</f>
        <v>2001</v>
      </c>
      <c r="K645" s="1" t="str">
        <f ca="1">IFERROR(__xludf.DUMMYFUNCTION("""COMPUTED_VALUE"""),"Business and Management")</f>
        <v>Business and Management</v>
      </c>
      <c r="L645" s="1" t="str">
        <f ca="1">IFERROR(__xludf.DUMMYFUNCTION("""COMPUTED_VALUE"""),"〇")</f>
        <v>〇</v>
      </c>
      <c r="M645" s="1" t="str">
        <f ca="1">IFERROR(__xludf.DUMMYFUNCTION("""COMPUTED_VALUE"""),"〇")</f>
        <v>〇</v>
      </c>
      <c r="N645" s="1"/>
      <c r="O645" s="1"/>
      <c r="P645" s="1"/>
    </row>
    <row r="646" spans="1:16" ht="14.25" customHeight="1" x14ac:dyDescent="0.25">
      <c r="A646" s="1"/>
      <c r="B646" s="1">
        <f ca="1"/>
        <v>634</v>
      </c>
      <c r="C646" s="1">
        <f ca="1">IFERROR(__xludf.DUMMYFUNCTION("""COMPUTED_VALUE"""),2023)</f>
        <v>2023</v>
      </c>
      <c r="D646" s="1">
        <f ca="1">IFERROR(__xludf.DUMMYFUNCTION("""COMPUTED_VALUE"""),12525)</f>
        <v>12525</v>
      </c>
      <c r="E646" s="1" t="str">
        <f ca="1">IFERROR(__xludf.DUMMYFUNCTION("""COMPUTED_VALUE"""),"Electronic Markets")</f>
        <v>Electronic Markets</v>
      </c>
      <c r="F646" s="1" t="str">
        <f ca="1">IFERROR(__xludf.DUMMYFUNCTION("""COMPUTED_VALUE"""),"1422-8890")</f>
        <v>1422-8890</v>
      </c>
      <c r="G646" s="1" t="str">
        <f ca="1">IFERROR(__xludf.DUMMYFUNCTION("""COMPUTED_VALUE"""),"1019-6781")</f>
        <v>1019-6781</v>
      </c>
      <c r="H646" s="27" t="str">
        <f ca="1">IFERROR(__xludf.DUMMYFUNCTION("""COMPUTED_VALUE"""),"https://link.springer.com/journal/12525")</f>
        <v>https://link.springer.com/journal/12525</v>
      </c>
      <c r="I646" s="1" t="str">
        <f ca="1">IFERROR(__xludf.DUMMYFUNCTION("""COMPUTED_VALUE"""),"Springer")</f>
        <v>Springer</v>
      </c>
      <c r="J646" s="1">
        <f ca="1">IFERROR(__xludf.DUMMYFUNCTION("""COMPUTED_VALUE"""),2009)</f>
        <v>2009</v>
      </c>
      <c r="K646" s="1" t="str">
        <f ca="1">IFERROR(__xludf.DUMMYFUNCTION("""COMPUTED_VALUE"""),"Business and Management")</f>
        <v>Business and Management</v>
      </c>
      <c r="L646" s="1" t="str">
        <f ca="1">IFERROR(__xludf.DUMMYFUNCTION("""COMPUTED_VALUE"""),"〇")</f>
        <v>〇</v>
      </c>
      <c r="M646" s="1"/>
      <c r="N646" s="1" t="str">
        <f ca="1">IFERROR(__xludf.DUMMYFUNCTION("""COMPUTED_VALUE"""),"TO9")</f>
        <v>TO9</v>
      </c>
      <c r="O646" s="1"/>
      <c r="P646" s="1"/>
    </row>
    <row r="647" spans="1:16" ht="14.25" customHeight="1" x14ac:dyDescent="0.25">
      <c r="A647" s="1"/>
      <c r="B647" s="1">
        <f ca="1"/>
        <v>635</v>
      </c>
      <c r="C647" s="1">
        <f ca="1">IFERROR(__xludf.DUMMYFUNCTION("""COMPUTED_VALUE"""),2023)</f>
        <v>2023</v>
      </c>
      <c r="D647" s="1">
        <f ca="1">IFERROR(__xludf.DUMMYFUNCTION("""COMPUTED_VALUE"""),13391)</f>
        <v>13391</v>
      </c>
      <c r="E647" s="1" t="str">
        <f ca="1">IFERROR(__xludf.DUMMYFUNCTION("""COMPUTED_VALUE"""),"Electronic Materials Letters")</f>
        <v>Electronic Materials Letters</v>
      </c>
      <c r="F647" s="1" t="str">
        <f ca="1">IFERROR(__xludf.DUMMYFUNCTION("""COMPUTED_VALUE"""),"2093-6788")</f>
        <v>2093-6788</v>
      </c>
      <c r="G647" s="1" t="str">
        <f ca="1">IFERROR(__xludf.DUMMYFUNCTION("""COMPUTED_VALUE"""),"1738-8090")</f>
        <v>1738-8090</v>
      </c>
      <c r="H647" s="27" t="str">
        <f ca="1">IFERROR(__xludf.DUMMYFUNCTION("""COMPUTED_VALUE"""),"https://link.springer.com/journal/13391")</f>
        <v>https://link.springer.com/journal/13391</v>
      </c>
      <c r="I647" s="1" t="str">
        <f ca="1">IFERROR(__xludf.DUMMYFUNCTION("""COMPUTED_VALUE"""),"The Korean Institute of Metals and Materials, co-published with Springer")</f>
        <v>The Korean Institute of Metals and Materials, co-published with Springer</v>
      </c>
      <c r="J647" s="1">
        <f ca="1">IFERROR(__xludf.DUMMYFUNCTION("""COMPUTED_VALUE"""),2009)</f>
        <v>2009</v>
      </c>
      <c r="K647" s="1" t="str">
        <f ca="1">IFERROR(__xludf.DUMMYFUNCTION("""COMPUTED_VALUE"""),"Chemistry and Materials Science")</f>
        <v>Chemistry and Materials Science</v>
      </c>
      <c r="L647" s="1" t="str">
        <f ca="1">IFERROR(__xludf.DUMMYFUNCTION("""COMPUTED_VALUE"""),"〇")</f>
        <v>〇</v>
      </c>
      <c r="M647" s="1"/>
      <c r="N647" s="1" t="str">
        <f ca="1">IFERROR(__xludf.DUMMYFUNCTION("""COMPUTED_VALUE"""),"TO11")</f>
        <v>TO11</v>
      </c>
      <c r="O647" s="1"/>
      <c r="P647" s="1"/>
    </row>
    <row r="648" spans="1:16" ht="14.25" customHeight="1" x14ac:dyDescent="0.25">
      <c r="A648" s="1"/>
      <c r="B648" s="1">
        <f ca="1"/>
        <v>636</v>
      </c>
      <c r="C648" s="1">
        <f ca="1">IFERROR(__xludf.DUMMYFUNCTION("""COMPUTED_VALUE"""),2023)</f>
        <v>2023</v>
      </c>
      <c r="D648" s="1">
        <f ca="1">IFERROR(__xludf.DUMMYFUNCTION("""COMPUTED_VALUE"""),10140)</f>
        <v>10140</v>
      </c>
      <c r="E648" s="1" t="str">
        <f ca="1">IFERROR(__xludf.DUMMYFUNCTION("""COMPUTED_VALUE"""),"Emergency Radiology")</f>
        <v>Emergency Radiology</v>
      </c>
      <c r="F648" s="1" t="str">
        <f ca="1">IFERROR(__xludf.DUMMYFUNCTION("""COMPUTED_VALUE"""),"1438-1435")</f>
        <v>1438-1435</v>
      </c>
      <c r="G648" s="1"/>
      <c r="H648" s="27" t="str">
        <f ca="1">IFERROR(__xludf.DUMMYFUNCTION("""COMPUTED_VALUE"""),"https://link.springer.com/journal/10140")</f>
        <v>https://link.springer.com/journal/10140</v>
      </c>
      <c r="I648" s="1" t="str">
        <f ca="1">IFERROR(__xludf.DUMMYFUNCTION("""COMPUTED_VALUE"""),"Springer")</f>
        <v>Springer</v>
      </c>
      <c r="J648" s="1">
        <f ca="1">IFERROR(__xludf.DUMMYFUNCTION("""COMPUTED_VALUE"""),2000)</f>
        <v>2000</v>
      </c>
      <c r="K648" s="1" t="str">
        <f ca="1">IFERROR(__xludf.DUMMYFUNCTION("""COMPUTED_VALUE"""),"Medicine")</f>
        <v>Medicine</v>
      </c>
      <c r="L648" s="1"/>
      <c r="M648" s="1" t="str">
        <f ca="1">IFERROR(__xludf.DUMMYFUNCTION("""COMPUTED_VALUE"""),"〇")</f>
        <v>〇</v>
      </c>
      <c r="N648" s="1"/>
      <c r="O648" s="1"/>
      <c r="P648" s="1"/>
    </row>
    <row r="649" spans="1:16" ht="14.25" customHeight="1" x14ac:dyDescent="0.25">
      <c r="A649" s="1"/>
      <c r="B649" s="1">
        <f ca="1"/>
        <v>637</v>
      </c>
      <c r="C649" s="1">
        <f ca="1">IFERROR(__xludf.DUMMYFUNCTION("""COMPUTED_VALUE"""),2023)</f>
        <v>2023</v>
      </c>
      <c r="D649" s="1">
        <f ca="1">IFERROR(__xludf.DUMMYFUNCTION("""COMPUTED_VALUE"""),42247)</f>
        <v>42247</v>
      </c>
      <c r="E649" s="1" t="str">
        <f ca="1">IFERROR(__xludf.DUMMYFUNCTION("""COMPUTED_VALUE"""),"Emergent Materials")</f>
        <v>Emergent Materials</v>
      </c>
      <c r="F649" s="1" t="str">
        <f ca="1">IFERROR(__xludf.DUMMYFUNCTION("""COMPUTED_VALUE"""),"2522-574X")</f>
        <v>2522-574X</v>
      </c>
      <c r="G649" s="1" t="str">
        <f ca="1">IFERROR(__xludf.DUMMYFUNCTION("""COMPUTED_VALUE"""),"2522-5731")</f>
        <v>2522-5731</v>
      </c>
      <c r="H649" s="27" t="str">
        <f ca="1">IFERROR(__xludf.DUMMYFUNCTION("""COMPUTED_VALUE"""),"https://link.springer.com/journal/42247")</f>
        <v>https://link.springer.com/journal/42247</v>
      </c>
      <c r="I649" s="1" t="str">
        <f ca="1">IFERROR(__xludf.DUMMYFUNCTION("""COMPUTED_VALUE"""),"Springer")</f>
        <v>Springer</v>
      </c>
      <c r="J649" s="1">
        <f ca="1">IFERROR(__xludf.DUMMYFUNCTION("""COMPUTED_VALUE"""),2018)</f>
        <v>2018</v>
      </c>
      <c r="K649" s="1" t="str">
        <f ca="1">IFERROR(__xludf.DUMMYFUNCTION("""COMPUTED_VALUE"""),"Chemistry and Materials Science")</f>
        <v>Chemistry and Materials Science</v>
      </c>
      <c r="L649" s="1" t="str">
        <f ca="1">IFERROR(__xludf.DUMMYFUNCTION("""COMPUTED_VALUE"""),"〇")</f>
        <v>〇</v>
      </c>
      <c r="M649" s="1"/>
      <c r="N649" s="1" t="str">
        <f ca="1">IFERROR(__xludf.DUMMYFUNCTION("""COMPUTED_VALUE"""),"SNS18")</f>
        <v>SNS18</v>
      </c>
      <c r="O649" s="1"/>
      <c r="P649" s="1"/>
    </row>
    <row r="650" spans="1:16" ht="14.25" customHeight="1" x14ac:dyDescent="0.25">
      <c r="A650" s="1"/>
      <c r="B650" s="1">
        <f ca="1"/>
        <v>638</v>
      </c>
      <c r="C650" s="1">
        <f ca="1">IFERROR(__xludf.DUMMYFUNCTION("""COMPUTED_VALUE"""),2023)</f>
        <v>2023</v>
      </c>
      <c r="D650" s="1">
        <f ca="1">IFERROR(__xludf.DUMMYFUNCTION("""COMPUTED_VALUE"""),40825)</f>
        <v>40825</v>
      </c>
      <c r="E650" s="1" t="str">
        <f ca="1">IFERROR(__xludf.DUMMYFUNCTION("""COMPUTED_VALUE"""),"Emission Control Science and Technology")</f>
        <v>Emission Control Science and Technology</v>
      </c>
      <c r="F650" s="1" t="str">
        <f ca="1">IFERROR(__xludf.DUMMYFUNCTION("""COMPUTED_VALUE"""),"2199-3637")</f>
        <v>2199-3637</v>
      </c>
      <c r="G650" s="1" t="str">
        <f ca="1">IFERROR(__xludf.DUMMYFUNCTION("""COMPUTED_VALUE"""),"2199-3629")</f>
        <v>2199-3629</v>
      </c>
      <c r="H650" s="27" t="str">
        <f ca="1">IFERROR(__xludf.DUMMYFUNCTION("""COMPUTED_VALUE"""),"https://link.springer.com/journal/40825")</f>
        <v>https://link.springer.com/journal/40825</v>
      </c>
      <c r="I650" s="1" t="str">
        <f ca="1">IFERROR(__xludf.DUMMYFUNCTION("""COMPUTED_VALUE"""),"Springer")</f>
        <v>Springer</v>
      </c>
      <c r="J650" s="1">
        <f ca="1">IFERROR(__xludf.DUMMYFUNCTION("""COMPUTED_VALUE"""),2015)</f>
        <v>2015</v>
      </c>
      <c r="K650" s="1" t="str">
        <f ca="1">IFERROR(__xludf.DUMMYFUNCTION("""COMPUTED_VALUE"""),"Earth and Environmental Science")</f>
        <v>Earth and Environmental Science</v>
      </c>
      <c r="L650" s="1" t="str">
        <f ca="1">IFERROR(__xludf.DUMMYFUNCTION("""COMPUTED_VALUE"""),"〇")</f>
        <v>〇</v>
      </c>
      <c r="M650" s="1"/>
      <c r="N650" s="1" t="str">
        <f ca="1">IFERROR(__xludf.DUMMYFUNCTION("""COMPUTED_VALUE"""),"SNS15")</f>
        <v>SNS15</v>
      </c>
      <c r="O650" s="1"/>
      <c r="P650" s="1"/>
    </row>
    <row r="651" spans="1:16" ht="14.25" customHeight="1" x14ac:dyDescent="0.25">
      <c r="A651" s="1"/>
      <c r="B651" s="1">
        <f ca="1"/>
        <v>639</v>
      </c>
      <c r="C651" s="1">
        <f ca="1">IFERROR(__xludf.DUMMYFUNCTION("""COMPUTED_VALUE"""),2023)</f>
        <v>2023</v>
      </c>
      <c r="D651" s="1">
        <f ca="1">IFERROR(__xludf.DUMMYFUNCTION("""COMPUTED_VALUE"""),10663)</f>
        <v>10663</v>
      </c>
      <c r="E651" s="1" t="str">
        <f ca="1">IFERROR(__xludf.DUMMYFUNCTION("""COMPUTED_VALUE"""),"Empirica")</f>
        <v>Empirica</v>
      </c>
      <c r="F651" s="1" t="str">
        <f ca="1">IFERROR(__xludf.DUMMYFUNCTION("""COMPUTED_VALUE"""),"1573-6911")</f>
        <v>1573-6911</v>
      </c>
      <c r="G651" s="1" t="str">
        <f ca="1">IFERROR(__xludf.DUMMYFUNCTION("""COMPUTED_VALUE"""),"0340-8744")</f>
        <v>0340-8744</v>
      </c>
      <c r="H651" s="27" t="str">
        <f ca="1">IFERROR(__xludf.DUMMYFUNCTION("""COMPUTED_VALUE"""),"https://link.springer.com/journal/10663")</f>
        <v>https://link.springer.com/journal/10663</v>
      </c>
      <c r="I651" s="1" t="str">
        <f ca="1">IFERROR(__xludf.DUMMYFUNCTION("""COMPUTED_VALUE"""),"Springer")</f>
        <v>Springer</v>
      </c>
      <c r="J651" s="1">
        <f ca="1">IFERROR(__xludf.DUMMYFUNCTION("""COMPUTED_VALUE"""),2000)</f>
        <v>2000</v>
      </c>
      <c r="K651" s="1" t="str">
        <f ca="1">IFERROR(__xludf.DUMMYFUNCTION("""COMPUTED_VALUE"""),"Economics and Finance")</f>
        <v>Economics and Finance</v>
      </c>
      <c r="L651" s="1" t="str">
        <f ca="1">IFERROR(__xludf.DUMMYFUNCTION("""COMPUTED_VALUE"""),"〇")</f>
        <v>〇</v>
      </c>
      <c r="M651" s="1" t="str">
        <f ca="1">IFERROR(__xludf.DUMMYFUNCTION("""COMPUTED_VALUE"""),"〇")</f>
        <v>〇</v>
      </c>
      <c r="N651" s="1"/>
      <c r="O651" s="1"/>
      <c r="P651" s="1"/>
    </row>
    <row r="652" spans="1:16" ht="14.25" customHeight="1" x14ac:dyDescent="0.25">
      <c r="A652" s="1"/>
      <c r="B652" s="1">
        <f ca="1"/>
        <v>640</v>
      </c>
      <c r="C652" s="1">
        <f ca="1">IFERROR(__xludf.DUMMYFUNCTION("""COMPUTED_VALUE"""),2023)</f>
        <v>2023</v>
      </c>
      <c r="D652" s="1">
        <f ca="1">IFERROR(__xludf.DUMMYFUNCTION("""COMPUTED_VALUE"""),181)</f>
        <v>181</v>
      </c>
      <c r="E652" s="1" t="str">
        <f ca="1">IFERROR(__xludf.DUMMYFUNCTION("""COMPUTED_VALUE"""),"Empirical Economics")</f>
        <v>Empirical Economics</v>
      </c>
      <c r="F652" s="1" t="str">
        <f ca="1">IFERROR(__xludf.DUMMYFUNCTION("""COMPUTED_VALUE"""),"1435-8921")</f>
        <v>1435-8921</v>
      </c>
      <c r="G652" s="1" t="str">
        <f ca="1">IFERROR(__xludf.DUMMYFUNCTION("""COMPUTED_VALUE"""),"0377-7332")</f>
        <v>0377-7332</v>
      </c>
      <c r="H652" s="27" t="str">
        <f ca="1">IFERROR(__xludf.DUMMYFUNCTION("""COMPUTED_VALUE"""),"https://link.springer.com/journal/181")</f>
        <v>https://link.springer.com/journal/181</v>
      </c>
      <c r="I652" s="1" t="str">
        <f ca="1">IFERROR(__xludf.DUMMYFUNCTION("""COMPUTED_VALUE"""),"Springer")</f>
        <v>Springer</v>
      </c>
      <c r="J652" s="1">
        <f ca="1">IFERROR(__xludf.DUMMYFUNCTION("""COMPUTED_VALUE"""),2000)</f>
        <v>2000</v>
      </c>
      <c r="K652" s="1" t="str">
        <f ca="1">IFERROR(__xludf.DUMMYFUNCTION("""COMPUTED_VALUE"""),"Economics and Finance")</f>
        <v>Economics and Finance</v>
      </c>
      <c r="L652" s="1" t="str">
        <f ca="1">IFERROR(__xludf.DUMMYFUNCTION("""COMPUTED_VALUE"""),"〇")</f>
        <v>〇</v>
      </c>
      <c r="M652" s="1" t="str">
        <f ca="1">IFERROR(__xludf.DUMMYFUNCTION("""COMPUTED_VALUE"""),"〇")</f>
        <v>〇</v>
      </c>
      <c r="N652" s="1"/>
      <c r="O652" s="1"/>
      <c r="P652" s="1"/>
    </row>
    <row r="653" spans="1:16" ht="14.25" customHeight="1" x14ac:dyDescent="0.25">
      <c r="A653" s="1"/>
      <c r="B653" s="1">
        <f ca="1"/>
        <v>641</v>
      </c>
      <c r="C653" s="1">
        <f ca="1">IFERROR(__xludf.DUMMYFUNCTION("""COMPUTED_VALUE"""),2023)</f>
        <v>2023</v>
      </c>
      <c r="D653" s="1">
        <f ca="1">IFERROR(__xludf.DUMMYFUNCTION("""COMPUTED_VALUE"""),10664)</f>
        <v>10664</v>
      </c>
      <c r="E653" s="1" t="str">
        <f ca="1">IFERROR(__xludf.DUMMYFUNCTION("""COMPUTED_VALUE"""),"Empirical Software Engineering")</f>
        <v>Empirical Software Engineering</v>
      </c>
      <c r="F653" s="1" t="str">
        <f ca="1">IFERROR(__xludf.DUMMYFUNCTION("""COMPUTED_VALUE"""),"1573-7616")</f>
        <v>1573-7616</v>
      </c>
      <c r="G653" s="1" t="str">
        <f ca="1">IFERROR(__xludf.DUMMYFUNCTION("""COMPUTED_VALUE"""),"1382-3256")</f>
        <v>1382-3256</v>
      </c>
      <c r="H653" s="27" t="str">
        <f ca="1">IFERROR(__xludf.DUMMYFUNCTION("""COMPUTED_VALUE"""),"https://link.springer.com/journal/10664")</f>
        <v>https://link.springer.com/journal/10664</v>
      </c>
      <c r="I653" s="1" t="str">
        <f ca="1">IFERROR(__xludf.DUMMYFUNCTION("""COMPUTED_VALUE"""),"Springer")</f>
        <v>Springer</v>
      </c>
      <c r="J653" s="1">
        <f ca="1">IFERROR(__xludf.DUMMYFUNCTION("""COMPUTED_VALUE"""),2000)</f>
        <v>2000</v>
      </c>
      <c r="K653" s="1" t="str">
        <f ca="1">IFERROR(__xludf.DUMMYFUNCTION("""COMPUTED_VALUE"""),"Computer Science")</f>
        <v>Computer Science</v>
      </c>
      <c r="L653" s="1" t="str">
        <f ca="1">IFERROR(__xludf.DUMMYFUNCTION("""COMPUTED_VALUE"""),"〇")</f>
        <v>〇</v>
      </c>
      <c r="M653" s="1" t="str">
        <f ca="1">IFERROR(__xludf.DUMMYFUNCTION("""COMPUTED_VALUE"""),"〇")</f>
        <v>〇</v>
      </c>
      <c r="N653" s="1"/>
      <c r="O653" s="1"/>
      <c r="P653" s="1"/>
    </row>
    <row r="654" spans="1:16" ht="14.25" customHeight="1" x14ac:dyDescent="0.25">
      <c r="A654" s="1"/>
      <c r="B654" s="1">
        <f ca="1"/>
        <v>642</v>
      </c>
      <c r="C654" s="1">
        <f ca="1">IFERROR(__xludf.DUMMYFUNCTION("""COMPUTED_VALUE"""),2023)</f>
        <v>2023</v>
      </c>
      <c r="D654" s="1">
        <f ca="1">IFERROR(__xludf.DUMMYFUNCTION("""COMPUTED_VALUE"""),10672)</f>
        <v>10672</v>
      </c>
      <c r="E654" s="1" t="str">
        <f ca="1">IFERROR(__xludf.DUMMYFUNCTION("""COMPUTED_VALUE"""),"Employee Responsibilities and Rights Journal")</f>
        <v>Employee Responsibilities and Rights Journal</v>
      </c>
      <c r="F654" s="1" t="str">
        <f ca="1">IFERROR(__xludf.DUMMYFUNCTION("""COMPUTED_VALUE"""),"1573-3378")</f>
        <v>1573-3378</v>
      </c>
      <c r="G654" s="1" t="str">
        <f ca="1">IFERROR(__xludf.DUMMYFUNCTION("""COMPUTED_VALUE"""),"0892-7545")</f>
        <v>0892-7545</v>
      </c>
      <c r="H654" s="27" t="str">
        <f ca="1">IFERROR(__xludf.DUMMYFUNCTION("""COMPUTED_VALUE"""),"https://link.springer.com/journal/10672")</f>
        <v>https://link.springer.com/journal/10672</v>
      </c>
      <c r="I654" s="1" t="str">
        <f ca="1">IFERROR(__xludf.DUMMYFUNCTION("""COMPUTED_VALUE"""),"Springer")</f>
        <v>Springer</v>
      </c>
      <c r="J654" s="1">
        <f ca="1">IFERROR(__xludf.DUMMYFUNCTION("""COMPUTED_VALUE"""),2000)</f>
        <v>2000</v>
      </c>
      <c r="K654" s="1" t="str">
        <f ca="1">IFERROR(__xludf.DUMMYFUNCTION("""COMPUTED_VALUE"""),"Social Sciences")</f>
        <v>Social Sciences</v>
      </c>
      <c r="L654" s="1" t="str">
        <f ca="1">IFERROR(__xludf.DUMMYFUNCTION("""COMPUTED_VALUE"""),"〇")</f>
        <v>〇</v>
      </c>
      <c r="M654" s="1" t="str">
        <f ca="1">IFERROR(__xludf.DUMMYFUNCTION("""COMPUTED_VALUE"""),"〇")</f>
        <v>〇</v>
      </c>
      <c r="N654" s="1"/>
      <c r="O654" s="1"/>
      <c r="P654" s="1"/>
    </row>
    <row r="655" spans="1:16" ht="14.25" customHeight="1" x14ac:dyDescent="0.25">
      <c r="A655" s="1"/>
      <c r="B655" s="1">
        <f ca="1"/>
        <v>643</v>
      </c>
      <c r="C655" s="1">
        <f ca="1">IFERROR(__xludf.DUMMYFUNCTION("""COMPUTED_VALUE"""),2023)</f>
        <v>2023</v>
      </c>
      <c r="D655" s="1">
        <f ca="1">IFERROR(__xludf.DUMMYFUNCTION("""COMPUTED_VALUE"""),12020)</f>
        <v>12020</v>
      </c>
      <c r="E655" s="1" t="str">
        <f ca="1">IFERROR(__xludf.DUMMYFUNCTION("""COMPUTED_VALUE"""),"Endocrine")</f>
        <v>Endocrine</v>
      </c>
      <c r="F655" s="1" t="str">
        <f ca="1">IFERROR(__xludf.DUMMYFUNCTION("""COMPUTED_VALUE"""),"1559-0100")</f>
        <v>1559-0100</v>
      </c>
      <c r="G655" s="1"/>
      <c r="H655" s="27" t="str">
        <f ca="1">IFERROR(__xludf.DUMMYFUNCTION("""COMPUTED_VALUE"""),"https://link.springer.com/journal/12020")</f>
        <v>https://link.springer.com/journal/12020</v>
      </c>
      <c r="I655" s="1" t="str">
        <f ca="1">IFERROR(__xludf.DUMMYFUNCTION("""COMPUTED_VALUE"""),"Springer")</f>
        <v>Springer</v>
      </c>
      <c r="J655" s="1">
        <f ca="1">IFERROR(__xludf.DUMMYFUNCTION("""COMPUTED_VALUE"""),2000)</f>
        <v>2000</v>
      </c>
      <c r="K655" s="1" t="str">
        <f ca="1">IFERROR(__xludf.DUMMYFUNCTION("""COMPUTED_VALUE"""),"Medicine")</f>
        <v>Medicine</v>
      </c>
      <c r="L655" s="1"/>
      <c r="M655" s="1" t="str">
        <f ca="1">IFERROR(__xludf.DUMMYFUNCTION("""COMPUTED_VALUE"""),"〇")</f>
        <v>〇</v>
      </c>
      <c r="N655" s="1" t="str">
        <f ca="1">IFERROR(__xludf.DUMMYFUNCTION("""COMPUTED_VALUE"""),"TO7")</f>
        <v>TO7</v>
      </c>
      <c r="O655" s="1"/>
      <c r="P655" s="1"/>
    </row>
    <row r="656" spans="1:16" ht="14.25" customHeight="1" x14ac:dyDescent="0.25">
      <c r="A656" s="1"/>
      <c r="B656" s="1">
        <f ca="1"/>
        <v>644</v>
      </c>
      <c r="C656" s="1">
        <f ca="1">IFERROR(__xludf.DUMMYFUNCTION("""COMPUTED_VALUE"""),2023)</f>
        <v>2023</v>
      </c>
      <c r="D656" s="1">
        <f ca="1">IFERROR(__xludf.DUMMYFUNCTION("""COMPUTED_VALUE"""),12022)</f>
        <v>12022</v>
      </c>
      <c r="E656" s="1" t="str">
        <f ca="1">IFERROR(__xludf.DUMMYFUNCTION("""COMPUTED_VALUE"""),"Endocrine Pathology")</f>
        <v>Endocrine Pathology</v>
      </c>
      <c r="F656" s="1" t="str">
        <f ca="1">IFERROR(__xludf.DUMMYFUNCTION("""COMPUTED_VALUE"""),"1559-0097")</f>
        <v>1559-0097</v>
      </c>
      <c r="G656" s="1" t="str">
        <f ca="1">IFERROR(__xludf.DUMMYFUNCTION("""COMPUTED_VALUE"""),"1046-3976")</f>
        <v>1046-3976</v>
      </c>
      <c r="H656" s="27" t="str">
        <f ca="1">IFERROR(__xludf.DUMMYFUNCTION("""COMPUTED_VALUE"""),"https://link.springer.com/journal/12022")</f>
        <v>https://link.springer.com/journal/12022</v>
      </c>
      <c r="I656" s="1" t="str">
        <f ca="1">IFERROR(__xludf.DUMMYFUNCTION("""COMPUTED_VALUE"""),"Springer")</f>
        <v>Springer</v>
      </c>
      <c r="J656" s="1">
        <f ca="1">IFERROR(__xludf.DUMMYFUNCTION("""COMPUTED_VALUE"""),2000)</f>
        <v>2000</v>
      </c>
      <c r="K656" s="1" t="str">
        <f ca="1">IFERROR(__xludf.DUMMYFUNCTION("""COMPUTED_VALUE"""),"Medicine")</f>
        <v>Medicine</v>
      </c>
      <c r="L656" s="1" t="str">
        <f ca="1">IFERROR(__xludf.DUMMYFUNCTION("""COMPUTED_VALUE"""),"〇")</f>
        <v>〇</v>
      </c>
      <c r="M656" s="1" t="str">
        <f ca="1">IFERROR(__xludf.DUMMYFUNCTION("""COMPUTED_VALUE"""),"〇")</f>
        <v>〇</v>
      </c>
      <c r="N656" s="1" t="str">
        <f ca="1">IFERROR(__xludf.DUMMYFUNCTION("""COMPUTED_VALUE"""),"TO7")</f>
        <v>TO7</v>
      </c>
      <c r="O656" s="1"/>
      <c r="P656" s="1"/>
    </row>
    <row r="657" spans="1:16" ht="14.25" customHeight="1" x14ac:dyDescent="0.25">
      <c r="A657" s="1"/>
      <c r="B657" s="1">
        <f ca="1"/>
        <v>645</v>
      </c>
      <c r="C657" s="1">
        <f ca="1">IFERROR(__xludf.DUMMYFUNCTION("""COMPUTED_VALUE"""),2023)</f>
        <v>2023</v>
      </c>
      <c r="D657" s="1">
        <f ca="1">IFERROR(__xludf.DUMMYFUNCTION("""COMPUTED_VALUE"""),12053)</f>
        <v>12053</v>
      </c>
      <c r="E657" s="1" t="str">
        <f ca="1">IFERROR(__xludf.DUMMYFUNCTION("""COMPUTED_VALUE"""),"Energy Efficiency")</f>
        <v>Energy Efficiency</v>
      </c>
      <c r="F657" s="1" t="str">
        <f ca="1">IFERROR(__xludf.DUMMYFUNCTION("""COMPUTED_VALUE"""),"1570-6478")</f>
        <v>1570-6478</v>
      </c>
      <c r="G657" s="1" t="str">
        <f ca="1">IFERROR(__xludf.DUMMYFUNCTION("""COMPUTED_VALUE"""),"1570-646X")</f>
        <v>1570-646X</v>
      </c>
      <c r="H657" s="27" t="str">
        <f ca="1">IFERROR(__xludf.DUMMYFUNCTION("""COMPUTED_VALUE"""),"https://link.springer.com/journal/12053")</f>
        <v>https://link.springer.com/journal/12053</v>
      </c>
      <c r="I657" s="1" t="str">
        <f ca="1">IFERROR(__xludf.DUMMYFUNCTION("""COMPUTED_VALUE"""),"Springer")</f>
        <v>Springer</v>
      </c>
      <c r="J657" s="1">
        <f ca="1">IFERROR(__xludf.DUMMYFUNCTION("""COMPUTED_VALUE"""),2008)</f>
        <v>2008</v>
      </c>
      <c r="K657" s="1" t="str">
        <f ca="1">IFERROR(__xludf.DUMMYFUNCTION("""COMPUTED_VALUE"""),"Energy")</f>
        <v>Energy</v>
      </c>
      <c r="L657" s="1" t="str">
        <f ca="1">IFERROR(__xludf.DUMMYFUNCTION("""COMPUTED_VALUE"""),"〇")</f>
        <v>〇</v>
      </c>
      <c r="M657" s="1" t="str">
        <f ca="1">IFERROR(__xludf.DUMMYFUNCTION("""COMPUTED_VALUE"""),"〇")</f>
        <v>〇</v>
      </c>
      <c r="N657" s="1" t="str">
        <f ca="1">IFERROR(__xludf.DUMMYFUNCTION("""COMPUTED_VALUE"""),"SNS8")</f>
        <v>SNS8</v>
      </c>
      <c r="O657" s="1"/>
      <c r="P657" s="1"/>
    </row>
    <row r="658" spans="1:16" ht="14.25" customHeight="1" x14ac:dyDescent="0.25">
      <c r="A658" s="1"/>
      <c r="B658" s="1">
        <f ca="1"/>
        <v>646</v>
      </c>
      <c r="C658" s="1">
        <f ca="1">IFERROR(__xludf.DUMMYFUNCTION("""COMPUTED_VALUE"""),2023)</f>
        <v>2023</v>
      </c>
      <c r="D658" s="1">
        <f ca="1">IFERROR(__xludf.DUMMYFUNCTION("""COMPUTED_VALUE"""),12667)</f>
        <v>12667</v>
      </c>
      <c r="E658" s="1" t="str">
        <f ca="1">IFERROR(__xludf.DUMMYFUNCTION("""COMPUTED_VALUE"""),"Energy Systems")</f>
        <v>Energy Systems</v>
      </c>
      <c r="F658" s="1" t="str">
        <f ca="1">IFERROR(__xludf.DUMMYFUNCTION("""COMPUTED_VALUE"""),"1868-3975")</f>
        <v>1868-3975</v>
      </c>
      <c r="G658" s="1" t="str">
        <f ca="1">IFERROR(__xludf.DUMMYFUNCTION("""COMPUTED_VALUE"""),"1868-3967")</f>
        <v>1868-3967</v>
      </c>
      <c r="H658" s="27" t="str">
        <f ca="1">IFERROR(__xludf.DUMMYFUNCTION("""COMPUTED_VALUE"""),"https://link.springer.com/journal/12667")</f>
        <v>https://link.springer.com/journal/12667</v>
      </c>
      <c r="I658" s="1" t="str">
        <f ca="1">IFERROR(__xludf.DUMMYFUNCTION("""COMPUTED_VALUE"""),"Springer")</f>
        <v>Springer</v>
      </c>
      <c r="J658" s="1">
        <f ca="1">IFERROR(__xludf.DUMMYFUNCTION("""COMPUTED_VALUE"""),2010)</f>
        <v>2010</v>
      </c>
      <c r="K658" s="1" t="str">
        <f ca="1">IFERROR(__xludf.DUMMYFUNCTION("""COMPUTED_VALUE"""),"Energy")</f>
        <v>Energy</v>
      </c>
      <c r="L658" s="1" t="str">
        <f ca="1">IFERROR(__xludf.DUMMYFUNCTION("""COMPUTED_VALUE"""),"〇")</f>
        <v>〇</v>
      </c>
      <c r="M658" s="1" t="str">
        <f ca="1">IFERROR(__xludf.DUMMYFUNCTION("""COMPUTED_VALUE"""),"〇")</f>
        <v>〇</v>
      </c>
      <c r="N658" s="1" t="str">
        <f ca="1">IFERROR(__xludf.DUMMYFUNCTION("""COMPUTED_VALUE"""),"SNS10")</f>
        <v>SNS10</v>
      </c>
      <c r="O658" s="1"/>
      <c r="P658" s="1"/>
    </row>
    <row r="659" spans="1:16" ht="14.25" customHeight="1" x14ac:dyDescent="0.25">
      <c r="A659" s="1"/>
      <c r="B659" s="1">
        <f ca="1"/>
        <v>647</v>
      </c>
      <c r="C659" s="1">
        <f ca="1">IFERROR(__xludf.DUMMYFUNCTION("""COMPUTED_VALUE"""),2023)</f>
        <v>2023</v>
      </c>
      <c r="D659" s="1">
        <f ca="1">IFERROR(__xludf.DUMMYFUNCTION("""COMPUTED_VALUE"""),40974)</f>
        <v>40974</v>
      </c>
      <c r="E659" s="1" t="str">
        <f ca="1">IFERROR(__xludf.DUMMYFUNCTION("""COMPUTED_VALUE"""),"Energy, Ecology and Environment")</f>
        <v>Energy, Ecology and Environment</v>
      </c>
      <c r="F659" s="1" t="str">
        <f ca="1">IFERROR(__xludf.DUMMYFUNCTION("""COMPUTED_VALUE"""),"2363-8338")</f>
        <v>2363-8338</v>
      </c>
      <c r="G659" s="1"/>
      <c r="H659" s="27" t="str">
        <f ca="1">IFERROR(__xludf.DUMMYFUNCTION("""COMPUTED_VALUE"""),"https://link.springer.com/journal/40974")</f>
        <v>https://link.springer.com/journal/40974</v>
      </c>
      <c r="I659" s="1" t="str">
        <f ca="1">IFERROR(__xludf.DUMMYFUNCTION("""COMPUTED_VALUE"""),"Joint Center on Global Change and Earth System Science of the University of Maryland and Beijing Normal University, co-published with Springer")</f>
        <v>Joint Center on Global Change and Earth System Science of the University of Maryland and Beijing Normal University, co-published with Springer</v>
      </c>
      <c r="J659" s="1">
        <f ca="1">IFERROR(__xludf.DUMMYFUNCTION("""COMPUTED_VALUE"""),2016)</f>
        <v>2016</v>
      </c>
      <c r="K659" s="1" t="str">
        <f ca="1">IFERROR(__xludf.DUMMYFUNCTION("""COMPUTED_VALUE"""),"Energy")</f>
        <v>Energy</v>
      </c>
      <c r="L659" s="1"/>
      <c r="M659" s="1"/>
      <c r="N659" s="1" t="str">
        <f ca="1">IFERROR(__xludf.DUMMYFUNCTION("""COMPUTED_VALUE"""),"SNS16")</f>
        <v>SNS16</v>
      </c>
      <c r="O659" s="1"/>
      <c r="P659" s="1"/>
    </row>
    <row r="660" spans="1:16" ht="14.25" customHeight="1" x14ac:dyDescent="0.25">
      <c r="A660" s="1"/>
      <c r="B660" s="1">
        <f ca="1"/>
        <v>648</v>
      </c>
      <c r="C660" s="1">
        <f ca="1">IFERROR(__xludf.DUMMYFUNCTION("""COMPUTED_VALUE"""),2023)</f>
        <v>2023</v>
      </c>
      <c r="D660" s="1">
        <f ca="1">IFERROR(__xludf.DUMMYFUNCTION("""COMPUTED_VALUE"""),366)</f>
        <v>366</v>
      </c>
      <c r="E660" s="1" t="str">
        <f ca="1">IFERROR(__xludf.DUMMYFUNCTION("""COMPUTED_VALUE"""),"Engineering with Computers")</f>
        <v>Engineering with Computers</v>
      </c>
      <c r="F660" s="1" t="str">
        <f ca="1">IFERROR(__xludf.DUMMYFUNCTION("""COMPUTED_VALUE"""),"1435-5663")</f>
        <v>1435-5663</v>
      </c>
      <c r="G660" s="1" t="str">
        <f ca="1">IFERROR(__xludf.DUMMYFUNCTION("""COMPUTED_VALUE"""),"0177-0667")</f>
        <v>0177-0667</v>
      </c>
      <c r="H660" s="27" t="str">
        <f ca="1">IFERROR(__xludf.DUMMYFUNCTION("""COMPUTED_VALUE"""),"https://link.springer.com/journal/366")</f>
        <v>https://link.springer.com/journal/366</v>
      </c>
      <c r="I660" s="1" t="str">
        <f ca="1">IFERROR(__xludf.DUMMYFUNCTION("""COMPUTED_VALUE"""),"Springer")</f>
        <v>Springer</v>
      </c>
      <c r="J660" s="1">
        <f ca="1">IFERROR(__xludf.DUMMYFUNCTION("""COMPUTED_VALUE"""),2000)</f>
        <v>2000</v>
      </c>
      <c r="K660" s="1" t="str">
        <f ca="1">IFERROR(__xludf.DUMMYFUNCTION("""COMPUTED_VALUE"""),"Computer Science")</f>
        <v>Computer Science</v>
      </c>
      <c r="L660" s="1" t="str">
        <f ca="1">IFERROR(__xludf.DUMMYFUNCTION("""COMPUTED_VALUE"""),"〇")</f>
        <v>〇</v>
      </c>
      <c r="M660" s="1" t="str">
        <f ca="1">IFERROR(__xludf.DUMMYFUNCTION("""COMPUTED_VALUE"""),"〇")</f>
        <v>〇</v>
      </c>
      <c r="N660" s="1"/>
      <c r="O660" s="1"/>
      <c r="P660" s="1"/>
    </row>
    <row r="661" spans="1:16" ht="14.25" customHeight="1" x14ac:dyDescent="0.25">
      <c r="A661" s="1"/>
      <c r="B661" s="1">
        <f ca="1"/>
        <v>649</v>
      </c>
      <c r="C661" s="1">
        <f ca="1">IFERROR(__xludf.DUMMYFUNCTION("""COMPUTED_VALUE"""),2023)</f>
        <v>2023</v>
      </c>
      <c r="D661" s="1">
        <f ca="1">IFERROR(__xludf.DUMMYFUNCTION("""COMPUTED_VALUE"""),42321)</f>
        <v>42321</v>
      </c>
      <c r="E661" s="1" t="str">
        <f ca="1">IFERROR(__xludf.DUMMYFUNCTION("""COMPUTED_VALUE"""),"English Teaching &amp; Learning")</f>
        <v>English Teaching &amp; Learning</v>
      </c>
      <c r="F661" s="1" t="str">
        <f ca="1">IFERROR(__xludf.DUMMYFUNCTION("""COMPUTED_VALUE"""),"2522-8560")</f>
        <v>2522-8560</v>
      </c>
      <c r="G661" s="1" t="str">
        <f ca="1">IFERROR(__xludf.DUMMYFUNCTION("""COMPUTED_VALUE"""),"1023-7267")</f>
        <v>1023-7267</v>
      </c>
      <c r="H661" s="27" t="str">
        <f ca="1">IFERROR(__xludf.DUMMYFUNCTION("""COMPUTED_VALUE"""),"https://link.springer.com/journal/42321")</f>
        <v>https://link.springer.com/journal/42321</v>
      </c>
      <c r="I661" s="1" t="str">
        <f ca="1">IFERROR(__xludf.DUMMYFUNCTION("""COMPUTED_VALUE"""),"Springer")</f>
        <v>Springer</v>
      </c>
      <c r="J661" s="1">
        <f ca="1">IFERROR(__xludf.DUMMYFUNCTION("""COMPUTED_VALUE"""),2018)</f>
        <v>2018</v>
      </c>
      <c r="K661" s="1" t="str">
        <f ca="1">IFERROR(__xludf.DUMMYFUNCTION("""COMPUTED_VALUE"""),"Education")</f>
        <v>Education</v>
      </c>
      <c r="L661" s="1" t="str">
        <f ca="1">IFERROR(__xludf.DUMMYFUNCTION("""COMPUTED_VALUE"""),"〇")</f>
        <v>〇</v>
      </c>
      <c r="M661" s="1"/>
      <c r="N661" s="1" t="str">
        <f ca="1">IFERROR(__xludf.DUMMYFUNCTION("""COMPUTED_VALUE"""),"TO18")</f>
        <v>TO18</v>
      </c>
      <c r="O661" s="1"/>
      <c r="P661" s="1"/>
    </row>
    <row r="662" spans="1:16" ht="14.25" customHeight="1" x14ac:dyDescent="0.25">
      <c r="A662" s="1"/>
      <c r="B662" s="1">
        <f ca="1"/>
        <v>650</v>
      </c>
      <c r="C662" s="1">
        <f ca="1">IFERROR(__xludf.DUMMYFUNCTION("""COMPUTED_VALUE"""),2023)</f>
        <v>2023</v>
      </c>
      <c r="D662" s="1">
        <f ca="1">IFERROR(__xludf.DUMMYFUNCTION("""COMPUTED_VALUE"""),11474)</f>
        <v>11474</v>
      </c>
      <c r="E662" s="1" t="str">
        <f ca="1">IFERROR(__xludf.DUMMYFUNCTION("""COMPUTED_VALUE"""),"Entomological Review")</f>
        <v>Entomological Review</v>
      </c>
      <c r="F662" s="1" t="str">
        <f ca="1">IFERROR(__xludf.DUMMYFUNCTION("""COMPUTED_VALUE"""),"1555-6689")</f>
        <v>1555-6689</v>
      </c>
      <c r="G662" s="1" t="str">
        <f ca="1">IFERROR(__xludf.DUMMYFUNCTION("""COMPUTED_VALUE"""),"0013-8738")</f>
        <v>0013-8738</v>
      </c>
      <c r="H662" s="27" t="str">
        <f ca="1">IFERROR(__xludf.DUMMYFUNCTION("""COMPUTED_VALUE"""),"https://link.springer.com/journal/11474")</f>
        <v>https://link.springer.com/journal/11474</v>
      </c>
      <c r="I662" s="1" t="str">
        <f ca="1">IFERROR(__xludf.DUMMYFUNCTION("""COMPUTED_VALUE"""),"Pleiades Publishing")</f>
        <v>Pleiades Publishing</v>
      </c>
      <c r="J662" s="1">
        <f ca="1">IFERROR(__xludf.DUMMYFUNCTION("""COMPUTED_VALUE"""),2006)</f>
        <v>2006</v>
      </c>
      <c r="K662" s="1" t="str">
        <f ca="1">IFERROR(__xludf.DUMMYFUNCTION("""COMPUTED_VALUE"""),"Biomedical and Life Sciences")</f>
        <v>Biomedical and Life Sciences</v>
      </c>
      <c r="L662" s="1" t="str">
        <f ca="1">IFERROR(__xludf.DUMMYFUNCTION("""COMPUTED_VALUE"""),"〇")</f>
        <v>〇</v>
      </c>
      <c r="M662" s="1" t="str">
        <f ca="1">IFERROR(__xludf.DUMMYFUNCTION("""COMPUTED_VALUE"""),"〇")</f>
        <v>〇</v>
      </c>
      <c r="N662" s="1"/>
      <c r="O662" s="1"/>
      <c r="P662" s="1"/>
    </row>
    <row r="663" spans="1:16" ht="14.25" customHeight="1" x14ac:dyDescent="0.25">
      <c r="A663" s="1"/>
      <c r="B663" s="1">
        <f ca="1"/>
        <v>651</v>
      </c>
      <c r="C663" s="1">
        <f ca="1">IFERROR(__xludf.DUMMYFUNCTION("""COMPUTED_VALUE"""),2023)</f>
        <v>2023</v>
      </c>
      <c r="D663" s="1">
        <f ca="1">IFERROR(__xludf.DUMMYFUNCTION("""COMPUTED_VALUE"""),41959)</f>
        <v>41959</v>
      </c>
      <c r="E663" s="1" t="str">
        <f ca="1">IFERROR(__xludf.DUMMYFUNCTION("""COMPUTED_VALUE"""),"Entrepreneurship Education")</f>
        <v>Entrepreneurship Education</v>
      </c>
      <c r="F663" s="1" t="str">
        <f ca="1">IFERROR(__xludf.DUMMYFUNCTION("""COMPUTED_VALUE"""),"2520-8152")</f>
        <v>2520-8152</v>
      </c>
      <c r="G663" s="1" t="str">
        <f ca="1">IFERROR(__xludf.DUMMYFUNCTION("""COMPUTED_VALUE"""),"2520-8144")</f>
        <v>2520-8144</v>
      </c>
      <c r="H663" s="27" t="str">
        <f ca="1">IFERROR(__xludf.DUMMYFUNCTION("""COMPUTED_VALUE"""),"https://link.springer.com/journal/41959")</f>
        <v>https://link.springer.com/journal/41959</v>
      </c>
      <c r="I663" s="1" t="str">
        <f ca="1">IFERROR(__xludf.DUMMYFUNCTION("""COMPUTED_VALUE"""),"Springer")</f>
        <v>Springer</v>
      </c>
      <c r="J663" s="1">
        <f ca="1">IFERROR(__xludf.DUMMYFUNCTION("""COMPUTED_VALUE"""),2018)</f>
        <v>2018</v>
      </c>
      <c r="K663" s="1" t="str">
        <f ca="1">IFERROR(__xludf.DUMMYFUNCTION("""COMPUTED_VALUE"""),"Education")</f>
        <v>Education</v>
      </c>
      <c r="L663" s="1" t="str">
        <f ca="1">IFERROR(__xludf.DUMMYFUNCTION("""COMPUTED_VALUE"""),"〇")</f>
        <v>〇</v>
      </c>
      <c r="M663" s="1"/>
      <c r="N663" s="1" t="str">
        <f ca="1">IFERROR(__xludf.DUMMYFUNCTION("""COMPUTED_VALUE"""),"SNS18")</f>
        <v>SNS18</v>
      </c>
      <c r="O663" s="1"/>
      <c r="P663" s="1"/>
    </row>
    <row r="664" spans="1:16" ht="14.25" customHeight="1" x14ac:dyDescent="0.25">
      <c r="A664" s="1"/>
      <c r="B664" s="1">
        <f ca="1"/>
        <v>652</v>
      </c>
      <c r="C664" s="1">
        <f ca="1">IFERROR(__xludf.DUMMYFUNCTION("""COMPUTED_VALUE"""),2023)</f>
        <v>2023</v>
      </c>
      <c r="D664" s="1">
        <f ca="1">IFERROR(__xludf.DUMMYFUNCTION("""COMPUTED_VALUE"""),10669)</f>
        <v>10669</v>
      </c>
      <c r="E664" s="1" t="str">
        <f ca="1">IFERROR(__xludf.DUMMYFUNCTION("""COMPUTED_VALUE"""),"Environment Systems and Decisions")</f>
        <v>Environment Systems and Decisions</v>
      </c>
      <c r="F664" s="1" t="str">
        <f ca="1">IFERROR(__xludf.DUMMYFUNCTION("""COMPUTED_VALUE"""),"2194-5411")</f>
        <v>2194-5411</v>
      </c>
      <c r="G664" s="1" t="str">
        <f ca="1">IFERROR(__xludf.DUMMYFUNCTION("""COMPUTED_VALUE"""),"2194-5403")</f>
        <v>2194-5403</v>
      </c>
      <c r="H664" s="27" t="str">
        <f ca="1">IFERROR(__xludf.DUMMYFUNCTION("""COMPUTED_VALUE"""),"https://link.springer.com/journal/10669")</f>
        <v>https://link.springer.com/journal/10669</v>
      </c>
      <c r="I664" s="1" t="str">
        <f ca="1">IFERROR(__xludf.DUMMYFUNCTION("""COMPUTED_VALUE"""),"Springer")</f>
        <v>Springer</v>
      </c>
      <c r="J664" s="1">
        <f ca="1">IFERROR(__xludf.DUMMYFUNCTION("""COMPUTED_VALUE"""),2000)</f>
        <v>2000</v>
      </c>
      <c r="K664" s="1" t="str">
        <f ca="1">IFERROR(__xludf.DUMMYFUNCTION("""COMPUTED_VALUE"""),"Earth and Environmental Science")</f>
        <v>Earth and Environmental Science</v>
      </c>
      <c r="L664" s="1" t="str">
        <f ca="1">IFERROR(__xludf.DUMMYFUNCTION("""COMPUTED_VALUE"""),"〇")</f>
        <v>〇</v>
      </c>
      <c r="M664" s="1" t="str">
        <f ca="1">IFERROR(__xludf.DUMMYFUNCTION("""COMPUTED_VALUE"""),"〇")</f>
        <v>〇</v>
      </c>
      <c r="N664" s="1"/>
      <c r="O664" s="1"/>
      <c r="P664" s="1"/>
    </row>
    <row r="665" spans="1:16" ht="14.25" customHeight="1" x14ac:dyDescent="0.25">
      <c r="A665" s="1"/>
      <c r="B665" s="1">
        <f ca="1"/>
        <v>653</v>
      </c>
      <c r="C665" s="1">
        <f ca="1">IFERROR(__xludf.DUMMYFUNCTION("""COMPUTED_VALUE"""),2023)</f>
        <v>2023</v>
      </c>
      <c r="D665" s="1">
        <f ca="1">IFERROR(__xludf.DUMMYFUNCTION("""COMPUTED_VALUE"""),10668)</f>
        <v>10668</v>
      </c>
      <c r="E665" s="1" t="str">
        <f ca="1">IFERROR(__xludf.DUMMYFUNCTION("""COMPUTED_VALUE"""),"Environment, Development and Sustainability")</f>
        <v>Environment, Development and Sustainability</v>
      </c>
      <c r="F665" s="1" t="str">
        <f ca="1">IFERROR(__xludf.DUMMYFUNCTION("""COMPUTED_VALUE"""),"1573-2975")</f>
        <v>1573-2975</v>
      </c>
      <c r="G665" s="1" t="str">
        <f ca="1">IFERROR(__xludf.DUMMYFUNCTION("""COMPUTED_VALUE"""),"1387-585X")</f>
        <v>1387-585X</v>
      </c>
      <c r="H665" s="27" t="str">
        <f ca="1">IFERROR(__xludf.DUMMYFUNCTION("""COMPUTED_VALUE"""),"https://link.springer.com/journal/10668")</f>
        <v>https://link.springer.com/journal/10668</v>
      </c>
      <c r="I665" s="1" t="str">
        <f ca="1">IFERROR(__xludf.DUMMYFUNCTION("""COMPUTED_VALUE"""),"Springer")</f>
        <v>Springer</v>
      </c>
      <c r="J665" s="1">
        <f ca="1">IFERROR(__xludf.DUMMYFUNCTION("""COMPUTED_VALUE"""),2000)</f>
        <v>2000</v>
      </c>
      <c r="K665" s="1" t="str">
        <f ca="1">IFERROR(__xludf.DUMMYFUNCTION("""COMPUTED_VALUE"""),"Earth and Environmental Science")</f>
        <v>Earth and Environmental Science</v>
      </c>
      <c r="L665" s="1" t="str">
        <f ca="1">IFERROR(__xludf.DUMMYFUNCTION("""COMPUTED_VALUE"""),"〇")</f>
        <v>〇</v>
      </c>
      <c r="M665" s="1" t="str">
        <f ca="1">IFERROR(__xludf.DUMMYFUNCTION("""COMPUTED_VALUE"""),"〇")</f>
        <v>〇</v>
      </c>
      <c r="N665" s="1"/>
      <c r="O665" s="1"/>
      <c r="P665" s="1"/>
    </row>
    <row r="666" spans="1:16" ht="14.25" customHeight="1" x14ac:dyDescent="0.25">
      <c r="A666" s="1"/>
      <c r="B666" s="1">
        <f ca="1"/>
        <v>654</v>
      </c>
      <c r="C666" s="1">
        <f ca="1">IFERROR(__xludf.DUMMYFUNCTION("""COMPUTED_VALUE"""),2023)</f>
        <v>2023</v>
      </c>
      <c r="D666" s="1">
        <f ca="1">IFERROR(__xludf.DUMMYFUNCTION("""COMPUTED_VALUE"""),10651)</f>
        <v>10651</v>
      </c>
      <c r="E666" s="1" t="str">
        <f ca="1">IFERROR(__xludf.DUMMYFUNCTION("""COMPUTED_VALUE"""),"Environmental and Ecological Statistics")</f>
        <v>Environmental and Ecological Statistics</v>
      </c>
      <c r="F666" s="1" t="str">
        <f ca="1">IFERROR(__xludf.DUMMYFUNCTION("""COMPUTED_VALUE"""),"1573-3009")</f>
        <v>1573-3009</v>
      </c>
      <c r="G666" s="1" t="str">
        <f ca="1">IFERROR(__xludf.DUMMYFUNCTION("""COMPUTED_VALUE"""),"1352-8505")</f>
        <v>1352-8505</v>
      </c>
      <c r="H666" s="27" t="str">
        <f ca="1">IFERROR(__xludf.DUMMYFUNCTION("""COMPUTED_VALUE"""),"https://link.springer.com/journal/10651")</f>
        <v>https://link.springer.com/journal/10651</v>
      </c>
      <c r="I666" s="1" t="str">
        <f ca="1">IFERROR(__xludf.DUMMYFUNCTION("""COMPUTED_VALUE"""),"Springer")</f>
        <v>Springer</v>
      </c>
      <c r="J666" s="1">
        <f ca="1">IFERROR(__xludf.DUMMYFUNCTION("""COMPUTED_VALUE"""),2000)</f>
        <v>2000</v>
      </c>
      <c r="K666" s="1" t="str">
        <f ca="1">IFERROR(__xludf.DUMMYFUNCTION("""COMPUTED_VALUE"""),"Biomedical and Life Sciences")</f>
        <v>Biomedical and Life Sciences</v>
      </c>
      <c r="L666" s="1" t="str">
        <f ca="1">IFERROR(__xludf.DUMMYFUNCTION("""COMPUTED_VALUE"""),"〇")</f>
        <v>〇</v>
      </c>
      <c r="M666" s="1" t="str">
        <f ca="1">IFERROR(__xludf.DUMMYFUNCTION("""COMPUTED_VALUE"""),"〇")</f>
        <v>〇</v>
      </c>
      <c r="N666" s="1"/>
      <c r="O666" s="1"/>
      <c r="P666" s="1"/>
    </row>
    <row r="667" spans="1:16" ht="14.25" customHeight="1" x14ac:dyDescent="0.25">
      <c r="A667" s="1"/>
      <c r="B667" s="1">
        <f ca="1"/>
        <v>655</v>
      </c>
      <c r="C667" s="1">
        <f ca="1">IFERROR(__xludf.DUMMYFUNCTION("""COMPUTED_VALUE"""),2023)</f>
        <v>2023</v>
      </c>
      <c r="D667" s="1">
        <f ca="1">IFERROR(__xludf.DUMMYFUNCTION("""COMPUTED_VALUE"""),10640)</f>
        <v>10640</v>
      </c>
      <c r="E667" s="1" t="str">
        <f ca="1">IFERROR(__xludf.DUMMYFUNCTION("""COMPUTED_VALUE"""),"Environmental and Resource Economics")</f>
        <v>Environmental and Resource Economics</v>
      </c>
      <c r="F667" s="1" t="str">
        <f ca="1">IFERROR(__xludf.DUMMYFUNCTION("""COMPUTED_VALUE"""),"1573-1502")</f>
        <v>1573-1502</v>
      </c>
      <c r="G667" s="1" t="str">
        <f ca="1">IFERROR(__xludf.DUMMYFUNCTION("""COMPUTED_VALUE"""),"0924-6460")</f>
        <v>0924-6460</v>
      </c>
      <c r="H667" s="27" t="str">
        <f ca="1">IFERROR(__xludf.DUMMYFUNCTION("""COMPUTED_VALUE"""),"https://link.springer.com/journal/10640")</f>
        <v>https://link.springer.com/journal/10640</v>
      </c>
      <c r="I667" s="1" t="str">
        <f ca="1">IFERROR(__xludf.DUMMYFUNCTION("""COMPUTED_VALUE"""),"Springer")</f>
        <v>Springer</v>
      </c>
      <c r="J667" s="1">
        <f ca="1">IFERROR(__xludf.DUMMYFUNCTION("""COMPUTED_VALUE"""),2000)</f>
        <v>2000</v>
      </c>
      <c r="K667" s="1" t="str">
        <f ca="1">IFERROR(__xludf.DUMMYFUNCTION("""COMPUTED_VALUE"""),"Economics and Finance")</f>
        <v>Economics and Finance</v>
      </c>
      <c r="L667" s="1" t="str">
        <f ca="1">IFERROR(__xludf.DUMMYFUNCTION("""COMPUTED_VALUE"""),"〇")</f>
        <v>〇</v>
      </c>
      <c r="M667" s="1" t="str">
        <f ca="1">IFERROR(__xludf.DUMMYFUNCTION("""COMPUTED_VALUE"""),"〇")</f>
        <v>〇</v>
      </c>
      <c r="N667" s="1"/>
      <c r="O667" s="1"/>
      <c r="P667" s="1"/>
    </row>
    <row r="668" spans="1:16" ht="14.25" customHeight="1" x14ac:dyDescent="0.25">
      <c r="A668" s="1"/>
      <c r="B668" s="1">
        <f ca="1"/>
        <v>656</v>
      </c>
      <c r="C668" s="1">
        <f ca="1">IFERROR(__xludf.DUMMYFUNCTION("""COMPUTED_VALUE"""),2023)</f>
        <v>2023</v>
      </c>
      <c r="D668" s="1">
        <f ca="1">IFERROR(__xludf.DUMMYFUNCTION("""COMPUTED_VALUE"""),10641)</f>
        <v>10641</v>
      </c>
      <c r="E668" s="1" t="str">
        <f ca="1">IFERROR(__xludf.DUMMYFUNCTION("""COMPUTED_VALUE"""),"Environmental Biology of Fishes")</f>
        <v>Environmental Biology of Fishes</v>
      </c>
      <c r="F668" s="1" t="str">
        <f ca="1">IFERROR(__xludf.DUMMYFUNCTION("""COMPUTED_VALUE"""),"1573-5133")</f>
        <v>1573-5133</v>
      </c>
      <c r="G668" s="1" t="str">
        <f ca="1">IFERROR(__xludf.DUMMYFUNCTION("""COMPUTED_VALUE"""),"0378-1909")</f>
        <v>0378-1909</v>
      </c>
      <c r="H668" s="27" t="str">
        <f ca="1">IFERROR(__xludf.DUMMYFUNCTION("""COMPUTED_VALUE"""),"https://link.springer.com/journal/10641")</f>
        <v>https://link.springer.com/journal/10641</v>
      </c>
      <c r="I668" s="1" t="str">
        <f ca="1">IFERROR(__xludf.DUMMYFUNCTION("""COMPUTED_VALUE"""),"Springer")</f>
        <v>Springer</v>
      </c>
      <c r="J668" s="1">
        <f ca="1">IFERROR(__xludf.DUMMYFUNCTION("""COMPUTED_VALUE"""),2000)</f>
        <v>2000</v>
      </c>
      <c r="K668" s="1" t="str">
        <f ca="1">IFERROR(__xludf.DUMMYFUNCTION("""COMPUTED_VALUE"""),"Biomedical and Life Sciences")</f>
        <v>Biomedical and Life Sciences</v>
      </c>
      <c r="L668" s="1" t="str">
        <f ca="1">IFERROR(__xludf.DUMMYFUNCTION("""COMPUTED_VALUE"""),"〇")</f>
        <v>〇</v>
      </c>
      <c r="M668" s="1" t="str">
        <f ca="1">IFERROR(__xludf.DUMMYFUNCTION("""COMPUTED_VALUE"""),"〇")</f>
        <v>〇</v>
      </c>
      <c r="N668" s="1"/>
      <c r="O668" s="1"/>
      <c r="P668" s="1"/>
    </row>
    <row r="669" spans="1:16" ht="14.25" customHeight="1" x14ac:dyDescent="0.25">
      <c r="A669" s="1"/>
      <c r="B669" s="1">
        <f ca="1"/>
        <v>657</v>
      </c>
      <c r="C669" s="1">
        <f ca="1">IFERROR(__xludf.DUMMYFUNCTION("""COMPUTED_VALUE"""),2023)</f>
        <v>2023</v>
      </c>
      <c r="D669" s="1">
        <f ca="1">IFERROR(__xludf.DUMMYFUNCTION("""COMPUTED_VALUE"""),10311)</f>
        <v>10311</v>
      </c>
      <c r="E669" s="1" t="str">
        <f ca="1">IFERROR(__xludf.DUMMYFUNCTION("""COMPUTED_VALUE"""),"Environmental Chemistry Letters")</f>
        <v>Environmental Chemistry Letters</v>
      </c>
      <c r="F669" s="1" t="str">
        <f ca="1">IFERROR(__xludf.DUMMYFUNCTION("""COMPUTED_VALUE"""),"1610-3661")</f>
        <v>1610-3661</v>
      </c>
      <c r="G669" s="1" t="str">
        <f ca="1">IFERROR(__xludf.DUMMYFUNCTION("""COMPUTED_VALUE"""),"1610-3653")</f>
        <v>1610-3653</v>
      </c>
      <c r="H669" s="27" t="str">
        <f ca="1">IFERROR(__xludf.DUMMYFUNCTION("""COMPUTED_VALUE"""),"https://link.springer.com/journal/10311")</f>
        <v>https://link.springer.com/journal/10311</v>
      </c>
      <c r="I669" s="1" t="str">
        <f ca="1">IFERROR(__xludf.DUMMYFUNCTION("""COMPUTED_VALUE"""),"Springer")</f>
        <v>Springer</v>
      </c>
      <c r="J669" s="1">
        <f ca="1">IFERROR(__xludf.DUMMYFUNCTION("""COMPUTED_VALUE"""),2003)</f>
        <v>2003</v>
      </c>
      <c r="K669" s="1" t="str">
        <f ca="1">IFERROR(__xludf.DUMMYFUNCTION("""COMPUTED_VALUE"""),"Earth and Environmental Science")</f>
        <v>Earth and Environmental Science</v>
      </c>
      <c r="L669" s="1" t="str">
        <f ca="1">IFERROR(__xludf.DUMMYFUNCTION("""COMPUTED_VALUE"""),"〇")</f>
        <v>〇</v>
      </c>
      <c r="M669" s="1" t="str">
        <f ca="1">IFERROR(__xludf.DUMMYFUNCTION("""COMPUTED_VALUE"""),"〇")</f>
        <v>〇</v>
      </c>
      <c r="N669" s="1"/>
      <c r="O669" s="1"/>
      <c r="P669" s="1"/>
    </row>
    <row r="670" spans="1:16" ht="14.25" customHeight="1" x14ac:dyDescent="0.25">
      <c r="A670" s="1"/>
      <c r="B670" s="1">
        <f ca="1"/>
        <v>658</v>
      </c>
      <c r="C670" s="1">
        <f ca="1">IFERROR(__xludf.DUMMYFUNCTION("""COMPUTED_VALUE"""),2023)</f>
        <v>2023</v>
      </c>
      <c r="D670" s="1">
        <f ca="1">IFERROR(__xludf.DUMMYFUNCTION("""COMPUTED_VALUE"""),12665)</f>
        <v>12665</v>
      </c>
      <c r="E670" s="1" t="str">
        <f ca="1">IFERROR(__xludf.DUMMYFUNCTION("""COMPUTED_VALUE"""),"Environmental Earth Sciences")</f>
        <v>Environmental Earth Sciences</v>
      </c>
      <c r="F670" s="1" t="str">
        <f ca="1">IFERROR(__xludf.DUMMYFUNCTION("""COMPUTED_VALUE"""),"1866-6299")</f>
        <v>1866-6299</v>
      </c>
      <c r="G670" s="1" t="str">
        <f ca="1">IFERROR(__xludf.DUMMYFUNCTION("""COMPUTED_VALUE"""),"1866-6280")</f>
        <v>1866-6280</v>
      </c>
      <c r="H670" s="27" t="str">
        <f ca="1">IFERROR(__xludf.DUMMYFUNCTION("""COMPUTED_VALUE"""),"https://link.springer.com/journal/12665")</f>
        <v>https://link.springer.com/journal/12665</v>
      </c>
      <c r="I670" s="1" t="str">
        <f ca="1">IFERROR(__xludf.DUMMYFUNCTION("""COMPUTED_VALUE"""),"Springer")</f>
        <v>Springer</v>
      </c>
      <c r="J670" s="1">
        <f ca="1">IFERROR(__xludf.DUMMYFUNCTION("""COMPUTED_VALUE"""),2009)</f>
        <v>2009</v>
      </c>
      <c r="K670" s="1" t="str">
        <f ca="1">IFERROR(__xludf.DUMMYFUNCTION("""COMPUTED_VALUE"""),"Earth and Environmental Science")</f>
        <v>Earth and Environmental Science</v>
      </c>
      <c r="L670" s="1" t="str">
        <f ca="1">IFERROR(__xludf.DUMMYFUNCTION("""COMPUTED_VALUE"""),"〇")</f>
        <v>〇</v>
      </c>
      <c r="M670" s="1" t="str">
        <f ca="1">IFERROR(__xludf.DUMMYFUNCTION("""COMPUTED_VALUE"""),"〇")</f>
        <v>〇</v>
      </c>
      <c r="N670" s="1"/>
      <c r="O670" s="1"/>
      <c r="P670" s="1"/>
    </row>
    <row r="671" spans="1:16" ht="14.25" customHeight="1" x14ac:dyDescent="0.25">
      <c r="A671" s="1"/>
      <c r="B671" s="1">
        <f ca="1"/>
        <v>659</v>
      </c>
      <c r="C671" s="1">
        <f ca="1">IFERROR(__xludf.DUMMYFUNCTION("""COMPUTED_VALUE"""),2023)</f>
        <v>2023</v>
      </c>
      <c r="D671" s="1">
        <f ca="1">IFERROR(__xludf.DUMMYFUNCTION("""COMPUTED_VALUE"""),10018)</f>
        <v>10018</v>
      </c>
      <c r="E671" s="1" t="str">
        <f ca="1">IFERROR(__xludf.DUMMYFUNCTION("""COMPUTED_VALUE"""),"Environmental Economics and Policy Studies")</f>
        <v>Environmental Economics and Policy Studies</v>
      </c>
      <c r="F671" s="1" t="str">
        <f ca="1">IFERROR(__xludf.DUMMYFUNCTION("""COMPUTED_VALUE"""),"1867-383X")</f>
        <v>1867-383X</v>
      </c>
      <c r="G671" s="1" t="str">
        <f ca="1">IFERROR(__xludf.DUMMYFUNCTION("""COMPUTED_VALUE"""),"1432-847X")</f>
        <v>1432-847X</v>
      </c>
      <c r="H671" s="27" t="str">
        <f ca="1">IFERROR(__xludf.DUMMYFUNCTION("""COMPUTED_VALUE"""),"https://link.springer.com/journal/10018")</f>
        <v>https://link.springer.com/journal/10018</v>
      </c>
      <c r="I671" s="1" t="str">
        <f ca="1">IFERROR(__xludf.DUMMYFUNCTION("""COMPUTED_VALUE"""),"Springer")</f>
        <v>Springer</v>
      </c>
      <c r="J671" s="1">
        <f ca="1">IFERROR(__xludf.DUMMYFUNCTION("""COMPUTED_VALUE"""),2000)</f>
        <v>2000</v>
      </c>
      <c r="K671" s="1" t="str">
        <f ca="1">IFERROR(__xludf.DUMMYFUNCTION("""COMPUTED_VALUE"""),"Economics and Finance")</f>
        <v>Economics and Finance</v>
      </c>
      <c r="L671" s="1" t="str">
        <f ca="1">IFERROR(__xludf.DUMMYFUNCTION("""COMPUTED_VALUE"""),"〇")</f>
        <v>〇</v>
      </c>
      <c r="M671" s="1" t="str">
        <f ca="1">IFERROR(__xludf.DUMMYFUNCTION("""COMPUTED_VALUE"""),"〇")</f>
        <v>〇</v>
      </c>
      <c r="N671" s="1"/>
      <c r="O671" s="1"/>
      <c r="P671" s="1"/>
    </row>
    <row r="672" spans="1:16" ht="14.25" customHeight="1" x14ac:dyDescent="0.25">
      <c r="A672" s="1"/>
      <c r="B672" s="1">
        <f ca="1"/>
        <v>660</v>
      </c>
      <c r="C672" s="1">
        <f ca="1">IFERROR(__xludf.DUMMYFUNCTION("""COMPUTED_VALUE"""),2023)</f>
        <v>2023</v>
      </c>
      <c r="D672" s="1">
        <f ca="1">IFERROR(__xludf.DUMMYFUNCTION("""COMPUTED_VALUE"""),10652)</f>
        <v>10652</v>
      </c>
      <c r="E672" s="1" t="str">
        <f ca="1">IFERROR(__xludf.DUMMYFUNCTION("""COMPUTED_VALUE"""),"Environmental Fluid Mechanics")</f>
        <v>Environmental Fluid Mechanics</v>
      </c>
      <c r="F672" s="1" t="str">
        <f ca="1">IFERROR(__xludf.DUMMYFUNCTION("""COMPUTED_VALUE"""),"1573-1510")</f>
        <v>1573-1510</v>
      </c>
      <c r="G672" s="1" t="str">
        <f ca="1">IFERROR(__xludf.DUMMYFUNCTION("""COMPUTED_VALUE"""),"1567-7419")</f>
        <v>1567-7419</v>
      </c>
      <c r="H672" s="27" t="str">
        <f ca="1">IFERROR(__xludf.DUMMYFUNCTION("""COMPUTED_VALUE"""),"https://link.springer.com/journal/10652")</f>
        <v>https://link.springer.com/journal/10652</v>
      </c>
      <c r="I672" s="1" t="str">
        <f ca="1">IFERROR(__xludf.DUMMYFUNCTION("""COMPUTED_VALUE"""),"Springer")</f>
        <v>Springer</v>
      </c>
      <c r="J672" s="1">
        <f ca="1">IFERROR(__xludf.DUMMYFUNCTION("""COMPUTED_VALUE"""),2001)</f>
        <v>2001</v>
      </c>
      <c r="K672" s="1" t="str">
        <f ca="1">IFERROR(__xludf.DUMMYFUNCTION("""COMPUTED_VALUE"""),"Earth and Environmental Science")</f>
        <v>Earth and Environmental Science</v>
      </c>
      <c r="L672" s="1" t="str">
        <f ca="1">IFERROR(__xludf.DUMMYFUNCTION("""COMPUTED_VALUE"""),"〇")</f>
        <v>〇</v>
      </c>
      <c r="M672" s="1" t="str">
        <f ca="1">IFERROR(__xludf.DUMMYFUNCTION("""COMPUTED_VALUE"""),"〇")</f>
        <v>〇</v>
      </c>
      <c r="N672" s="1"/>
      <c r="O672" s="1"/>
      <c r="P672" s="1"/>
    </row>
    <row r="673" spans="1:16" ht="14.25" customHeight="1" x14ac:dyDescent="0.25">
      <c r="A673" s="1"/>
      <c r="B673" s="1">
        <f ca="1"/>
        <v>661</v>
      </c>
      <c r="C673" s="1">
        <f ca="1">IFERROR(__xludf.DUMMYFUNCTION("""COMPUTED_VALUE"""),2023)</f>
        <v>2023</v>
      </c>
      <c r="D673" s="1">
        <f ca="1">IFERROR(__xludf.DUMMYFUNCTION("""COMPUTED_VALUE"""),10653)</f>
        <v>10653</v>
      </c>
      <c r="E673" s="1" t="str">
        <f ca="1">IFERROR(__xludf.DUMMYFUNCTION("""COMPUTED_VALUE"""),"Environmental Geochemistry and Health")</f>
        <v>Environmental Geochemistry and Health</v>
      </c>
      <c r="F673" s="1" t="str">
        <f ca="1">IFERROR(__xludf.DUMMYFUNCTION("""COMPUTED_VALUE"""),"1573-2983")</f>
        <v>1573-2983</v>
      </c>
      <c r="G673" s="1" t="str">
        <f ca="1">IFERROR(__xludf.DUMMYFUNCTION("""COMPUTED_VALUE"""),"0269-4042")</f>
        <v>0269-4042</v>
      </c>
      <c r="H673" s="27" t="str">
        <f ca="1">IFERROR(__xludf.DUMMYFUNCTION("""COMPUTED_VALUE"""),"https://link.springer.com/journal/10653")</f>
        <v>https://link.springer.com/journal/10653</v>
      </c>
      <c r="I673" s="1" t="str">
        <f ca="1">IFERROR(__xludf.DUMMYFUNCTION("""COMPUTED_VALUE"""),"Springer")</f>
        <v>Springer</v>
      </c>
      <c r="J673" s="1">
        <f ca="1">IFERROR(__xludf.DUMMYFUNCTION("""COMPUTED_VALUE"""),2000)</f>
        <v>2000</v>
      </c>
      <c r="K673" s="1" t="str">
        <f ca="1">IFERROR(__xludf.DUMMYFUNCTION("""COMPUTED_VALUE"""),"Earth and Environmental Science")</f>
        <v>Earth and Environmental Science</v>
      </c>
      <c r="L673" s="1" t="str">
        <f ca="1">IFERROR(__xludf.DUMMYFUNCTION("""COMPUTED_VALUE"""),"〇")</f>
        <v>〇</v>
      </c>
      <c r="M673" s="1" t="str">
        <f ca="1">IFERROR(__xludf.DUMMYFUNCTION("""COMPUTED_VALUE"""),"〇")</f>
        <v>〇</v>
      </c>
      <c r="N673" s="1"/>
      <c r="O673" s="1"/>
      <c r="P673" s="1"/>
    </row>
    <row r="674" spans="1:16" ht="14.25" customHeight="1" x14ac:dyDescent="0.25">
      <c r="A674" s="1"/>
      <c r="B674" s="1">
        <f ca="1"/>
        <v>662</v>
      </c>
      <c r="C674" s="1">
        <f ca="1">IFERROR(__xludf.DUMMYFUNCTION("""COMPUTED_VALUE"""),2023)</f>
        <v>2023</v>
      </c>
      <c r="D674" s="1">
        <f ca="1">IFERROR(__xludf.DUMMYFUNCTION("""COMPUTED_VALUE"""),267)</f>
        <v>267</v>
      </c>
      <c r="E674" s="1" t="str">
        <f ca="1">IFERROR(__xludf.DUMMYFUNCTION("""COMPUTED_VALUE"""),"Environmental Management")</f>
        <v>Environmental Management</v>
      </c>
      <c r="F674" s="1" t="str">
        <f ca="1">IFERROR(__xludf.DUMMYFUNCTION("""COMPUTED_VALUE"""),"1432-1009")</f>
        <v>1432-1009</v>
      </c>
      <c r="G674" s="1" t="str">
        <f ca="1">IFERROR(__xludf.DUMMYFUNCTION("""COMPUTED_VALUE"""),"0364-152X")</f>
        <v>0364-152X</v>
      </c>
      <c r="H674" s="27" t="str">
        <f ca="1">IFERROR(__xludf.DUMMYFUNCTION("""COMPUTED_VALUE"""),"https://link.springer.com/journal/267")</f>
        <v>https://link.springer.com/journal/267</v>
      </c>
      <c r="I674" s="1" t="str">
        <f ca="1">IFERROR(__xludf.DUMMYFUNCTION("""COMPUTED_VALUE"""),"Springer")</f>
        <v>Springer</v>
      </c>
      <c r="J674" s="1">
        <f ca="1">IFERROR(__xludf.DUMMYFUNCTION("""COMPUTED_VALUE"""),2000)</f>
        <v>2000</v>
      </c>
      <c r="K674" s="1" t="str">
        <f ca="1">IFERROR(__xludf.DUMMYFUNCTION("""COMPUTED_VALUE"""),"Earth and Environmental Science")</f>
        <v>Earth and Environmental Science</v>
      </c>
      <c r="L674" s="1" t="str">
        <f ca="1">IFERROR(__xludf.DUMMYFUNCTION("""COMPUTED_VALUE"""),"〇")</f>
        <v>〇</v>
      </c>
      <c r="M674" s="1" t="str">
        <f ca="1">IFERROR(__xludf.DUMMYFUNCTION("""COMPUTED_VALUE"""),"〇")</f>
        <v>〇</v>
      </c>
      <c r="N674" s="1"/>
      <c r="O674" s="1"/>
      <c r="P674" s="1"/>
    </row>
    <row r="675" spans="1:16" ht="14.25" customHeight="1" x14ac:dyDescent="0.25">
      <c r="A675" s="1"/>
      <c r="B675" s="1">
        <f ca="1"/>
        <v>663</v>
      </c>
      <c r="C675" s="1">
        <f ca="1">IFERROR(__xludf.DUMMYFUNCTION("""COMPUTED_VALUE"""),2023)</f>
        <v>2023</v>
      </c>
      <c r="D675" s="1">
        <f ca="1">IFERROR(__xludf.DUMMYFUNCTION("""COMPUTED_VALUE"""),10666)</f>
        <v>10666</v>
      </c>
      <c r="E675" s="1" t="str">
        <f ca="1">IFERROR(__xludf.DUMMYFUNCTION("""COMPUTED_VALUE"""),"Environmental Modeling &amp; Assessment")</f>
        <v>Environmental Modeling &amp; Assessment</v>
      </c>
      <c r="F675" s="1" t="str">
        <f ca="1">IFERROR(__xludf.DUMMYFUNCTION("""COMPUTED_VALUE"""),"1573-2967")</f>
        <v>1573-2967</v>
      </c>
      <c r="G675" s="1" t="str">
        <f ca="1">IFERROR(__xludf.DUMMYFUNCTION("""COMPUTED_VALUE"""),"1420-2026")</f>
        <v>1420-2026</v>
      </c>
      <c r="H675" s="27" t="str">
        <f ca="1">IFERROR(__xludf.DUMMYFUNCTION("""COMPUTED_VALUE"""),"https://link.springer.com/journal/10666")</f>
        <v>https://link.springer.com/journal/10666</v>
      </c>
      <c r="I675" s="1" t="str">
        <f ca="1">IFERROR(__xludf.DUMMYFUNCTION("""COMPUTED_VALUE"""),"Springer")</f>
        <v>Springer</v>
      </c>
      <c r="J675" s="1">
        <f ca="1">IFERROR(__xludf.DUMMYFUNCTION("""COMPUTED_VALUE"""),2000)</f>
        <v>2000</v>
      </c>
      <c r="K675" s="1" t="str">
        <f ca="1">IFERROR(__xludf.DUMMYFUNCTION("""COMPUTED_VALUE"""),"Earth and Environmental Science")</f>
        <v>Earth and Environmental Science</v>
      </c>
      <c r="L675" s="1" t="str">
        <f ca="1">IFERROR(__xludf.DUMMYFUNCTION("""COMPUTED_VALUE"""),"〇")</f>
        <v>〇</v>
      </c>
      <c r="M675" s="1" t="str">
        <f ca="1">IFERROR(__xludf.DUMMYFUNCTION("""COMPUTED_VALUE"""),"〇")</f>
        <v>〇</v>
      </c>
      <c r="N675" s="1"/>
      <c r="O675" s="1"/>
      <c r="P675" s="1"/>
    </row>
    <row r="676" spans="1:16" ht="14.25" customHeight="1" x14ac:dyDescent="0.25">
      <c r="A676" s="1"/>
      <c r="B676" s="1">
        <f ca="1"/>
        <v>664</v>
      </c>
      <c r="C676" s="1">
        <f ca="1">IFERROR(__xludf.DUMMYFUNCTION("""COMPUTED_VALUE"""),2023)</f>
        <v>2023</v>
      </c>
      <c r="D676" s="1">
        <f ca="1">IFERROR(__xludf.DUMMYFUNCTION("""COMPUTED_VALUE"""),10661)</f>
        <v>10661</v>
      </c>
      <c r="E676" s="1" t="str">
        <f ca="1">IFERROR(__xludf.DUMMYFUNCTION("""COMPUTED_VALUE"""),"Environmental Monitoring and Assessment")</f>
        <v>Environmental Monitoring and Assessment</v>
      </c>
      <c r="F676" s="1" t="str">
        <f ca="1">IFERROR(__xludf.DUMMYFUNCTION("""COMPUTED_VALUE"""),"1573-2959")</f>
        <v>1573-2959</v>
      </c>
      <c r="G676" s="1" t="str">
        <f ca="1">IFERROR(__xludf.DUMMYFUNCTION("""COMPUTED_VALUE"""),"0167-6369")</f>
        <v>0167-6369</v>
      </c>
      <c r="H676" s="27" t="str">
        <f ca="1">IFERROR(__xludf.DUMMYFUNCTION("""COMPUTED_VALUE"""),"https://link.springer.com/journal/10661")</f>
        <v>https://link.springer.com/journal/10661</v>
      </c>
      <c r="I676" s="1" t="str">
        <f ca="1">IFERROR(__xludf.DUMMYFUNCTION("""COMPUTED_VALUE"""),"Springer")</f>
        <v>Springer</v>
      </c>
      <c r="J676" s="1">
        <f ca="1">IFERROR(__xludf.DUMMYFUNCTION("""COMPUTED_VALUE"""),2000)</f>
        <v>2000</v>
      </c>
      <c r="K676" s="1" t="str">
        <f ca="1">IFERROR(__xludf.DUMMYFUNCTION("""COMPUTED_VALUE"""),"Earth and Environmental Science")</f>
        <v>Earth and Environmental Science</v>
      </c>
      <c r="L676" s="1" t="str">
        <f ca="1">IFERROR(__xludf.DUMMYFUNCTION("""COMPUTED_VALUE"""),"〇")</f>
        <v>〇</v>
      </c>
      <c r="M676" s="1" t="str">
        <f ca="1">IFERROR(__xludf.DUMMYFUNCTION("""COMPUTED_VALUE"""),"〇")</f>
        <v>〇</v>
      </c>
      <c r="N676" s="1"/>
      <c r="O676" s="1"/>
      <c r="P676" s="1"/>
    </row>
    <row r="677" spans="1:16" ht="14.25" customHeight="1" x14ac:dyDescent="0.25">
      <c r="A677" s="1"/>
      <c r="B677" s="1">
        <f ca="1"/>
        <v>665</v>
      </c>
      <c r="C677" s="1">
        <f ca="1">IFERROR(__xludf.DUMMYFUNCTION("""COMPUTED_VALUE"""),2023)</f>
        <v>2023</v>
      </c>
      <c r="D677" s="1">
        <f ca="1">IFERROR(__xludf.DUMMYFUNCTION("""COMPUTED_VALUE"""),40710)</f>
        <v>40710</v>
      </c>
      <c r="E677" s="1" t="str">
        <f ca="1">IFERROR(__xludf.DUMMYFUNCTION("""COMPUTED_VALUE"""),"Environmental Processes")</f>
        <v>Environmental Processes</v>
      </c>
      <c r="F677" s="1" t="str">
        <f ca="1">IFERROR(__xludf.DUMMYFUNCTION("""COMPUTED_VALUE"""),"2198-7505")</f>
        <v>2198-7505</v>
      </c>
      <c r="G677" s="1" t="str">
        <f ca="1">IFERROR(__xludf.DUMMYFUNCTION("""COMPUTED_VALUE"""),"2198-7491")</f>
        <v>2198-7491</v>
      </c>
      <c r="H677" s="27" t="str">
        <f ca="1">IFERROR(__xludf.DUMMYFUNCTION("""COMPUTED_VALUE"""),"https://link.springer.com/journal/40710")</f>
        <v>https://link.springer.com/journal/40710</v>
      </c>
      <c r="I677" s="1" t="str">
        <f ca="1">IFERROR(__xludf.DUMMYFUNCTION("""COMPUTED_VALUE"""),"Springer")</f>
        <v>Springer</v>
      </c>
      <c r="J677" s="1">
        <f ca="1">IFERROR(__xludf.DUMMYFUNCTION("""COMPUTED_VALUE"""),2014)</f>
        <v>2014</v>
      </c>
      <c r="K677" s="1" t="str">
        <f ca="1">IFERROR(__xludf.DUMMYFUNCTION("""COMPUTED_VALUE"""),"Earth and Environmental Science")</f>
        <v>Earth and Environmental Science</v>
      </c>
      <c r="L677" s="1" t="str">
        <f ca="1">IFERROR(__xludf.DUMMYFUNCTION("""COMPUTED_VALUE"""),"〇")</f>
        <v>〇</v>
      </c>
      <c r="M677" s="1"/>
      <c r="N677" s="1" t="str">
        <f ca="1">IFERROR(__xludf.DUMMYFUNCTION("""COMPUTED_VALUE"""),"SNS14")</f>
        <v>SNS14</v>
      </c>
      <c r="O677" s="1"/>
      <c r="P677" s="1"/>
    </row>
    <row r="678" spans="1:16" ht="14.25" customHeight="1" x14ac:dyDescent="0.25">
      <c r="A678" s="1"/>
      <c r="B678" s="1">
        <f ca="1"/>
        <v>666</v>
      </c>
      <c r="C678" s="1">
        <f ca="1">IFERROR(__xludf.DUMMYFUNCTION("""COMPUTED_VALUE"""),2023)</f>
        <v>2023</v>
      </c>
      <c r="D678" s="1">
        <f ca="1">IFERROR(__xludf.DUMMYFUNCTION("""COMPUTED_VALUE"""),11356)</f>
        <v>11356</v>
      </c>
      <c r="E678" s="1" t="str">
        <f ca="1">IFERROR(__xludf.DUMMYFUNCTION("""COMPUTED_VALUE"""),"Environmental Science and Pollution Research")</f>
        <v>Environmental Science and Pollution Research</v>
      </c>
      <c r="F678" s="1" t="str">
        <f ca="1">IFERROR(__xludf.DUMMYFUNCTION("""COMPUTED_VALUE"""),"1614-7499")</f>
        <v>1614-7499</v>
      </c>
      <c r="G678" s="1" t="str">
        <f ca="1">IFERROR(__xludf.DUMMYFUNCTION("""COMPUTED_VALUE"""),"0944-1344")</f>
        <v>0944-1344</v>
      </c>
      <c r="H678" s="27" t="str">
        <f ca="1">IFERROR(__xludf.DUMMYFUNCTION("""COMPUTED_VALUE"""),"https://link.springer.com/journal/11356")</f>
        <v>https://link.springer.com/journal/11356</v>
      </c>
      <c r="I678" s="1" t="str">
        <f ca="1">IFERROR(__xludf.DUMMYFUNCTION("""COMPUTED_VALUE"""),"Springer")</f>
        <v>Springer</v>
      </c>
      <c r="J678" s="1">
        <f ca="1">IFERROR(__xludf.DUMMYFUNCTION("""COMPUTED_VALUE"""),2000)</f>
        <v>2000</v>
      </c>
      <c r="K678" s="1" t="str">
        <f ca="1">IFERROR(__xludf.DUMMYFUNCTION("""COMPUTED_VALUE"""),"Earth and Environmental Science")</f>
        <v>Earth and Environmental Science</v>
      </c>
      <c r="L678" s="1" t="str">
        <f ca="1">IFERROR(__xludf.DUMMYFUNCTION("""COMPUTED_VALUE"""),"〇")</f>
        <v>〇</v>
      </c>
      <c r="M678" s="1" t="str">
        <f ca="1">IFERROR(__xludf.DUMMYFUNCTION("""COMPUTED_VALUE"""),"〇")</f>
        <v>〇</v>
      </c>
      <c r="N678" s="1" t="str">
        <f ca="1">IFERROR(__xludf.DUMMYFUNCTION("""COMPUTED_VALUE"""),"TO8")</f>
        <v>TO8</v>
      </c>
      <c r="O678" s="1"/>
      <c r="P678" s="1"/>
    </row>
    <row r="679" spans="1:16" ht="14.25" customHeight="1" x14ac:dyDescent="0.25">
      <c r="A679" s="1"/>
      <c r="B679" s="1">
        <f ca="1"/>
        <v>667</v>
      </c>
      <c r="C679" s="1">
        <f ca="1">IFERROR(__xludf.DUMMYFUNCTION("""COMPUTED_VALUE"""),2023)</f>
        <v>2023</v>
      </c>
      <c r="D679" s="1">
        <f ca="1">IFERROR(__xludf.DUMMYFUNCTION("""COMPUTED_VALUE"""),42398)</f>
        <v>42398</v>
      </c>
      <c r="E679" s="1" t="str">
        <f ca="1">IFERROR(__xludf.DUMMYFUNCTION("""COMPUTED_VALUE"""),"Environmental Sustainability")</f>
        <v>Environmental Sustainability</v>
      </c>
      <c r="F679" s="1" t="str">
        <f ca="1">IFERROR(__xludf.DUMMYFUNCTION("""COMPUTED_VALUE"""),"2523-8922")</f>
        <v>2523-8922</v>
      </c>
      <c r="G679" s="1"/>
      <c r="H679" s="27" t="str">
        <f ca="1">IFERROR(__xludf.DUMMYFUNCTION("""COMPUTED_VALUE"""),"https://link.springer.com/journal/42398")</f>
        <v>https://link.springer.com/journal/42398</v>
      </c>
      <c r="I679" s="1" t="str">
        <f ca="1">IFERROR(__xludf.DUMMYFUNCTION("""COMPUTED_VALUE"""),"Springer")</f>
        <v>Springer</v>
      </c>
      <c r="J679" s="1">
        <f ca="1">IFERROR(__xludf.DUMMYFUNCTION("""COMPUTED_VALUE"""),2018)</f>
        <v>2018</v>
      </c>
      <c r="K679" s="1" t="str">
        <f ca="1">IFERROR(__xludf.DUMMYFUNCTION("""COMPUTED_VALUE"""),"Earth and Environmental Science")</f>
        <v>Earth and Environmental Science</v>
      </c>
      <c r="L679" s="1"/>
      <c r="M679" s="1"/>
      <c r="N679" s="1" t="str">
        <f ca="1">IFERROR(__xludf.DUMMYFUNCTION("""COMPUTED_VALUE"""),"SNS18")</f>
        <v>SNS18</v>
      </c>
      <c r="O679" s="1"/>
      <c r="P679" s="1"/>
    </row>
    <row r="680" spans="1:16" ht="14.25" customHeight="1" x14ac:dyDescent="0.25">
      <c r="A680" s="1"/>
      <c r="B680" s="1">
        <f ca="1"/>
        <v>668</v>
      </c>
      <c r="C680" s="1">
        <f ca="1">IFERROR(__xludf.DUMMYFUNCTION("""COMPUTED_VALUE"""),2023)</f>
        <v>2023</v>
      </c>
      <c r="D680" s="1">
        <f ca="1">IFERROR(__xludf.DUMMYFUNCTION("""COMPUTED_VALUE"""),13167)</f>
        <v>13167</v>
      </c>
      <c r="E680" s="1" t="str">
        <f ca="1">IFERROR(__xludf.DUMMYFUNCTION("""COMPUTED_VALUE"""),"EPMA Journal")</f>
        <v>EPMA Journal</v>
      </c>
      <c r="F680" s="1" t="str">
        <f ca="1">IFERROR(__xludf.DUMMYFUNCTION("""COMPUTED_VALUE"""),"1878-5085")</f>
        <v>1878-5085</v>
      </c>
      <c r="G680" s="1"/>
      <c r="H680" s="27" t="str">
        <f ca="1">IFERROR(__xludf.DUMMYFUNCTION("""COMPUTED_VALUE"""),"https://link.springer.com/journal/13167")</f>
        <v>https://link.springer.com/journal/13167</v>
      </c>
      <c r="I680" s="1" t="str">
        <f ca="1">IFERROR(__xludf.DUMMYFUNCTION("""COMPUTED_VALUE"""),"Springer")</f>
        <v>Springer</v>
      </c>
      <c r="J680" s="1">
        <f ca="1">IFERROR(__xludf.DUMMYFUNCTION("""COMPUTED_VALUE"""),2010)</f>
        <v>2010</v>
      </c>
      <c r="K680" s="1" t="str">
        <f ca="1">IFERROR(__xludf.DUMMYFUNCTION("""COMPUTED_VALUE"""),"Biomedical and Life Sciences")</f>
        <v>Biomedical and Life Sciences</v>
      </c>
      <c r="L680" s="1"/>
      <c r="M680" s="1"/>
      <c r="N680" s="1"/>
      <c r="O680" s="1"/>
      <c r="P680" s="1"/>
    </row>
    <row r="681" spans="1:16" ht="14.25" customHeight="1" x14ac:dyDescent="0.25">
      <c r="A681" s="1"/>
      <c r="B681" s="1">
        <f ca="1"/>
        <v>669</v>
      </c>
      <c r="C681" s="1">
        <f ca="1">IFERROR(__xludf.DUMMYFUNCTION("""COMPUTED_VALUE"""),2023)</f>
        <v>2023</v>
      </c>
      <c r="D681" s="1">
        <f ca="1">IFERROR(__xludf.DUMMYFUNCTION("""COMPUTED_VALUE"""),12027)</f>
        <v>12027</v>
      </c>
      <c r="E681" s="1" t="str">
        <f ca="1">IFERROR(__xludf.DUMMYFUNCTION("""COMPUTED_VALUE"""),"ERA Forum")</f>
        <v>ERA Forum</v>
      </c>
      <c r="F681" s="1" t="str">
        <f ca="1">IFERROR(__xludf.DUMMYFUNCTION("""COMPUTED_VALUE"""),"1863-9038")</f>
        <v>1863-9038</v>
      </c>
      <c r="G681" s="1" t="str">
        <f ca="1">IFERROR(__xludf.DUMMYFUNCTION("""COMPUTED_VALUE"""),"1612-3093")</f>
        <v>1612-3093</v>
      </c>
      <c r="H681" s="27" t="str">
        <f ca="1">IFERROR(__xludf.DUMMYFUNCTION("""COMPUTED_VALUE"""),"https://link.springer.com/journal/12027")</f>
        <v>https://link.springer.com/journal/12027</v>
      </c>
      <c r="I681" s="1" t="str">
        <f ca="1">IFERROR(__xludf.DUMMYFUNCTION("""COMPUTED_VALUE"""),"Springer")</f>
        <v>Springer</v>
      </c>
      <c r="J681" s="1">
        <f ca="1">IFERROR(__xludf.DUMMYFUNCTION("""COMPUTED_VALUE"""),2000)</f>
        <v>2000</v>
      </c>
      <c r="K681" s="1" t="str">
        <f ca="1">IFERROR(__xludf.DUMMYFUNCTION("""COMPUTED_VALUE"""),"Law and Criminology")</f>
        <v>Law and Criminology</v>
      </c>
      <c r="L681" s="1" t="str">
        <f ca="1">IFERROR(__xludf.DUMMYFUNCTION("""COMPUTED_VALUE"""),"〇")</f>
        <v>〇</v>
      </c>
      <c r="M681" s="1" t="str">
        <f ca="1">IFERROR(__xludf.DUMMYFUNCTION("""COMPUTED_VALUE"""),"〇")</f>
        <v>〇</v>
      </c>
      <c r="N681" s="1" t="str">
        <f ca="1">IFERROR(__xludf.DUMMYFUNCTION("""COMPUTED_VALUE"""),"TO7")</f>
        <v>TO7</v>
      </c>
      <c r="O681" s="1"/>
      <c r="P681" s="1"/>
    </row>
    <row r="682" spans="1:16" ht="14.25" customHeight="1" x14ac:dyDescent="0.25">
      <c r="A682" s="1"/>
      <c r="B682" s="1">
        <f ca="1"/>
        <v>670</v>
      </c>
      <c r="C682" s="1">
        <f ca="1">IFERROR(__xludf.DUMMYFUNCTION("""COMPUTED_VALUE"""),2023)</f>
        <v>2023</v>
      </c>
      <c r="D682" s="1">
        <f ca="1">IFERROR(__xludf.DUMMYFUNCTION("""COMPUTED_VALUE"""),10670)</f>
        <v>10670</v>
      </c>
      <c r="E682" s="1" t="str">
        <f ca="1">IFERROR(__xludf.DUMMYFUNCTION("""COMPUTED_VALUE"""),"Erkenntnis")</f>
        <v>Erkenntnis</v>
      </c>
      <c r="F682" s="1" t="str">
        <f ca="1">IFERROR(__xludf.DUMMYFUNCTION("""COMPUTED_VALUE"""),"1572-8420")</f>
        <v>1572-8420</v>
      </c>
      <c r="G682" s="1" t="str">
        <f ca="1">IFERROR(__xludf.DUMMYFUNCTION("""COMPUTED_VALUE"""),"0165-0106")</f>
        <v>0165-0106</v>
      </c>
      <c r="H682" s="27" t="str">
        <f ca="1">IFERROR(__xludf.DUMMYFUNCTION("""COMPUTED_VALUE"""),"https://link.springer.com/journal/10670")</f>
        <v>https://link.springer.com/journal/10670</v>
      </c>
      <c r="I682" s="1" t="str">
        <f ca="1">IFERROR(__xludf.DUMMYFUNCTION("""COMPUTED_VALUE"""),"Springer")</f>
        <v>Springer</v>
      </c>
      <c r="J682" s="1">
        <f ca="1">IFERROR(__xludf.DUMMYFUNCTION("""COMPUTED_VALUE"""),2000)</f>
        <v>2000</v>
      </c>
      <c r="K682" s="1" t="str">
        <f ca="1">IFERROR(__xludf.DUMMYFUNCTION("""COMPUTED_VALUE"""),"Education")</f>
        <v>Education</v>
      </c>
      <c r="L682" s="1" t="str">
        <f ca="1">IFERROR(__xludf.DUMMYFUNCTION("""COMPUTED_VALUE"""),"〇")</f>
        <v>〇</v>
      </c>
      <c r="M682" s="1" t="str">
        <f ca="1">IFERROR(__xludf.DUMMYFUNCTION("""COMPUTED_VALUE"""),"〇")</f>
        <v>〇</v>
      </c>
      <c r="N682" s="1"/>
      <c r="O682" s="1"/>
      <c r="P682" s="1"/>
    </row>
    <row r="683" spans="1:16" ht="14.25" customHeight="1" x14ac:dyDescent="0.25">
      <c r="A683" s="1"/>
      <c r="B683" s="1">
        <f ca="1"/>
        <v>671</v>
      </c>
      <c r="C683" s="1">
        <f ca="1">IFERROR(__xludf.DUMMYFUNCTION("""COMPUTED_VALUE"""),2023)</f>
        <v>2023</v>
      </c>
      <c r="D683" s="1">
        <f ca="1">IFERROR(__xludf.DUMMYFUNCTION("""COMPUTED_VALUE"""),10341)</f>
        <v>10341</v>
      </c>
      <c r="E683" s="1" t="str">
        <f ca="1">IFERROR(__xludf.DUMMYFUNCTION("""COMPUTED_VALUE"""),"Erwerbs-Obstbau")</f>
        <v>Erwerbs-Obstbau</v>
      </c>
      <c r="F683" s="1" t="str">
        <f ca="1">IFERROR(__xludf.DUMMYFUNCTION("""COMPUTED_VALUE"""),"1439-0302")</f>
        <v>1439-0302</v>
      </c>
      <c r="G683" s="1" t="str">
        <f ca="1">IFERROR(__xludf.DUMMYFUNCTION("""COMPUTED_VALUE"""),"0014-0309")</f>
        <v>0014-0309</v>
      </c>
      <c r="H683" s="27" t="str">
        <f ca="1">IFERROR(__xludf.DUMMYFUNCTION("""COMPUTED_VALUE"""),"https://link.springer.com/journal/10341")</f>
        <v>https://link.springer.com/journal/10341</v>
      </c>
      <c r="I683" s="1" t="str">
        <f ca="1">IFERROR(__xludf.DUMMYFUNCTION("""COMPUTED_VALUE"""),"Springer")</f>
        <v>Springer</v>
      </c>
      <c r="J683" s="1">
        <f ca="1">IFERROR(__xludf.DUMMYFUNCTION("""COMPUTED_VALUE"""),2004)</f>
        <v>2004</v>
      </c>
      <c r="K683" s="1" t="str">
        <f ca="1">IFERROR(__xludf.DUMMYFUNCTION("""COMPUTED_VALUE"""),"Biomedical and Life Sciences")</f>
        <v>Biomedical and Life Sciences</v>
      </c>
      <c r="L683" s="1" t="str">
        <f ca="1">IFERROR(__xludf.DUMMYFUNCTION("""COMPUTED_VALUE"""),"〇")</f>
        <v>〇</v>
      </c>
      <c r="M683" s="1" t="str">
        <f ca="1">IFERROR(__xludf.DUMMYFUNCTION("""COMPUTED_VALUE"""),"〇")</f>
        <v>〇</v>
      </c>
      <c r="N683" s="1"/>
      <c r="O683" s="1"/>
      <c r="P683" s="1"/>
    </row>
    <row r="684" spans="1:16" ht="14.25" customHeight="1" x14ac:dyDescent="0.25">
      <c r="A684" s="1"/>
      <c r="B684" s="1">
        <f ca="1"/>
        <v>672</v>
      </c>
      <c r="C684" s="1">
        <f ca="1">IFERROR(__xludf.DUMMYFUNCTION("""COMPUTED_VALUE"""),2023)</f>
        <v>2023</v>
      </c>
      <c r="D684" s="1">
        <f ca="1">IFERROR(__xludf.DUMMYFUNCTION("""COMPUTED_VALUE"""),10388)</f>
        <v>10388</v>
      </c>
      <c r="E684" s="1" t="str">
        <f ca="1">IFERROR(__xludf.DUMMYFUNCTION("""COMPUTED_VALUE"""),"Esophagus")</f>
        <v>Esophagus</v>
      </c>
      <c r="F684" s="1" t="str">
        <f ca="1">IFERROR(__xludf.DUMMYFUNCTION("""COMPUTED_VALUE"""),"1612-9067")</f>
        <v>1612-9067</v>
      </c>
      <c r="G684" s="1" t="str">
        <f ca="1">IFERROR(__xludf.DUMMYFUNCTION("""COMPUTED_VALUE"""),"1612-9059")</f>
        <v>1612-9059</v>
      </c>
      <c r="H684" s="27" t="str">
        <f ca="1">IFERROR(__xludf.DUMMYFUNCTION("""COMPUTED_VALUE"""),"https://link.springer.com/journal/10388")</f>
        <v>https://link.springer.com/journal/10388</v>
      </c>
      <c r="I684" s="1" t="str">
        <f ca="1">IFERROR(__xludf.DUMMYFUNCTION("""COMPUTED_VALUE"""),"Springer")</f>
        <v>Springer</v>
      </c>
      <c r="J684" s="1">
        <f ca="1">IFERROR(__xludf.DUMMYFUNCTION("""COMPUTED_VALUE"""),2003)</f>
        <v>2003</v>
      </c>
      <c r="K684" s="1" t="str">
        <f ca="1">IFERROR(__xludf.DUMMYFUNCTION("""COMPUTED_VALUE"""),"Medicine")</f>
        <v>Medicine</v>
      </c>
      <c r="L684" s="1" t="str">
        <f ca="1">IFERROR(__xludf.DUMMYFUNCTION("""COMPUTED_VALUE"""),"〇")</f>
        <v>〇</v>
      </c>
      <c r="M684" s="1" t="str">
        <f ca="1">IFERROR(__xludf.DUMMYFUNCTION("""COMPUTED_VALUE"""),"〇")</f>
        <v>〇</v>
      </c>
      <c r="N684" s="1"/>
      <c r="O684" s="1"/>
      <c r="P684" s="1"/>
    </row>
    <row r="685" spans="1:16" ht="14.25" customHeight="1" x14ac:dyDescent="0.25">
      <c r="A685" s="1"/>
      <c r="B685" s="1">
        <f ca="1"/>
        <v>673</v>
      </c>
      <c r="C685" s="1">
        <f ca="1">IFERROR(__xludf.DUMMYFUNCTION("""COMPUTED_VALUE"""),2023)</f>
        <v>2023</v>
      </c>
      <c r="D685" s="1">
        <f ca="1">IFERROR(__xludf.DUMMYFUNCTION("""COMPUTED_VALUE"""),12237)</f>
        <v>12237</v>
      </c>
      <c r="E685" s="1" t="str">
        <f ca="1">IFERROR(__xludf.DUMMYFUNCTION("""COMPUTED_VALUE"""),"Estuaries and Coasts")</f>
        <v>Estuaries and Coasts</v>
      </c>
      <c r="F685" s="1" t="str">
        <f ca="1">IFERROR(__xludf.DUMMYFUNCTION("""COMPUTED_VALUE"""),"1559-2731")</f>
        <v>1559-2731</v>
      </c>
      <c r="G685" s="1" t="str">
        <f ca="1">IFERROR(__xludf.DUMMYFUNCTION("""COMPUTED_VALUE"""),"1559-2723")</f>
        <v>1559-2723</v>
      </c>
      <c r="H685" s="27" t="str">
        <f ca="1">IFERROR(__xludf.DUMMYFUNCTION("""COMPUTED_VALUE"""),"https://link.springer.com/journal/12237")</f>
        <v>https://link.springer.com/journal/12237</v>
      </c>
      <c r="I685" s="1" t="str">
        <f ca="1">IFERROR(__xludf.DUMMYFUNCTION("""COMPUTED_VALUE"""),"Springer")</f>
        <v>Springer</v>
      </c>
      <c r="J685" s="1">
        <f ca="1">IFERROR(__xludf.DUMMYFUNCTION("""COMPUTED_VALUE"""),2000)</f>
        <v>2000</v>
      </c>
      <c r="K685" s="1" t="str">
        <f ca="1">IFERROR(__xludf.DUMMYFUNCTION("""COMPUTED_VALUE"""),"Earth and Environmental Science")</f>
        <v>Earth and Environmental Science</v>
      </c>
      <c r="L685" s="1" t="str">
        <f ca="1">IFERROR(__xludf.DUMMYFUNCTION("""COMPUTED_VALUE"""),"〇")</f>
        <v>〇</v>
      </c>
      <c r="M685" s="1" t="str">
        <f ca="1">IFERROR(__xludf.DUMMYFUNCTION("""COMPUTED_VALUE"""),"〇")</f>
        <v>〇</v>
      </c>
      <c r="N685" s="1" t="str">
        <f ca="1">IFERROR(__xludf.DUMMYFUNCTION("""COMPUTED_VALUE"""),"TO8")</f>
        <v>TO8</v>
      </c>
      <c r="O685" s="1"/>
      <c r="P685" s="1"/>
    </row>
    <row r="686" spans="1:16" ht="14.25" customHeight="1" x14ac:dyDescent="0.25">
      <c r="A686" s="1"/>
      <c r="B686" s="1">
        <f ca="1"/>
        <v>674</v>
      </c>
      <c r="C686" s="1">
        <f ca="1">IFERROR(__xludf.DUMMYFUNCTION("""COMPUTED_VALUE"""),2023)</f>
        <v>2023</v>
      </c>
      <c r="D686" s="1">
        <f ca="1">IFERROR(__xludf.DUMMYFUNCTION("""COMPUTED_VALUE"""),10677)</f>
        <v>10677</v>
      </c>
      <c r="E686" s="1" t="str">
        <f ca="1">IFERROR(__xludf.DUMMYFUNCTION("""COMPUTED_VALUE"""),"Ethical Theory and Moral Practice")</f>
        <v>Ethical Theory and Moral Practice</v>
      </c>
      <c r="F686" s="1" t="str">
        <f ca="1">IFERROR(__xludf.DUMMYFUNCTION("""COMPUTED_VALUE"""),"1572-8447")</f>
        <v>1572-8447</v>
      </c>
      <c r="G686" s="1" t="str">
        <f ca="1">IFERROR(__xludf.DUMMYFUNCTION("""COMPUTED_VALUE"""),"1386-2820")</f>
        <v>1386-2820</v>
      </c>
      <c r="H686" s="27" t="str">
        <f ca="1">IFERROR(__xludf.DUMMYFUNCTION("""COMPUTED_VALUE"""),"https://link.springer.com/journal/10677")</f>
        <v>https://link.springer.com/journal/10677</v>
      </c>
      <c r="I686" s="1" t="str">
        <f ca="1">IFERROR(__xludf.DUMMYFUNCTION("""COMPUTED_VALUE"""),"Springer")</f>
        <v>Springer</v>
      </c>
      <c r="J686" s="1">
        <f ca="1">IFERROR(__xludf.DUMMYFUNCTION("""COMPUTED_VALUE"""),2000)</f>
        <v>2000</v>
      </c>
      <c r="K686" s="1" t="str">
        <f ca="1">IFERROR(__xludf.DUMMYFUNCTION("""COMPUTED_VALUE"""),"Education")</f>
        <v>Education</v>
      </c>
      <c r="L686" s="1" t="str">
        <f ca="1">IFERROR(__xludf.DUMMYFUNCTION("""COMPUTED_VALUE"""),"〇")</f>
        <v>〇</v>
      </c>
      <c r="M686" s="1" t="str">
        <f ca="1">IFERROR(__xludf.DUMMYFUNCTION("""COMPUTED_VALUE"""),"〇")</f>
        <v>〇</v>
      </c>
      <c r="N686" s="1"/>
      <c r="O686" s="1"/>
      <c r="P686" s="1"/>
    </row>
    <row r="687" spans="1:16" ht="14.25" customHeight="1" x14ac:dyDescent="0.25">
      <c r="A687" s="1"/>
      <c r="B687" s="1">
        <f ca="1"/>
        <v>675</v>
      </c>
      <c r="C687" s="1">
        <f ca="1">IFERROR(__xludf.DUMMYFUNCTION("""COMPUTED_VALUE"""),2023)</f>
        <v>2023</v>
      </c>
      <c r="D687" s="1">
        <f ca="1">IFERROR(__xludf.DUMMYFUNCTION("""COMPUTED_VALUE"""),10676)</f>
        <v>10676</v>
      </c>
      <c r="E687" s="1" t="str">
        <f ca="1">IFERROR(__xludf.DUMMYFUNCTION("""COMPUTED_VALUE"""),"Ethics and Information Technology")</f>
        <v>Ethics and Information Technology</v>
      </c>
      <c r="F687" s="1" t="str">
        <f ca="1">IFERROR(__xludf.DUMMYFUNCTION("""COMPUTED_VALUE"""),"1572-8439")</f>
        <v>1572-8439</v>
      </c>
      <c r="G687" s="1" t="str">
        <f ca="1">IFERROR(__xludf.DUMMYFUNCTION("""COMPUTED_VALUE"""),"1388-1957")</f>
        <v>1388-1957</v>
      </c>
      <c r="H687" s="27" t="str">
        <f ca="1">IFERROR(__xludf.DUMMYFUNCTION("""COMPUTED_VALUE"""),"https://link.springer.com/journal/10676")</f>
        <v>https://link.springer.com/journal/10676</v>
      </c>
      <c r="I687" s="1" t="str">
        <f ca="1">IFERROR(__xludf.DUMMYFUNCTION("""COMPUTED_VALUE"""),"Springer")</f>
        <v>Springer</v>
      </c>
      <c r="J687" s="1">
        <f ca="1">IFERROR(__xludf.DUMMYFUNCTION("""COMPUTED_VALUE"""),2000)</f>
        <v>2000</v>
      </c>
      <c r="K687" s="1" t="str">
        <f ca="1">IFERROR(__xludf.DUMMYFUNCTION("""COMPUTED_VALUE"""),"Computer Science")</f>
        <v>Computer Science</v>
      </c>
      <c r="L687" s="1" t="str">
        <f ca="1">IFERROR(__xludf.DUMMYFUNCTION("""COMPUTED_VALUE"""),"〇")</f>
        <v>〇</v>
      </c>
      <c r="M687" s="1" t="str">
        <f ca="1">IFERROR(__xludf.DUMMYFUNCTION("""COMPUTED_VALUE"""),"〇")</f>
        <v>〇</v>
      </c>
      <c r="N687" s="1"/>
      <c r="O687" s="1"/>
      <c r="P687" s="1"/>
    </row>
    <row r="688" spans="1:16" ht="14.25" customHeight="1" x14ac:dyDescent="0.25">
      <c r="A688" s="1"/>
      <c r="B688" s="1">
        <f ca="1"/>
        <v>676</v>
      </c>
      <c r="C688" s="1">
        <f ca="1">IFERROR(__xludf.DUMMYFUNCTION("""COMPUTED_VALUE"""),2023)</f>
        <v>2023</v>
      </c>
      <c r="D688" s="1">
        <f ca="1">IFERROR(__xludf.DUMMYFUNCTION("""COMPUTED_VALUE"""),481)</f>
        <v>481</v>
      </c>
      <c r="E688" s="1" t="str">
        <f ca="1">IFERROR(__xludf.DUMMYFUNCTION("""COMPUTED_VALUE"""),"Ethik in der Medizin")</f>
        <v>Ethik in der Medizin</v>
      </c>
      <c r="F688" s="1" t="str">
        <f ca="1">IFERROR(__xludf.DUMMYFUNCTION("""COMPUTED_VALUE"""),"1437-1618")</f>
        <v>1437-1618</v>
      </c>
      <c r="G688" s="1" t="str">
        <f ca="1">IFERROR(__xludf.DUMMYFUNCTION("""COMPUTED_VALUE"""),"0935-7335")</f>
        <v>0935-7335</v>
      </c>
      <c r="H688" s="27" t="str">
        <f ca="1">IFERROR(__xludf.DUMMYFUNCTION("""COMPUTED_VALUE"""),"https://link.springer.com/journal/481")</f>
        <v>https://link.springer.com/journal/481</v>
      </c>
      <c r="I688" s="1" t="str">
        <f ca="1">IFERROR(__xludf.DUMMYFUNCTION("""COMPUTED_VALUE"""),"Springer")</f>
        <v>Springer</v>
      </c>
      <c r="J688" s="1">
        <f ca="1">IFERROR(__xludf.DUMMYFUNCTION("""COMPUTED_VALUE"""),2000)</f>
        <v>2000</v>
      </c>
      <c r="K688" s="1" t="str">
        <f ca="1">IFERROR(__xludf.DUMMYFUNCTION("""COMPUTED_VALUE"""),"Medicine")</f>
        <v>Medicine</v>
      </c>
      <c r="L688" s="1" t="str">
        <f ca="1">IFERROR(__xludf.DUMMYFUNCTION("""COMPUTED_VALUE"""),"〇")</f>
        <v>〇</v>
      </c>
      <c r="M688" s="1" t="str">
        <f ca="1">IFERROR(__xludf.DUMMYFUNCTION("""COMPUTED_VALUE"""),"〇")</f>
        <v>〇</v>
      </c>
      <c r="N688" s="1"/>
      <c r="O688" s="1"/>
      <c r="P688" s="1"/>
    </row>
    <row r="689" spans="1:16" ht="14.25" customHeight="1" x14ac:dyDescent="0.25">
      <c r="A689" s="1"/>
      <c r="B689" s="1">
        <f ca="1"/>
        <v>677</v>
      </c>
      <c r="C689" s="1">
        <f ca="1">IFERROR(__xludf.DUMMYFUNCTION("""COMPUTED_VALUE"""),2023)</f>
        <v>2023</v>
      </c>
      <c r="D689" s="1">
        <f ca="1">IFERROR(__xludf.DUMMYFUNCTION("""COMPUTED_VALUE"""),10681)</f>
        <v>10681</v>
      </c>
      <c r="E689" s="1" t="str">
        <f ca="1">IFERROR(__xludf.DUMMYFUNCTION("""COMPUTED_VALUE"""),"Euphytica")</f>
        <v>Euphytica</v>
      </c>
      <c r="F689" s="1" t="str">
        <f ca="1">IFERROR(__xludf.DUMMYFUNCTION("""COMPUTED_VALUE"""),"1573-5060")</f>
        <v>1573-5060</v>
      </c>
      <c r="G689" s="1" t="str">
        <f ca="1">IFERROR(__xludf.DUMMYFUNCTION("""COMPUTED_VALUE"""),"0014-2336")</f>
        <v>0014-2336</v>
      </c>
      <c r="H689" s="27" t="str">
        <f ca="1">IFERROR(__xludf.DUMMYFUNCTION("""COMPUTED_VALUE"""),"https://link.springer.com/journal/10681")</f>
        <v>https://link.springer.com/journal/10681</v>
      </c>
      <c r="I689" s="1" t="str">
        <f ca="1">IFERROR(__xludf.DUMMYFUNCTION("""COMPUTED_VALUE"""),"Springer")</f>
        <v>Springer</v>
      </c>
      <c r="J689" s="1">
        <f ca="1">IFERROR(__xludf.DUMMYFUNCTION("""COMPUTED_VALUE"""),2000)</f>
        <v>2000</v>
      </c>
      <c r="K689" s="1" t="str">
        <f ca="1">IFERROR(__xludf.DUMMYFUNCTION("""COMPUTED_VALUE"""),"Biomedical and Life Sciences")</f>
        <v>Biomedical and Life Sciences</v>
      </c>
      <c r="L689" s="1" t="str">
        <f ca="1">IFERROR(__xludf.DUMMYFUNCTION("""COMPUTED_VALUE"""),"〇")</f>
        <v>〇</v>
      </c>
      <c r="M689" s="1" t="str">
        <f ca="1">IFERROR(__xludf.DUMMYFUNCTION("""COMPUTED_VALUE"""),"〇")</f>
        <v>〇</v>
      </c>
      <c r="N689" s="1"/>
      <c r="O689" s="1"/>
      <c r="P689" s="1"/>
    </row>
    <row r="690" spans="1:16" ht="14.25" customHeight="1" x14ac:dyDescent="0.25">
      <c r="A690" s="1"/>
      <c r="B690" s="1">
        <f ca="1"/>
        <v>678</v>
      </c>
      <c r="C690" s="1">
        <f ca="1">IFERROR(__xludf.DUMMYFUNCTION("""COMPUTED_VALUE"""),2023)</f>
        <v>2023</v>
      </c>
      <c r="D690" s="1">
        <f ca="1">IFERROR(__xludf.DUMMYFUNCTION("""COMPUTED_VALUE"""),40821)</f>
        <v>40821</v>
      </c>
      <c r="E690" s="1" t="str">
        <f ca="1">IFERROR(__xludf.DUMMYFUNCTION("""COMPUTED_VALUE"""),"Eurasian Business Review")</f>
        <v>Eurasian Business Review</v>
      </c>
      <c r="F690" s="1" t="str">
        <f ca="1">IFERROR(__xludf.DUMMYFUNCTION("""COMPUTED_VALUE"""),"2147-4281")</f>
        <v>2147-4281</v>
      </c>
      <c r="G690" s="1"/>
      <c r="H690" s="27" t="str">
        <f ca="1">IFERROR(__xludf.DUMMYFUNCTION("""COMPUTED_VALUE"""),"https://link.springer.com/journal/40821")</f>
        <v>https://link.springer.com/journal/40821</v>
      </c>
      <c r="I690" s="1" t="str">
        <f ca="1">IFERROR(__xludf.DUMMYFUNCTION("""COMPUTED_VALUE"""),"Springer")</f>
        <v>Springer</v>
      </c>
      <c r="J690" s="1">
        <f ca="1">IFERROR(__xludf.DUMMYFUNCTION("""COMPUTED_VALUE"""),2011)</f>
        <v>2011</v>
      </c>
      <c r="K690" s="1" t="str">
        <f ca="1">IFERROR(__xludf.DUMMYFUNCTION("""COMPUTED_VALUE"""),"Business and Management")</f>
        <v>Business and Management</v>
      </c>
      <c r="L690" s="1"/>
      <c r="M690" s="1"/>
      <c r="N690" s="1" t="str">
        <f ca="1">IFERROR(__xludf.DUMMYFUNCTION("""COMPUTED_VALUE"""),"TO14")</f>
        <v>TO14</v>
      </c>
      <c r="O690" s="1"/>
      <c r="P690" s="1"/>
    </row>
    <row r="691" spans="1:16" ht="14.25" customHeight="1" x14ac:dyDescent="0.25">
      <c r="A691" s="1"/>
      <c r="B691" s="1">
        <f ca="1"/>
        <v>679</v>
      </c>
      <c r="C691" s="1">
        <f ca="1">IFERROR(__xludf.DUMMYFUNCTION("""COMPUTED_VALUE"""),2023)</f>
        <v>2023</v>
      </c>
      <c r="D691" s="1">
        <f ca="1">IFERROR(__xludf.DUMMYFUNCTION("""COMPUTED_VALUE"""),40822)</f>
        <v>40822</v>
      </c>
      <c r="E691" s="1" t="str">
        <f ca="1">IFERROR(__xludf.DUMMYFUNCTION("""COMPUTED_VALUE"""),"Eurasian Economic Review")</f>
        <v>Eurasian Economic Review</v>
      </c>
      <c r="F691" s="1" t="str">
        <f ca="1">IFERROR(__xludf.DUMMYFUNCTION("""COMPUTED_VALUE"""),"2147-429X")</f>
        <v>2147-429X</v>
      </c>
      <c r="G691" s="1"/>
      <c r="H691" s="27" t="str">
        <f ca="1">IFERROR(__xludf.DUMMYFUNCTION("""COMPUTED_VALUE"""),"https://link.springer.com/journal/40822")</f>
        <v>https://link.springer.com/journal/40822</v>
      </c>
      <c r="I691" s="1" t="str">
        <f ca="1">IFERROR(__xludf.DUMMYFUNCTION("""COMPUTED_VALUE"""),"Springer")</f>
        <v>Springer</v>
      </c>
      <c r="J691" s="1">
        <f ca="1">IFERROR(__xludf.DUMMYFUNCTION("""COMPUTED_VALUE"""),2011)</f>
        <v>2011</v>
      </c>
      <c r="K691" s="1" t="str">
        <f ca="1">IFERROR(__xludf.DUMMYFUNCTION("""COMPUTED_VALUE"""),"Economics and Finance")</f>
        <v>Economics and Finance</v>
      </c>
      <c r="L691" s="1"/>
      <c r="M691" s="1"/>
      <c r="N691" s="1" t="str">
        <f ca="1">IFERROR(__xludf.DUMMYFUNCTION("""COMPUTED_VALUE"""),"TO14")</f>
        <v>TO14</v>
      </c>
      <c r="O691" s="1"/>
      <c r="P691" s="1"/>
    </row>
    <row r="692" spans="1:16" ht="14.25" customHeight="1" x14ac:dyDescent="0.25">
      <c r="A692" s="1"/>
      <c r="B692" s="1">
        <f ca="1"/>
        <v>680</v>
      </c>
      <c r="C692" s="1">
        <f ca="1">IFERROR(__xludf.DUMMYFUNCTION("""COMPUTED_VALUE"""),2023)</f>
        <v>2023</v>
      </c>
      <c r="D692" s="1">
        <f ca="1">IFERROR(__xludf.DUMMYFUNCTION("""COMPUTED_VALUE"""),11475)</f>
        <v>11475</v>
      </c>
      <c r="E692" s="1" t="str">
        <f ca="1">IFERROR(__xludf.DUMMYFUNCTION("""COMPUTED_VALUE"""),"Eurasian Soil Science")</f>
        <v>Eurasian Soil Science</v>
      </c>
      <c r="F692" s="1" t="str">
        <f ca="1">IFERROR(__xludf.DUMMYFUNCTION("""COMPUTED_VALUE"""),"1556-195X")</f>
        <v>1556-195X</v>
      </c>
      <c r="G692" s="1" t="str">
        <f ca="1">IFERROR(__xludf.DUMMYFUNCTION("""COMPUTED_VALUE"""),"1064-2293")</f>
        <v>1064-2293</v>
      </c>
      <c r="H692" s="27" t="str">
        <f ca="1">IFERROR(__xludf.DUMMYFUNCTION("""COMPUTED_VALUE"""),"https://link.springer.com/journal/11475")</f>
        <v>https://link.springer.com/journal/11475</v>
      </c>
      <c r="I692" s="1" t="str">
        <f ca="1">IFERROR(__xludf.DUMMYFUNCTION("""COMPUTED_VALUE"""),"Pleiades Publishing")</f>
        <v>Pleiades Publishing</v>
      </c>
      <c r="J692" s="1">
        <f ca="1">IFERROR(__xludf.DUMMYFUNCTION("""COMPUTED_VALUE"""),2006)</f>
        <v>2006</v>
      </c>
      <c r="K692" s="1" t="str">
        <f ca="1">IFERROR(__xludf.DUMMYFUNCTION("""COMPUTED_VALUE"""),"Earth and Environmental Science")</f>
        <v>Earth and Environmental Science</v>
      </c>
      <c r="L692" s="1" t="str">
        <f ca="1">IFERROR(__xludf.DUMMYFUNCTION("""COMPUTED_VALUE"""),"〇")</f>
        <v>〇</v>
      </c>
      <c r="M692" s="1" t="str">
        <f ca="1">IFERROR(__xludf.DUMMYFUNCTION("""COMPUTED_VALUE"""),"〇")</f>
        <v>〇</v>
      </c>
      <c r="N692" s="1"/>
      <c r="O692" s="1"/>
      <c r="P692" s="1"/>
    </row>
    <row r="693" spans="1:16" ht="14.25" customHeight="1" x14ac:dyDescent="0.25">
      <c r="A693" s="1"/>
      <c r="B693" s="1">
        <f ca="1"/>
        <v>681</v>
      </c>
      <c r="C693" s="1">
        <f ca="1">IFERROR(__xludf.DUMMYFUNCTION("""COMPUTED_VALUE"""),2023)</f>
        <v>2023</v>
      </c>
      <c r="D693" s="1">
        <f ca="1">IFERROR(__xludf.DUMMYFUNCTION("""COMPUTED_VALUE"""),41207)</f>
        <v>41207</v>
      </c>
      <c r="E693" s="1" t="str">
        <f ca="1">IFERROR(__xludf.DUMMYFUNCTION("""COMPUTED_VALUE"""),"Euro-Mediterranean Journal for Environmental Integration")</f>
        <v>Euro-Mediterranean Journal for Environmental Integration</v>
      </c>
      <c r="F693" s="1" t="str">
        <f ca="1">IFERROR(__xludf.DUMMYFUNCTION("""COMPUTED_VALUE"""),"2365-7448")</f>
        <v>2365-7448</v>
      </c>
      <c r="G693" s="1" t="str">
        <f ca="1">IFERROR(__xludf.DUMMYFUNCTION("""COMPUTED_VALUE"""),"2365-6433")</f>
        <v>2365-6433</v>
      </c>
      <c r="H693" s="27" t="str">
        <f ca="1">IFERROR(__xludf.DUMMYFUNCTION("""COMPUTED_VALUE"""),"https://link.springer.com/journal/41207")</f>
        <v>https://link.springer.com/journal/41207</v>
      </c>
      <c r="I693" s="1" t="str">
        <f ca="1">IFERROR(__xludf.DUMMYFUNCTION("""COMPUTED_VALUE"""),"Springer")</f>
        <v>Springer</v>
      </c>
      <c r="J693" s="1">
        <f ca="1">IFERROR(__xludf.DUMMYFUNCTION("""COMPUTED_VALUE"""),2016)</f>
        <v>2016</v>
      </c>
      <c r="K693" s="1" t="str">
        <f ca="1">IFERROR(__xludf.DUMMYFUNCTION("""COMPUTED_VALUE"""),"Earth and Environmental Science")</f>
        <v>Earth and Environmental Science</v>
      </c>
      <c r="L693" s="1" t="str">
        <f ca="1">IFERROR(__xludf.DUMMYFUNCTION("""COMPUTED_VALUE"""),"〇")</f>
        <v>〇</v>
      </c>
      <c r="M693" s="1"/>
      <c r="N693" s="1" t="str">
        <f ca="1">IFERROR(__xludf.DUMMYFUNCTION("""COMPUTED_VALUE"""),"SNS16")</f>
        <v>SNS16</v>
      </c>
      <c r="O693" s="1"/>
      <c r="P693" s="1"/>
    </row>
    <row r="694" spans="1:16" ht="14.25" customHeight="1" x14ac:dyDescent="0.25">
      <c r="A694" s="1"/>
      <c r="B694" s="1">
        <f ca="1"/>
        <v>682</v>
      </c>
      <c r="C694" s="1">
        <f ca="1">IFERROR(__xludf.DUMMYFUNCTION("""COMPUTED_VALUE"""),2023)</f>
        <v>2023</v>
      </c>
      <c r="D694" s="1">
        <f ca="1">IFERROR(__xludf.DUMMYFUNCTION("""COMPUTED_VALUE"""),13385)</f>
        <v>13385</v>
      </c>
      <c r="E694" s="1" t="str">
        <f ca="1">IFERROR(__xludf.DUMMYFUNCTION("""COMPUTED_VALUE"""),"European Actuarial Journal")</f>
        <v>European Actuarial Journal</v>
      </c>
      <c r="F694" s="1" t="str">
        <f ca="1">IFERROR(__xludf.DUMMYFUNCTION("""COMPUTED_VALUE"""),"2190-9741")</f>
        <v>2190-9741</v>
      </c>
      <c r="G694" s="1" t="str">
        <f ca="1">IFERROR(__xludf.DUMMYFUNCTION("""COMPUTED_VALUE"""),"2190-9733")</f>
        <v>2190-9733</v>
      </c>
      <c r="H694" s="27" t="str">
        <f ca="1">IFERROR(__xludf.DUMMYFUNCTION("""COMPUTED_VALUE"""),"https://link.springer.com/journal/13385")</f>
        <v>https://link.springer.com/journal/13385</v>
      </c>
      <c r="I694" s="1" t="str">
        <f ca="1">IFERROR(__xludf.DUMMYFUNCTION("""COMPUTED_VALUE"""),"Springer")</f>
        <v>Springer</v>
      </c>
      <c r="J694" s="1">
        <f ca="1">IFERROR(__xludf.DUMMYFUNCTION("""COMPUTED_VALUE"""),2011)</f>
        <v>2011</v>
      </c>
      <c r="K694" s="1" t="str">
        <f ca="1">IFERROR(__xludf.DUMMYFUNCTION("""COMPUTED_VALUE"""),"Mathematics and Statistics")</f>
        <v>Mathematics and Statistics</v>
      </c>
      <c r="L694" s="1" t="str">
        <f ca="1">IFERROR(__xludf.DUMMYFUNCTION("""COMPUTED_VALUE"""),"〇")</f>
        <v>〇</v>
      </c>
      <c r="M694" s="1"/>
      <c r="N694" s="1"/>
      <c r="O694" s="1"/>
      <c r="P694" s="1"/>
    </row>
    <row r="695" spans="1:16" ht="14.25" customHeight="1" x14ac:dyDescent="0.25">
      <c r="A695" s="1"/>
      <c r="B695" s="1">
        <f ca="1"/>
        <v>683</v>
      </c>
      <c r="C695" s="1">
        <f ca="1">IFERROR(__xludf.DUMMYFUNCTION("""COMPUTED_VALUE"""),2023)</f>
        <v>2023</v>
      </c>
      <c r="D695" s="1">
        <f ca="1">IFERROR(__xludf.DUMMYFUNCTION("""COMPUTED_VALUE"""),405)</f>
        <v>405</v>
      </c>
      <c r="E695" s="1" t="str">
        <f ca="1">IFERROR(__xludf.DUMMYFUNCTION("""COMPUTED_VALUE"""),"European Archives of Oto-Rhino-Laryngology")</f>
        <v>European Archives of Oto-Rhino-Laryngology</v>
      </c>
      <c r="F695" s="1" t="str">
        <f ca="1">IFERROR(__xludf.DUMMYFUNCTION("""COMPUTED_VALUE"""),"1434-4726")</f>
        <v>1434-4726</v>
      </c>
      <c r="G695" s="1" t="str">
        <f ca="1">IFERROR(__xludf.DUMMYFUNCTION("""COMPUTED_VALUE"""),"0937-4477")</f>
        <v>0937-4477</v>
      </c>
      <c r="H695" s="27" t="str">
        <f ca="1">IFERROR(__xludf.DUMMYFUNCTION("""COMPUTED_VALUE"""),"https://link.springer.com/journal/405")</f>
        <v>https://link.springer.com/journal/405</v>
      </c>
      <c r="I695" s="1" t="str">
        <f ca="1">IFERROR(__xludf.DUMMYFUNCTION("""COMPUTED_VALUE"""),"Springer")</f>
        <v>Springer</v>
      </c>
      <c r="J695" s="1">
        <f ca="1">IFERROR(__xludf.DUMMYFUNCTION("""COMPUTED_VALUE"""),2000)</f>
        <v>2000</v>
      </c>
      <c r="K695" s="1" t="str">
        <f ca="1">IFERROR(__xludf.DUMMYFUNCTION("""COMPUTED_VALUE"""),"Medicine")</f>
        <v>Medicine</v>
      </c>
      <c r="L695" s="1" t="str">
        <f ca="1">IFERROR(__xludf.DUMMYFUNCTION("""COMPUTED_VALUE"""),"〇")</f>
        <v>〇</v>
      </c>
      <c r="M695" s="1" t="str">
        <f ca="1">IFERROR(__xludf.DUMMYFUNCTION("""COMPUTED_VALUE"""),"〇")</f>
        <v>〇</v>
      </c>
      <c r="N695" s="1"/>
      <c r="O695" s="1"/>
      <c r="P695" s="1"/>
    </row>
    <row r="696" spans="1:16" ht="14.25" customHeight="1" x14ac:dyDescent="0.25">
      <c r="A696" s="1"/>
      <c r="B696" s="1">
        <f ca="1"/>
        <v>684</v>
      </c>
      <c r="C696" s="1">
        <f ca="1">IFERROR(__xludf.DUMMYFUNCTION("""COMPUTED_VALUE"""),2023)</f>
        <v>2023</v>
      </c>
      <c r="D696" s="1">
        <f ca="1">IFERROR(__xludf.DUMMYFUNCTION("""COMPUTED_VALUE"""),40368)</f>
        <v>40368</v>
      </c>
      <c r="E696" s="1" t="str">
        <f ca="1">IFERROR(__xludf.DUMMYFUNCTION("""COMPUTED_VALUE"""),"European Archives of Paediatric Dentistry")</f>
        <v>European Archives of Paediatric Dentistry</v>
      </c>
      <c r="F696" s="1" t="str">
        <f ca="1">IFERROR(__xludf.DUMMYFUNCTION("""COMPUTED_VALUE"""),"1996-9805")</f>
        <v>1996-9805</v>
      </c>
      <c r="G696" s="1" t="str">
        <f ca="1">IFERROR(__xludf.DUMMYFUNCTION("""COMPUTED_VALUE"""),"1818-6300")</f>
        <v>1818-6300</v>
      </c>
      <c r="H696" s="27" t="str">
        <f ca="1">IFERROR(__xludf.DUMMYFUNCTION("""COMPUTED_VALUE"""),"https://link.springer.com/journal/40368")</f>
        <v>https://link.springer.com/journal/40368</v>
      </c>
      <c r="I696" s="1" t="str">
        <f ca="1">IFERROR(__xludf.DUMMYFUNCTION("""COMPUTED_VALUE"""),"Springer")</f>
        <v>Springer</v>
      </c>
      <c r="J696" s="1">
        <f ca="1">IFERROR(__xludf.DUMMYFUNCTION("""COMPUTED_VALUE"""),2006)</f>
        <v>2006</v>
      </c>
      <c r="K696" s="1" t="str">
        <f ca="1">IFERROR(__xludf.DUMMYFUNCTION("""COMPUTED_VALUE"""),"Medicine")</f>
        <v>Medicine</v>
      </c>
      <c r="L696" s="1" t="str">
        <f ca="1">IFERROR(__xludf.DUMMYFUNCTION("""COMPUTED_VALUE"""),"〇")</f>
        <v>〇</v>
      </c>
      <c r="M696" s="1"/>
      <c r="N696" s="1" t="str">
        <f ca="1">IFERROR(__xludf.DUMMYFUNCTION("""COMPUTED_VALUE"""),"TO13")</f>
        <v>TO13</v>
      </c>
      <c r="O696" s="1"/>
      <c r="P696" s="1"/>
    </row>
    <row r="697" spans="1:16" ht="14.25" customHeight="1" x14ac:dyDescent="0.25">
      <c r="A697" s="1"/>
      <c r="B697" s="1">
        <f ca="1"/>
        <v>685</v>
      </c>
      <c r="C697" s="1">
        <f ca="1">IFERROR(__xludf.DUMMYFUNCTION("""COMPUTED_VALUE"""),2023)</f>
        <v>2023</v>
      </c>
      <c r="D697" s="1">
        <f ca="1">IFERROR(__xludf.DUMMYFUNCTION("""COMPUTED_VALUE"""),406)</f>
        <v>406</v>
      </c>
      <c r="E697" s="1" t="str">
        <f ca="1">IFERROR(__xludf.DUMMYFUNCTION("""COMPUTED_VALUE"""),"European Archives of Psychiatry and Clinical Neuroscience")</f>
        <v>European Archives of Psychiatry and Clinical Neuroscience</v>
      </c>
      <c r="F697" s="1" t="str">
        <f ca="1">IFERROR(__xludf.DUMMYFUNCTION("""COMPUTED_VALUE"""),"1433-8491")</f>
        <v>1433-8491</v>
      </c>
      <c r="G697" s="1" t="str">
        <f ca="1">IFERROR(__xludf.DUMMYFUNCTION("""COMPUTED_VALUE"""),"0940-1334")</f>
        <v>0940-1334</v>
      </c>
      <c r="H697" s="27" t="str">
        <f ca="1">IFERROR(__xludf.DUMMYFUNCTION("""COMPUTED_VALUE"""),"https://link.springer.com/journal/406")</f>
        <v>https://link.springer.com/journal/406</v>
      </c>
      <c r="I697" s="1" t="str">
        <f ca="1">IFERROR(__xludf.DUMMYFUNCTION("""COMPUTED_VALUE"""),"Springer")</f>
        <v>Springer</v>
      </c>
      <c r="J697" s="1">
        <f ca="1">IFERROR(__xludf.DUMMYFUNCTION("""COMPUTED_VALUE"""),2000)</f>
        <v>2000</v>
      </c>
      <c r="K697" s="1" t="str">
        <f ca="1">IFERROR(__xludf.DUMMYFUNCTION("""COMPUTED_VALUE"""),"Medicine")</f>
        <v>Medicine</v>
      </c>
      <c r="L697" s="1" t="str">
        <f ca="1">IFERROR(__xludf.DUMMYFUNCTION("""COMPUTED_VALUE"""),"〇")</f>
        <v>〇</v>
      </c>
      <c r="M697" s="1" t="str">
        <f ca="1">IFERROR(__xludf.DUMMYFUNCTION("""COMPUTED_VALUE"""),"〇")</f>
        <v>〇</v>
      </c>
      <c r="N697" s="1"/>
      <c r="O697" s="1"/>
      <c r="P697" s="1"/>
    </row>
    <row r="698" spans="1:16" ht="14.25" customHeight="1" x14ac:dyDescent="0.25">
      <c r="A698" s="1"/>
      <c r="B698" s="1">
        <f ca="1"/>
        <v>686</v>
      </c>
      <c r="C698" s="1">
        <f ca="1">IFERROR(__xludf.DUMMYFUNCTION("""COMPUTED_VALUE"""),2023)</f>
        <v>2023</v>
      </c>
      <c r="D698" s="1">
        <f ca="1">IFERROR(__xludf.DUMMYFUNCTION("""COMPUTED_VALUE"""),249)</f>
        <v>249</v>
      </c>
      <c r="E698" s="1" t="str">
        <f ca="1">IFERROR(__xludf.DUMMYFUNCTION("""COMPUTED_VALUE"""),"European Biophysics Journal")</f>
        <v>European Biophysics Journal</v>
      </c>
      <c r="F698" s="1" t="str">
        <f ca="1">IFERROR(__xludf.DUMMYFUNCTION("""COMPUTED_VALUE"""),"1432-1017")</f>
        <v>1432-1017</v>
      </c>
      <c r="G698" s="1" t="str">
        <f ca="1">IFERROR(__xludf.DUMMYFUNCTION("""COMPUTED_VALUE"""),"0175-7571")</f>
        <v>0175-7571</v>
      </c>
      <c r="H698" s="27" t="str">
        <f ca="1">IFERROR(__xludf.DUMMYFUNCTION("""COMPUTED_VALUE"""),"https://link.springer.com/journal/249")</f>
        <v>https://link.springer.com/journal/249</v>
      </c>
      <c r="I698" s="1" t="str">
        <f ca="1">IFERROR(__xludf.DUMMYFUNCTION("""COMPUTED_VALUE"""),"Springer")</f>
        <v>Springer</v>
      </c>
      <c r="J698" s="1">
        <f ca="1">IFERROR(__xludf.DUMMYFUNCTION("""COMPUTED_VALUE"""),2000)</f>
        <v>2000</v>
      </c>
      <c r="K698" s="1" t="str">
        <f ca="1">IFERROR(__xludf.DUMMYFUNCTION("""COMPUTED_VALUE"""),"Biomedical and Life Sciences")</f>
        <v>Biomedical and Life Sciences</v>
      </c>
      <c r="L698" s="1" t="str">
        <f ca="1">IFERROR(__xludf.DUMMYFUNCTION("""COMPUTED_VALUE"""),"〇")</f>
        <v>〇</v>
      </c>
      <c r="M698" s="1" t="str">
        <f ca="1">IFERROR(__xludf.DUMMYFUNCTION("""COMPUTED_VALUE"""),"〇")</f>
        <v>〇</v>
      </c>
      <c r="N698" s="1"/>
      <c r="O698" s="1"/>
      <c r="P698" s="1"/>
    </row>
    <row r="699" spans="1:16" ht="14.25" customHeight="1" x14ac:dyDescent="0.25">
      <c r="A699" s="1"/>
      <c r="B699" s="1">
        <f ca="1"/>
        <v>687</v>
      </c>
      <c r="C699" s="1">
        <f ca="1">IFERROR(__xludf.DUMMYFUNCTION("""COMPUTED_VALUE"""),2023)</f>
        <v>2023</v>
      </c>
      <c r="D699" s="1">
        <f ca="1">IFERROR(__xludf.DUMMYFUNCTION("""COMPUTED_VALUE"""),40804)</f>
        <v>40804</v>
      </c>
      <c r="E699" s="1" t="str">
        <f ca="1">IFERROR(__xludf.DUMMYFUNCTION("""COMPUTED_VALUE"""),"European Business Organization Law Review")</f>
        <v>European Business Organization Law Review</v>
      </c>
      <c r="F699" s="1" t="str">
        <f ca="1">IFERROR(__xludf.DUMMYFUNCTION("""COMPUTED_VALUE"""),"1741-6205")</f>
        <v>1741-6205</v>
      </c>
      <c r="G699" s="1" t="str">
        <f ca="1">IFERROR(__xludf.DUMMYFUNCTION("""COMPUTED_VALUE"""),"1566-7529")</f>
        <v>1566-7529</v>
      </c>
      <c r="H699" s="27" t="str">
        <f ca="1">IFERROR(__xludf.DUMMYFUNCTION("""COMPUTED_VALUE"""),"https://link.springer.com/journal/40804")</f>
        <v>https://link.springer.com/journal/40804</v>
      </c>
      <c r="I699" s="1" t="str">
        <f ca="1">IFERROR(__xludf.DUMMYFUNCTION("""COMPUTED_VALUE"""),"Springer")</f>
        <v>Springer</v>
      </c>
      <c r="J699" s="1">
        <f ca="1">IFERROR(__xludf.DUMMYFUNCTION("""COMPUTED_VALUE"""),2000)</f>
        <v>2000</v>
      </c>
      <c r="K699" s="1" t="str">
        <f ca="1">IFERROR(__xludf.DUMMYFUNCTION("""COMPUTED_VALUE"""),"Law and Criminology")</f>
        <v>Law and Criminology</v>
      </c>
      <c r="L699" s="1" t="str">
        <f ca="1">IFERROR(__xludf.DUMMYFUNCTION("""COMPUTED_VALUE"""),"〇")</f>
        <v>〇</v>
      </c>
      <c r="M699" s="1"/>
      <c r="N699" s="1" t="str">
        <f ca="1">IFERROR(__xludf.DUMMYFUNCTION("""COMPUTED_VALUE"""),"TO15")</f>
        <v>TO15</v>
      </c>
      <c r="O699" s="1"/>
      <c r="P699" s="1"/>
    </row>
    <row r="700" spans="1:16" ht="14.25" customHeight="1" x14ac:dyDescent="0.25">
      <c r="A700" s="1"/>
      <c r="B700" s="1">
        <f ca="1"/>
        <v>688</v>
      </c>
      <c r="C700" s="1">
        <f ca="1">IFERROR(__xludf.DUMMYFUNCTION("""COMPUTED_VALUE"""),2023)</f>
        <v>2023</v>
      </c>
      <c r="D700" s="1">
        <f ca="1">IFERROR(__xludf.DUMMYFUNCTION("""COMPUTED_VALUE"""),787)</f>
        <v>787</v>
      </c>
      <c r="E700" s="1" t="str">
        <f ca="1">IFERROR(__xludf.DUMMYFUNCTION("""COMPUTED_VALUE"""),"European Child &amp; Adolescent Psychiatry")</f>
        <v>European Child &amp; Adolescent Psychiatry</v>
      </c>
      <c r="F700" s="1" t="str">
        <f ca="1">IFERROR(__xludf.DUMMYFUNCTION("""COMPUTED_VALUE"""),"1435-165X")</f>
        <v>1435-165X</v>
      </c>
      <c r="G700" s="1" t="str">
        <f ca="1">IFERROR(__xludf.DUMMYFUNCTION("""COMPUTED_VALUE"""),"1018-8827")</f>
        <v>1018-8827</v>
      </c>
      <c r="H700" s="27" t="str">
        <f ca="1">IFERROR(__xludf.DUMMYFUNCTION("""COMPUTED_VALUE"""),"https://link.springer.com/journal/787")</f>
        <v>https://link.springer.com/journal/787</v>
      </c>
      <c r="I700" s="1" t="str">
        <f ca="1">IFERROR(__xludf.DUMMYFUNCTION("""COMPUTED_VALUE"""),"Springer")</f>
        <v>Springer</v>
      </c>
      <c r="J700" s="1">
        <f ca="1">IFERROR(__xludf.DUMMYFUNCTION("""COMPUTED_VALUE"""),2000)</f>
        <v>2000</v>
      </c>
      <c r="K700" s="1" t="str">
        <f ca="1">IFERROR(__xludf.DUMMYFUNCTION("""COMPUTED_VALUE"""),"Medicine")</f>
        <v>Medicine</v>
      </c>
      <c r="L700" s="1" t="str">
        <f ca="1">IFERROR(__xludf.DUMMYFUNCTION("""COMPUTED_VALUE"""),"〇")</f>
        <v>〇</v>
      </c>
      <c r="M700" s="1" t="str">
        <f ca="1">IFERROR(__xludf.DUMMYFUNCTION("""COMPUTED_VALUE"""),"〇")</f>
        <v>〇</v>
      </c>
      <c r="N700" s="1"/>
      <c r="O700" s="1"/>
      <c r="P700" s="1"/>
    </row>
    <row r="701" spans="1:16" ht="14.25" customHeight="1" x14ac:dyDescent="0.25">
      <c r="A701" s="1"/>
      <c r="B701" s="1">
        <f ca="1"/>
        <v>689</v>
      </c>
      <c r="C701" s="1">
        <f ca="1">IFERROR(__xludf.DUMMYFUNCTION("""COMPUTED_VALUE"""),2023)</f>
        <v>2023</v>
      </c>
      <c r="D701" s="1">
        <f ca="1">IFERROR(__xludf.DUMMYFUNCTION("""COMPUTED_VALUE"""),40698)</f>
        <v>40698</v>
      </c>
      <c r="E701" s="1" t="str">
        <f ca="1">IFERROR(__xludf.DUMMYFUNCTION("""COMPUTED_VALUE"""),"European Cytokine Network")</f>
        <v>European Cytokine Network</v>
      </c>
      <c r="F701" s="1" t="str">
        <f ca="1">IFERROR(__xludf.DUMMYFUNCTION("""COMPUTED_VALUE"""),"1952-4005")</f>
        <v>1952-4005</v>
      </c>
      <c r="G701" s="1"/>
      <c r="H701" s="27" t="str">
        <f ca="1">IFERROR(__xludf.DUMMYFUNCTION("""COMPUTED_VALUE"""),"https://link.springer.com/journal/40698")</f>
        <v>https://link.springer.com/journal/40698</v>
      </c>
      <c r="I701" s="1" t="str">
        <f ca="1">IFERROR(__xludf.DUMMYFUNCTION("""COMPUTED_VALUE"""),"John Libbey Eurotext")</f>
        <v>John Libbey Eurotext</v>
      </c>
      <c r="J701" s="1">
        <f ca="1">IFERROR(__xludf.DUMMYFUNCTION("""COMPUTED_VALUE"""),2014)</f>
        <v>2014</v>
      </c>
      <c r="K701" s="1" t="str">
        <f ca="1">IFERROR(__xludf.DUMMYFUNCTION("""COMPUTED_VALUE"""),"Biomedical and Life Sciences")</f>
        <v>Biomedical and Life Sciences</v>
      </c>
      <c r="L701" s="1"/>
      <c r="M701" s="1"/>
      <c r="N701" s="1" t="str">
        <f ca="1">IFERROR(__xludf.DUMMYFUNCTION("""COMPUTED_VALUE"""),"TO14")</f>
        <v>TO14</v>
      </c>
      <c r="O701" s="1"/>
      <c r="P701" s="1"/>
    </row>
    <row r="702" spans="1:16" ht="14.25" customHeight="1" x14ac:dyDescent="0.25">
      <c r="A702" s="1"/>
      <c r="B702" s="1">
        <f ca="1"/>
        <v>690</v>
      </c>
      <c r="C702" s="1">
        <f ca="1">IFERROR(__xludf.DUMMYFUNCTION("""COMPUTED_VALUE"""),2023)</f>
        <v>2023</v>
      </c>
      <c r="D702" s="1">
        <f ca="1">IFERROR(__xludf.DUMMYFUNCTION("""COMPUTED_VALUE"""),217)</f>
        <v>217</v>
      </c>
      <c r="E702" s="1" t="str">
        <f ca="1">IFERROR(__xludf.DUMMYFUNCTION("""COMPUTED_VALUE"""),"European Food Research and Technology")</f>
        <v>European Food Research and Technology</v>
      </c>
      <c r="F702" s="1" t="str">
        <f ca="1">IFERROR(__xludf.DUMMYFUNCTION("""COMPUTED_VALUE"""),"1438-2385")</f>
        <v>1438-2385</v>
      </c>
      <c r="G702" s="1" t="str">
        <f ca="1">IFERROR(__xludf.DUMMYFUNCTION("""COMPUTED_VALUE"""),"1438-2377")</f>
        <v>1438-2377</v>
      </c>
      <c r="H702" s="27" t="str">
        <f ca="1">IFERROR(__xludf.DUMMYFUNCTION("""COMPUTED_VALUE"""),"https://link.springer.com/journal/217")</f>
        <v>https://link.springer.com/journal/217</v>
      </c>
      <c r="I702" s="1" t="str">
        <f ca="1">IFERROR(__xludf.DUMMYFUNCTION("""COMPUTED_VALUE"""),"Springer")</f>
        <v>Springer</v>
      </c>
      <c r="J702" s="1">
        <f ca="1">IFERROR(__xludf.DUMMYFUNCTION("""COMPUTED_VALUE"""),2000)</f>
        <v>2000</v>
      </c>
      <c r="K702" s="1" t="str">
        <f ca="1">IFERROR(__xludf.DUMMYFUNCTION("""COMPUTED_VALUE"""),"Chemistry and Materials Science")</f>
        <v>Chemistry and Materials Science</v>
      </c>
      <c r="L702" s="1" t="str">
        <f ca="1">IFERROR(__xludf.DUMMYFUNCTION("""COMPUTED_VALUE"""),"〇")</f>
        <v>〇</v>
      </c>
      <c r="M702" s="1" t="str">
        <f ca="1">IFERROR(__xludf.DUMMYFUNCTION("""COMPUTED_VALUE"""),"〇")</f>
        <v>〇</v>
      </c>
      <c r="N702" s="1"/>
      <c r="O702" s="1"/>
      <c r="P702" s="1"/>
    </row>
    <row r="703" spans="1:16" ht="14.25" customHeight="1" x14ac:dyDescent="0.25">
      <c r="A703" s="1"/>
      <c r="B703" s="1">
        <f ca="1"/>
        <v>691</v>
      </c>
      <c r="C703" s="1">
        <f ca="1">IFERROR(__xludf.DUMMYFUNCTION("""COMPUTED_VALUE"""),2023)</f>
        <v>2023</v>
      </c>
      <c r="D703" s="1">
        <f ca="1">IFERROR(__xludf.DUMMYFUNCTION("""COMPUTED_VALUE"""),41999)</f>
        <v>41999</v>
      </c>
      <c r="E703" s="1" t="str">
        <f ca="1">IFERROR(__xludf.DUMMYFUNCTION("""COMPUTED_VALUE"""),"European Geriatric Medicine")</f>
        <v>European Geriatric Medicine</v>
      </c>
      <c r="F703" s="1" t="str">
        <f ca="1">IFERROR(__xludf.DUMMYFUNCTION("""COMPUTED_VALUE"""),"1878-7657")</f>
        <v>1878-7657</v>
      </c>
      <c r="G703" s="1"/>
      <c r="H703" s="27" t="str">
        <f ca="1">IFERROR(__xludf.DUMMYFUNCTION("""COMPUTED_VALUE"""),"https://link.springer.com/journal/41999")</f>
        <v>https://link.springer.com/journal/41999</v>
      </c>
      <c r="I703" s="1" t="str">
        <f ca="1">IFERROR(__xludf.DUMMYFUNCTION("""COMPUTED_VALUE"""),"Springer")</f>
        <v>Springer</v>
      </c>
      <c r="J703" s="1">
        <f ca="1">IFERROR(__xludf.DUMMYFUNCTION("""COMPUTED_VALUE"""),2018)</f>
        <v>2018</v>
      </c>
      <c r="K703" s="1" t="str">
        <f ca="1">IFERROR(__xludf.DUMMYFUNCTION("""COMPUTED_VALUE"""),"Medicine")</f>
        <v>Medicine</v>
      </c>
      <c r="L703" s="1"/>
      <c r="M703" s="1"/>
      <c r="N703" s="1" t="str">
        <f ca="1">IFERROR(__xludf.DUMMYFUNCTION("""COMPUTED_VALUE"""),"TO18")</f>
        <v>TO18</v>
      </c>
      <c r="O703" s="1"/>
      <c r="P703" s="1"/>
    </row>
    <row r="704" spans="1:16" ht="14.25" customHeight="1" x14ac:dyDescent="0.25">
      <c r="A704" s="1"/>
      <c r="B704" s="1">
        <f ca="1"/>
        <v>692</v>
      </c>
      <c r="C704" s="1">
        <f ca="1">IFERROR(__xludf.DUMMYFUNCTION("""COMPUTED_VALUE"""),2023)</f>
        <v>2023</v>
      </c>
      <c r="D704" s="1">
        <f ca="1">IFERROR(__xludf.DUMMYFUNCTION("""COMPUTED_VALUE"""),13194)</f>
        <v>13194</v>
      </c>
      <c r="E704" s="1" t="str">
        <f ca="1">IFERROR(__xludf.DUMMYFUNCTION("""COMPUTED_VALUE"""),"European Journal for Philosophy of Science")</f>
        <v>European Journal for Philosophy of Science</v>
      </c>
      <c r="F704" s="1" t="str">
        <f ca="1">IFERROR(__xludf.DUMMYFUNCTION("""COMPUTED_VALUE"""),"1879-4920")</f>
        <v>1879-4920</v>
      </c>
      <c r="G704" s="1" t="str">
        <f ca="1">IFERROR(__xludf.DUMMYFUNCTION("""COMPUTED_VALUE"""),"1879-4912")</f>
        <v>1879-4912</v>
      </c>
      <c r="H704" s="27" t="str">
        <f ca="1">IFERROR(__xludf.DUMMYFUNCTION("""COMPUTED_VALUE"""),"https://link.springer.com/journal/13194")</f>
        <v>https://link.springer.com/journal/13194</v>
      </c>
      <c r="I704" s="1" t="str">
        <f ca="1">IFERROR(__xludf.DUMMYFUNCTION("""COMPUTED_VALUE"""),"Springer")</f>
        <v>Springer</v>
      </c>
      <c r="J704" s="1">
        <f ca="1">IFERROR(__xludf.DUMMYFUNCTION("""COMPUTED_VALUE"""),2011)</f>
        <v>2011</v>
      </c>
      <c r="K704" s="1" t="str">
        <f ca="1">IFERROR(__xludf.DUMMYFUNCTION("""COMPUTED_VALUE"""),"Education")</f>
        <v>Education</v>
      </c>
      <c r="L704" s="1" t="str">
        <f ca="1">IFERROR(__xludf.DUMMYFUNCTION("""COMPUTED_VALUE"""),"〇")</f>
        <v>〇</v>
      </c>
      <c r="M704" s="1"/>
      <c r="N704" s="1" t="str">
        <f ca="1">IFERROR(__xludf.DUMMYFUNCTION("""COMPUTED_VALUE"""),"SNS11")</f>
        <v>SNS11</v>
      </c>
      <c r="O704" s="1"/>
      <c r="P704" s="1"/>
    </row>
    <row r="705" spans="1:16" ht="14.25" customHeight="1" x14ac:dyDescent="0.25">
      <c r="A705" s="1"/>
      <c r="B705" s="1">
        <f ca="1"/>
        <v>693</v>
      </c>
      <c r="C705" s="1">
        <f ca="1">IFERROR(__xludf.DUMMYFUNCTION("""COMPUTED_VALUE"""),2023)</f>
        <v>2023</v>
      </c>
      <c r="D705" s="1">
        <f ca="1">IFERROR(__xludf.DUMMYFUNCTION("""COMPUTED_VALUE"""),41125)</f>
        <v>41125</v>
      </c>
      <c r="E705" s="1" t="str">
        <f ca="1">IFERROR(__xludf.DUMMYFUNCTION("""COMPUTED_VALUE"""),"European Journal for Security Research")</f>
        <v>European Journal for Security Research</v>
      </c>
      <c r="F705" s="1" t="str">
        <f ca="1">IFERROR(__xludf.DUMMYFUNCTION("""COMPUTED_VALUE"""),"2365-1695")</f>
        <v>2365-1695</v>
      </c>
      <c r="G705" s="1" t="str">
        <f ca="1">IFERROR(__xludf.DUMMYFUNCTION("""COMPUTED_VALUE"""),"2365-0931")</f>
        <v>2365-0931</v>
      </c>
      <c r="H705" s="27" t="str">
        <f ca="1">IFERROR(__xludf.DUMMYFUNCTION("""COMPUTED_VALUE"""),"https://link.springer.com/journal/41125")</f>
        <v>https://link.springer.com/journal/41125</v>
      </c>
      <c r="I705" s="1" t="str">
        <f ca="1">IFERROR(__xludf.DUMMYFUNCTION("""COMPUTED_VALUE"""),"Springer")</f>
        <v>Springer</v>
      </c>
      <c r="J705" s="1">
        <f ca="1">IFERROR(__xludf.DUMMYFUNCTION("""COMPUTED_VALUE"""),2016)</f>
        <v>2016</v>
      </c>
      <c r="K705" s="1" t="str">
        <f ca="1">IFERROR(__xludf.DUMMYFUNCTION("""COMPUTED_VALUE"""),"Law and Criminology")</f>
        <v>Law and Criminology</v>
      </c>
      <c r="L705" s="1" t="str">
        <f ca="1">IFERROR(__xludf.DUMMYFUNCTION("""COMPUTED_VALUE"""),"〇")</f>
        <v>〇</v>
      </c>
      <c r="M705" s="1"/>
      <c r="N705" s="1" t="str">
        <f ca="1">IFERROR(__xludf.DUMMYFUNCTION("""COMPUTED_VALUE"""),"SNS16")</f>
        <v>SNS16</v>
      </c>
      <c r="O705" s="1"/>
      <c r="P705" s="1"/>
    </row>
    <row r="706" spans="1:16" ht="14.25" customHeight="1" x14ac:dyDescent="0.25">
      <c r="A706" s="1"/>
      <c r="B706" s="1">
        <f ca="1"/>
        <v>694</v>
      </c>
      <c r="C706" s="1">
        <f ca="1">IFERROR(__xludf.DUMMYFUNCTION("""COMPUTED_VALUE"""),2023)</f>
        <v>2023</v>
      </c>
      <c r="D706" s="1">
        <f ca="1">IFERROR(__xludf.DUMMYFUNCTION("""COMPUTED_VALUE"""),421)</f>
        <v>421</v>
      </c>
      <c r="E706" s="1" t="str">
        <f ca="1">IFERROR(__xludf.DUMMYFUNCTION("""COMPUTED_VALUE"""),"European Journal of Applied Physiology")</f>
        <v>European Journal of Applied Physiology</v>
      </c>
      <c r="F706" s="1" t="str">
        <f ca="1">IFERROR(__xludf.DUMMYFUNCTION("""COMPUTED_VALUE"""),"1439-6327")</f>
        <v>1439-6327</v>
      </c>
      <c r="G706" s="1" t="str">
        <f ca="1">IFERROR(__xludf.DUMMYFUNCTION("""COMPUTED_VALUE"""),"1439-6319")</f>
        <v>1439-6319</v>
      </c>
      <c r="H706" s="27" t="str">
        <f ca="1">IFERROR(__xludf.DUMMYFUNCTION("""COMPUTED_VALUE"""),"https://link.springer.com/journal/421")</f>
        <v>https://link.springer.com/journal/421</v>
      </c>
      <c r="I706" s="1" t="str">
        <f ca="1">IFERROR(__xludf.DUMMYFUNCTION("""COMPUTED_VALUE"""),"Springer")</f>
        <v>Springer</v>
      </c>
      <c r="J706" s="1">
        <f ca="1">IFERROR(__xludf.DUMMYFUNCTION("""COMPUTED_VALUE"""),2000)</f>
        <v>2000</v>
      </c>
      <c r="K706" s="1" t="str">
        <f ca="1">IFERROR(__xludf.DUMMYFUNCTION("""COMPUTED_VALUE"""),"Biomedical and Life Sciences")</f>
        <v>Biomedical and Life Sciences</v>
      </c>
      <c r="L706" s="1" t="str">
        <f ca="1">IFERROR(__xludf.DUMMYFUNCTION("""COMPUTED_VALUE"""),"〇")</f>
        <v>〇</v>
      </c>
      <c r="M706" s="1" t="str">
        <f ca="1">IFERROR(__xludf.DUMMYFUNCTION("""COMPUTED_VALUE"""),"〇")</f>
        <v>〇</v>
      </c>
      <c r="N706" s="1"/>
      <c r="O706" s="1"/>
      <c r="P706" s="1"/>
    </row>
    <row r="707" spans="1:16" ht="14.25" customHeight="1" x14ac:dyDescent="0.25">
      <c r="A707" s="1"/>
      <c r="B707" s="1">
        <f ca="1"/>
        <v>695</v>
      </c>
      <c r="C707" s="1">
        <f ca="1">IFERROR(__xludf.DUMMYFUNCTION("""COMPUTED_VALUE"""),2023)</f>
        <v>2023</v>
      </c>
      <c r="D707" s="1">
        <f ca="1">IFERROR(__xludf.DUMMYFUNCTION("""COMPUTED_VALUE"""),10096)</f>
        <v>10096</v>
      </c>
      <c r="E707" s="1" t="str">
        <f ca="1">IFERROR(__xludf.DUMMYFUNCTION("""COMPUTED_VALUE"""),"European Journal of Clinical Microbiology &amp; Infectious Diseases")</f>
        <v>European Journal of Clinical Microbiology &amp; Infectious Diseases</v>
      </c>
      <c r="F707" s="1" t="str">
        <f ca="1">IFERROR(__xludf.DUMMYFUNCTION("""COMPUTED_VALUE"""),"1435-4373")</f>
        <v>1435-4373</v>
      </c>
      <c r="G707" s="1" t="str">
        <f ca="1">IFERROR(__xludf.DUMMYFUNCTION("""COMPUTED_VALUE"""),"0934-9723")</f>
        <v>0934-9723</v>
      </c>
      <c r="H707" s="27" t="str">
        <f ca="1">IFERROR(__xludf.DUMMYFUNCTION("""COMPUTED_VALUE"""),"https://link.springer.com/journal/10096")</f>
        <v>https://link.springer.com/journal/10096</v>
      </c>
      <c r="I707" s="1" t="str">
        <f ca="1">IFERROR(__xludf.DUMMYFUNCTION("""COMPUTED_VALUE"""),"Springer")</f>
        <v>Springer</v>
      </c>
      <c r="J707" s="1">
        <f ca="1">IFERROR(__xludf.DUMMYFUNCTION("""COMPUTED_VALUE"""),2000)</f>
        <v>2000</v>
      </c>
      <c r="K707" s="1" t="str">
        <f ca="1">IFERROR(__xludf.DUMMYFUNCTION("""COMPUTED_VALUE"""),"Biomedical and Life Sciences")</f>
        <v>Biomedical and Life Sciences</v>
      </c>
      <c r="L707" s="1" t="str">
        <f ca="1">IFERROR(__xludf.DUMMYFUNCTION("""COMPUTED_VALUE"""),"〇")</f>
        <v>〇</v>
      </c>
      <c r="M707" s="1" t="str">
        <f ca="1">IFERROR(__xludf.DUMMYFUNCTION("""COMPUTED_VALUE"""),"〇")</f>
        <v>〇</v>
      </c>
      <c r="N707" s="1"/>
      <c r="O707" s="1"/>
      <c r="P707" s="1"/>
    </row>
    <row r="708" spans="1:16" ht="14.25" customHeight="1" x14ac:dyDescent="0.25">
      <c r="A708" s="1"/>
      <c r="B708" s="1">
        <f ca="1"/>
        <v>696</v>
      </c>
      <c r="C708" s="1">
        <f ca="1">IFERROR(__xludf.DUMMYFUNCTION("""COMPUTED_VALUE"""),2023)</f>
        <v>2023</v>
      </c>
      <c r="D708" s="1">
        <f ca="1">IFERROR(__xludf.DUMMYFUNCTION("""COMPUTED_VALUE"""),228)</f>
        <v>228</v>
      </c>
      <c r="E708" s="1" t="str">
        <f ca="1">IFERROR(__xludf.DUMMYFUNCTION("""COMPUTED_VALUE"""),"European Journal of Clinical Pharmacology")</f>
        <v>European Journal of Clinical Pharmacology</v>
      </c>
      <c r="F708" s="1" t="str">
        <f ca="1">IFERROR(__xludf.DUMMYFUNCTION("""COMPUTED_VALUE"""),"1432-1041")</f>
        <v>1432-1041</v>
      </c>
      <c r="G708" s="1" t="str">
        <f ca="1">IFERROR(__xludf.DUMMYFUNCTION("""COMPUTED_VALUE"""),"0031-6970")</f>
        <v>0031-6970</v>
      </c>
      <c r="H708" s="27" t="str">
        <f ca="1">IFERROR(__xludf.DUMMYFUNCTION("""COMPUTED_VALUE"""),"https://link.springer.com/journal/228")</f>
        <v>https://link.springer.com/journal/228</v>
      </c>
      <c r="I708" s="1" t="str">
        <f ca="1">IFERROR(__xludf.DUMMYFUNCTION("""COMPUTED_VALUE"""),"Springer")</f>
        <v>Springer</v>
      </c>
      <c r="J708" s="1">
        <f ca="1">IFERROR(__xludf.DUMMYFUNCTION("""COMPUTED_VALUE"""),2000)</f>
        <v>2000</v>
      </c>
      <c r="K708" s="1" t="str">
        <f ca="1">IFERROR(__xludf.DUMMYFUNCTION("""COMPUTED_VALUE"""),"Biomedical and Life Sciences")</f>
        <v>Biomedical and Life Sciences</v>
      </c>
      <c r="L708" s="1" t="str">
        <f ca="1">IFERROR(__xludf.DUMMYFUNCTION("""COMPUTED_VALUE"""),"〇")</f>
        <v>〇</v>
      </c>
      <c r="M708" s="1" t="str">
        <f ca="1">IFERROR(__xludf.DUMMYFUNCTION("""COMPUTED_VALUE"""),"〇")</f>
        <v>〇</v>
      </c>
      <c r="N708" s="1"/>
      <c r="O708" s="1"/>
      <c r="P708" s="1"/>
    </row>
    <row r="709" spans="1:16" ht="14.25" customHeight="1" x14ac:dyDescent="0.25">
      <c r="A709" s="1"/>
      <c r="B709" s="1">
        <f ca="1"/>
        <v>697</v>
      </c>
      <c r="C709" s="1">
        <f ca="1">IFERROR(__xludf.DUMMYFUNCTION("""COMPUTED_VALUE"""),2023)</f>
        <v>2023</v>
      </c>
      <c r="D709" s="1">
        <f ca="1">IFERROR(__xludf.DUMMYFUNCTION("""COMPUTED_VALUE"""),40699)</f>
        <v>40699</v>
      </c>
      <c r="E709" s="1" t="str">
        <f ca="1">IFERROR(__xludf.DUMMYFUNCTION("""COMPUTED_VALUE"""),"European Journal of Dermatology")</f>
        <v>European Journal of Dermatology</v>
      </c>
      <c r="F709" s="1" t="str">
        <f ca="1">IFERROR(__xludf.DUMMYFUNCTION("""COMPUTED_VALUE"""),"1952-4013")</f>
        <v>1952-4013</v>
      </c>
      <c r="G709" s="1"/>
      <c r="H709" s="27" t="str">
        <f ca="1">IFERROR(__xludf.DUMMYFUNCTION("""COMPUTED_VALUE"""),"https://link.springer.com/journal/40699")</f>
        <v>https://link.springer.com/journal/40699</v>
      </c>
      <c r="I709" s="1" t="str">
        <f ca="1">IFERROR(__xludf.DUMMYFUNCTION("""COMPUTED_VALUE"""),"John Libbey Eurotext")</f>
        <v>John Libbey Eurotext</v>
      </c>
      <c r="J709" s="1">
        <f ca="1">IFERROR(__xludf.DUMMYFUNCTION("""COMPUTED_VALUE"""),2014)</f>
        <v>2014</v>
      </c>
      <c r="K709" s="1" t="str">
        <f ca="1">IFERROR(__xludf.DUMMYFUNCTION("""COMPUTED_VALUE"""),"Medicine")</f>
        <v>Medicine</v>
      </c>
      <c r="L709" s="1"/>
      <c r="M709" s="1"/>
      <c r="N709" s="1" t="str">
        <f ca="1">IFERROR(__xludf.DUMMYFUNCTION("""COMPUTED_VALUE"""),"TO14")</f>
        <v>TO14</v>
      </c>
      <c r="O709" s="1"/>
      <c r="P709" s="1"/>
    </row>
    <row r="710" spans="1:16" ht="14.25" customHeight="1" x14ac:dyDescent="0.25">
      <c r="A710" s="1"/>
      <c r="B710" s="1">
        <f ca="1"/>
        <v>698</v>
      </c>
      <c r="C710" s="1">
        <f ca="1">IFERROR(__xludf.DUMMYFUNCTION("""COMPUTED_VALUE"""),2023)</f>
        <v>2023</v>
      </c>
      <c r="D710" s="1">
        <f ca="1">IFERROR(__xludf.DUMMYFUNCTION("""COMPUTED_VALUE"""),10654)</f>
        <v>10654</v>
      </c>
      <c r="E710" s="1" t="str">
        <f ca="1">IFERROR(__xludf.DUMMYFUNCTION("""COMPUTED_VALUE"""),"European Journal of Epidemiology")</f>
        <v>European Journal of Epidemiology</v>
      </c>
      <c r="F710" s="1" t="str">
        <f ca="1">IFERROR(__xludf.DUMMYFUNCTION("""COMPUTED_VALUE"""),"1573-7284")</f>
        <v>1573-7284</v>
      </c>
      <c r="G710" s="1" t="str">
        <f ca="1">IFERROR(__xludf.DUMMYFUNCTION("""COMPUTED_VALUE"""),"0393-2990")</f>
        <v>0393-2990</v>
      </c>
      <c r="H710" s="27" t="str">
        <f ca="1">IFERROR(__xludf.DUMMYFUNCTION("""COMPUTED_VALUE"""),"https://link.springer.com/journal/10654")</f>
        <v>https://link.springer.com/journal/10654</v>
      </c>
      <c r="I710" s="1" t="str">
        <f ca="1">IFERROR(__xludf.DUMMYFUNCTION("""COMPUTED_VALUE"""),"Springer")</f>
        <v>Springer</v>
      </c>
      <c r="J710" s="1">
        <f ca="1">IFERROR(__xludf.DUMMYFUNCTION("""COMPUTED_VALUE"""),2000)</f>
        <v>2000</v>
      </c>
      <c r="K710" s="1" t="str">
        <f ca="1">IFERROR(__xludf.DUMMYFUNCTION("""COMPUTED_VALUE"""),"Medicine")</f>
        <v>Medicine</v>
      </c>
      <c r="L710" s="1" t="str">
        <f ca="1">IFERROR(__xludf.DUMMYFUNCTION("""COMPUTED_VALUE"""),"〇")</f>
        <v>〇</v>
      </c>
      <c r="M710" s="1" t="str">
        <f ca="1">IFERROR(__xludf.DUMMYFUNCTION("""COMPUTED_VALUE"""),"〇")</f>
        <v>〇</v>
      </c>
      <c r="N710" s="1"/>
      <c r="O710" s="1"/>
      <c r="P710" s="1"/>
    </row>
    <row r="711" spans="1:16" ht="14.25" customHeight="1" x14ac:dyDescent="0.25">
      <c r="A711" s="1"/>
      <c r="B711" s="1">
        <f ca="1"/>
        <v>699</v>
      </c>
      <c r="C711" s="1">
        <f ca="1">IFERROR(__xludf.DUMMYFUNCTION("""COMPUTED_VALUE"""),2023)</f>
        <v>2023</v>
      </c>
      <c r="D711" s="1">
        <f ca="1">IFERROR(__xludf.DUMMYFUNCTION("""COMPUTED_VALUE"""),10342)</f>
        <v>10342</v>
      </c>
      <c r="E711" s="1" t="str">
        <f ca="1">IFERROR(__xludf.DUMMYFUNCTION("""COMPUTED_VALUE"""),"European Journal of Forest Research")</f>
        <v>European Journal of Forest Research</v>
      </c>
      <c r="F711" s="1" t="str">
        <f ca="1">IFERROR(__xludf.DUMMYFUNCTION("""COMPUTED_VALUE"""),"1612-4677")</f>
        <v>1612-4677</v>
      </c>
      <c r="G711" s="1" t="str">
        <f ca="1">IFERROR(__xludf.DUMMYFUNCTION("""COMPUTED_VALUE"""),"1612-4669")</f>
        <v>1612-4669</v>
      </c>
      <c r="H711" s="27" t="str">
        <f ca="1">IFERROR(__xludf.DUMMYFUNCTION("""COMPUTED_VALUE"""),"https://link.springer.com/journal/10342")</f>
        <v>https://link.springer.com/journal/10342</v>
      </c>
      <c r="I711" s="1" t="str">
        <f ca="1">IFERROR(__xludf.DUMMYFUNCTION("""COMPUTED_VALUE"""),"Springer")</f>
        <v>Springer</v>
      </c>
      <c r="J711" s="1">
        <f ca="1">IFERROR(__xludf.DUMMYFUNCTION("""COMPUTED_VALUE"""),2000)</f>
        <v>2000</v>
      </c>
      <c r="K711" s="1" t="str">
        <f ca="1">IFERROR(__xludf.DUMMYFUNCTION("""COMPUTED_VALUE"""),"Biomedical and Life Sciences")</f>
        <v>Biomedical and Life Sciences</v>
      </c>
      <c r="L711" s="1" t="str">
        <f ca="1">IFERROR(__xludf.DUMMYFUNCTION("""COMPUTED_VALUE"""),"〇")</f>
        <v>〇</v>
      </c>
      <c r="M711" s="1" t="str">
        <f ca="1">IFERROR(__xludf.DUMMYFUNCTION("""COMPUTED_VALUE"""),"〇")</f>
        <v>〇</v>
      </c>
      <c r="N711" s="1"/>
      <c r="O711" s="1"/>
      <c r="P711" s="1"/>
    </row>
    <row r="712" spans="1:16" ht="14.25" customHeight="1" x14ac:dyDescent="0.25">
      <c r="A712" s="1"/>
      <c r="B712" s="1">
        <f ca="1"/>
        <v>700</v>
      </c>
      <c r="C712" s="1">
        <f ca="1">IFERROR(__xludf.DUMMYFUNCTION("""COMPUTED_VALUE"""),2023)</f>
        <v>2023</v>
      </c>
      <c r="D712" s="1">
        <f ca="1">IFERROR(__xludf.DUMMYFUNCTION("""COMPUTED_VALUE"""),10657)</f>
        <v>10657</v>
      </c>
      <c r="E712" s="1" t="str">
        <f ca="1">IFERROR(__xludf.DUMMYFUNCTION("""COMPUTED_VALUE"""),"European Journal of Law and Economics")</f>
        <v>European Journal of Law and Economics</v>
      </c>
      <c r="F712" s="1" t="str">
        <f ca="1">IFERROR(__xludf.DUMMYFUNCTION("""COMPUTED_VALUE"""),"1572-9990")</f>
        <v>1572-9990</v>
      </c>
      <c r="G712" s="1" t="str">
        <f ca="1">IFERROR(__xludf.DUMMYFUNCTION("""COMPUTED_VALUE"""),"0929-1261")</f>
        <v>0929-1261</v>
      </c>
      <c r="H712" s="27" t="str">
        <f ca="1">IFERROR(__xludf.DUMMYFUNCTION("""COMPUTED_VALUE"""),"https://link.springer.com/journal/10657")</f>
        <v>https://link.springer.com/journal/10657</v>
      </c>
      <c r="I712" s="1" t="str">
        <f ca="1">IFERROR(__xludf.DUMMYFUNCTION("""COMPUTED_VALUE"""),"Springer")</f>
        <v>Springer</v>
      </c>
      <c r="J712" s="1">
        <f ca="1">IFERROR(__xludf.DUMMYFUNCTION("""COMPUTED_VALUE"""),2000)</f>
        <v>2000</v>
      </c>
      <c r="K712" s="1" t="str">
        <f ca="1">IFERROR(__xludf.DUMMYFUNCTION("""COMPUTED_VALUE"""),"Economics and Finance")</f>
        <v>Economics and Finance</v>
      </c>
      <c r="L712" s="1" t="str">
        <f ca="1">IFERROR(__xludf.DUMMYFUNCTION("""COMPUTED_VALUE"""),"〇")</f>
        <v>〇</v>
      </c>
      <c r="M712" s="1" t="str">
        <f ca="1">IFERROR(__xludf.DUMMYFUNCTION("""COMPUTED_VALUE"""),"〇")</f>
        <v>〇</v>
      </c>
      <c r="N712" s="1"/>
      <c r="O712" s="1"/>
      <c r="P712" s="1"/>
    </row>
    <row r="713" spans="1:16" ht="14.25" customHeight="1" x14ac:dyDescent="0.25">
      <c r="A713" s="1"/>
      <c r="B713" s="1">
        <f ca="1"/>
        <v>701</v>
      </c>
      <c r="C713" s="1">
        <f ca="1">IFERROR(__xludf.DUMMYFUNCTION("""COMPUTED_VALUE"""),2023)</f>
        <v>2023</v>
      </c>
      <c r="D713" s="1">
        <f ca="1">IFERROR(__xludf.DUMMYFUNCTION("""COMPUTED_VALUE"""),40879)</f>
        <v>40879</v>
      </c>
      <c r="E713" s="1" t="str">
        <f ca="1">IFERROR(__xludf.DUMMYFUNCTION("""COMPUTED_VALUE"""),"European Journal of Mathematics")</f>
        <v>European Journal of Mathematics</v>
      </c>
      <c r="F713" s="1" t="str">
        <f ca="1">IFERROR(__xludf.DUMMYFUNCTION("""COMPUTED_VALUE"""),"2199-6768")</f>
        <v>2199-6768</v>
      </c>
      <c r="G713" s="1" t="str">
        <f ca="1">IFERROR(__xludf.DUMMYFUNCTION("""COMPUTED_VALUE"""),"2199-675X")</f>
        <v>2199-675X</v>
      </c>
      <c r="H713" s="27" t="str">
        <f ca="1">IFERROR(__xludf.DUMMYFUNCTION("""COMPUTED_VALUE"""),"https://link.springer.com/journal/40879")</f>
        <v>https://link.springer.com/journal/40879</v>
      </c>
      <c r="I713" s="1" t="str">
        <f ca="1">IFERROR(__xludf.DUMMYFUNCTION("""COMPUTED_VALUE"""),"Springer")</f>
        <v>Springer</v>
      </c>
      <c r="J713" s="1">
        <f ca="1">IFERROR(__xludf.DUMMYFUNCTION("""COMPUTED_VALUE"""),2015)</f>
        <v>2015</v>
      </c>
      <c r="K713" s="1" t="str">
        <f ca="1">IFERROR(__xludf.DUMMYFUNCTION("""COMPUTED_VALUE"""),"Mathematics and Statistics")</f>
        <v>Mathematics and Statistics</v>
      </c>
      <c r="L713" s="1" t="str">
        <f ca="1">IFERROR(__xludf.DUMMYFUNCTION("""COMPUTED_VALUE"""),"〇")</f>
        <v>〇</v>
      </c>
      <c r="M713" s="1"/>
      <c r="N713" s="1" t="str">
        <f ca="1">IFERROR(__xludf.DUMMYFUNCTION("""COMPUTED_VALUE"""),"SNS15")</f>
        <v>SNS15</v>
      </c>
      <c r="O713" s="1"/>
      <c r="P713" s="1"/>
    </row>
    <row r="714" spans="1:16" ht="14.25" customHeight="1" x14ac:dyDescent="0.25">
      <c r="A714" s="1"/>
      <c r="B714" s="1">
        <f ca="1"/>
        <v>702</v>
      </c>
      <c r="C714" s="1">
        <f ca="1">IFERROR(__xludf.DUMMYFUNCTION("""COMPUTED_VALUE"""),2023)</f>
        <v>2023</v>
      </c>
      <c r="D714" s="1">
        <f ca="1">IFERROR(__xludf.DUMMYFUNCTION("""COMPUTED_VALUE"""),259)</f>
        <v>259</v>
      </c>
      <c r="E714" s="1" t="str">
        <f ca="1">IFERROR(__xludf.DUMMYFUNCTION("""COMPUTED_VALUE"""),"European Journal of Nuclear Medicine and Molecular Imaging")</f>
        <v>European Journal of Nuclear Medicine and Molecular Imaging</v>
      </c>
      <c r="F714" s="1" t="str">
        <f ca="1">IFERROR(__xludf.DUMMYFUNCTION("""COMPUTED_VALUE"""),"1619-7089")</f>
        <v>1619-7089</v>
      </c>
      <c r="G714" s="1" t="str">
        <f ca="1">IFERROR(__xludf.DUMMYFUNCTION("""COMPUTED_VALUE"""),"1619-7070")</f>
        <v>1619-7070</v>
      </c>
      <c r="H714" s="27" t="str">
        <f ca="1">IFERROR(__xludf.DUMMYFUNCTION("""COMPUTED_VALUE"""),"https://link.springer.com/journal/259")</f>
        <v>https://link.springer.com/journal/259</v>
      </c>
      <c r="I714" s="1" t="str">
        <f ca="1">IFERROR(__xludf.DUMMYFUNCTION("""COMPUTED_VALUE"""),"Springer")</f>
        <v>Springer</v>
      </c>
      <c r="J714" s="1">
        <f ca="1">IFERROR(__xludf.DUMMYFUNCTION("""COMPUTED_VALUE"""),2000)</f>
        <v>2000</v>
      </c>
      <c r="K714" s="1" t="str">
        <f ca="1">IFERROR(__xludf.DUMMYFUNCTION("""COMPUTED_VALUE"""),"Medicine")</f>
        <v>Medicine</v>
      </c>
      <c r="L714" s="1" t="str">
        <f ca="1">IFERROR(__xludf.DUMMYFUNCTION("""COMPUTED_VALUE"""),"〇")</f>
        <v>〇</v>
      </c>
      <c r="M714" s="1" t="str">
        <f ca="1">IFERROR(__xludf.DUMMYFUNCTION("""COMPUTED_VALUE"""),"〇")</f>
        <v>〇</v>
      </c>
      <c r="N714" s="1"/>
      <c r="O714" s="1"/>
      <c r="P714" s="1"/>
    </row>
    <row r="715" spans="1:16" ht="14.25" customHeight="1" x14ac:dyDescent="0.25">
      <c r="A715" s="1"/>
      <c r="B715" s="1">
        <f ca="1"/>
        <v>703</v>
      </c>
      <c r="C715" s="1">
        <f ca="1">IFERROR(__xludf.DUMMYFUNCTION("""COMPUTED_VALUE"""),2023)</f>
        <v>2023</v>
      </c>
      <c r="D715" s="1">
        <f ca="1">IFERROR(__xludf.DUMMYFUNCTION("""COMPUTED_VALUE"""),394)</f>
        <v>394</v>
      </c>
      <c r="E715" s="1" t="str">
        <f ca="1">IFERROR(__xludf.DUMMYFUNCTION("""COMPUTED_VALUE"""),"European Journal of Nutrition")</f>
        <v>European Journal of Nutrition</v>
      </c>
      <c r="F715" s="1" t="str">
        <f ca="1">IFERROR(__xludf.DUMMYFUNCTION("""COMPUTED_VALUE"""),"1436-6215")</f>
        <v>1436-6215</v>
      </c>
      <c r="G715" s="1" t="str">
        <f ca="1">IFERROR(__xludf.DUMMYFUNCTION("""COMPUTED_VALUE"""),"1436-6207")</f>
        <v>1436-6207</v>
      </c>
      <c r="H715" s="27" t="str">
        <f ca="1">IFERROR(__xludf.DUMMYFUNCTION("""COMPUTED_VALUE"""),"https://link.springer.com/journal/394")</f>
        <v>https://link.springer.com/journal/394</v>
      </c>
      <c r="I715" s="1" t="str">
        <f ca="1">IFERROR(__xludf.DUMMYFUNCTION("""COMPUTED_VALUE"""),"Springer")</f>
        <v>Springer</v>
      </c>
      <c r="J715" s="1">
        <f ca="1">IFERROR(__xludf.DUMMYFUNCTION("""COMPUTED_VALUE"""),2000)</f>
        <v>2000</v>
      </c>
      <c r="K715" s="1" t="str">
        <f ca="1">IFERROR(__xludf.DUMMYFUNCTION("""COMPUTED_VALUE"""),"Chemistry and Materials Science")</f>
        <v>Chemistry and Materials Science</v>
      </c>
      <c r="L715" s="1" t="str">
        <f ca="1">IFERROR(__xludf.DUMMYFUNCTION("""COMPUTED_VALUE"""),"〇")</f>
        <v>〇</v>
      </c>
      <c r="M715" s="1" t="str">
        <f ca="1">IFERROR(__xludf.DUMMYFUNCTION("""COMPUTED_VALUE"""),"〇")</f>
        <v>〇</v>
      </c>
      <c r="N715" s="1"/>
      <c r="O715" s="1"/>
      <c r="P715" s="1"/>
    </row>
    <row r="716" spans="1:16" ht="14.25" customHeight="1" x14ac:dyDescent="0.25">
      <c r="A716" s="1"/>
      <c r="B716" s="1">
        <f ca="1"/>
        <v>704</v>
      </c>
      <c r="C716" s="1">
        <f ca="1">IFERROR(__xludf.DUMMYFUNCTION("""COMPUTED_VALUE"""),2023)</f>
        <v>2023</v>
      </c>
      <c r="D716" s="1">
        <f ca="1">IFERROR(__xludf.DUMMYFUNCTION("""COMPUTED_VALUE"""),590)</f>
        <v>590</v>
      </c>
      <c r="E716" s="1" t="str">
        <f ca="1">IFERROR(__xludf.DUMMYFUNCTION("""COMPUTED_VALUE"""),"European Journal of Orthopaedic Surgery &amp; Traumatology")</f>
        <v>European Journal of Orthopaedic Surgery &amp; Traumatology</v>
      </c>
      <c r="F716" s="1" t="str">
        <f ca="1">IFERROR(__xludf.DUMMYFUNCTION("""COMPUTED_VALUE"""),"1432-1068")</f>
        <v>1432-1068</v>
      </c>
      <c r="G716" s="1"/>
      <c r="H716" s="27" t="str">
        <f ca="1">IFERROR(__xludf.DUMMYFUNCTION("""COMPUTED_VALUE"""),"https://link.springer.com/journal/590")</f>
        <v>https://link.springer.com/journal/590</v>
      </c>
      <c r="I716" s="1" t="str">
        <f ca="1">IFERROR(__xludf.DUMMYFUNCTION("""COMPUTED_VALUE"""),"Springer")</f>
        <v>Springer</v>
      </c>
      <c r="J716" s="1">
        <f ca="1">IFERROR(__xludf.DUMMYFUNCTION("""COMPUTED_VALUE"""),2000)</f>
        <v>2000</v>
      </c>
      <c r="K716" s="1" t="str">
        <f ca="1">IFERROR(__xludf.DUMMYFUNCTION("""COMPUTED_VALUE"""),"Medicine")</f>
        <v>Medicine</v>
      </c>
      <c r="L716" s="1"/>
      <c r="M716" s="1" t="str">
        <f ca="1">IFERROR(__xludf.DUMMYFUNCTION("""COMPUTED_VALUE"""),"〇")</f>
        <v>〇</v>
      </c>
      <c r="N716" s="1"/>
      <c r="O716" s="1"/>
      <c r="P716" s="1"/>
    </row>
    <row r="717" spans="1:16" ht="14.25" customHeight="1" x14ac:dyDescent="0.25">
      <c r="A717" s="1"/>
      <c r="B717" s="1">
        <f ca="1"/>
        <v>705</v>
      </c>
      <c r="C717" s="1">
        <f ca="1">IFERROR(__xludf.DUMMYFUNCTION("""COMPUTED_VALUE"""),2023)</f>
        <v>2023</v>
      </c>
      <c r="D717" s="1">
        <f ca="1">IFERROR(__xludf.DUMMYFUNCTION("""COMPUTED_VALUE"""),431)</f>
        <v>431</v>
      </c>
      <c r="E717" s="1" t="str">
        <f ca="1">IFERROR(__xludf.DUMMYFUNCTION("""COMPUTED_VALUE"""),"European Journal of Pediatrics")</f>
        <v>European Journal of Pediatrics</v>
      </c>
      <c r="F717" s="1" t="str">
        <f ca="1">IFERROR(__xludf.DUMMYFUNCTION("""COMPUTED_VALUE"""),"1432-1076")</f>
        <v>1432-1076</v>
      </c>
      <c r="G717" s="1"/>
      <c r="H717" s="27" t="str">
        <f ca="1">IFERROR(__xludf.DUMMYFUNCTION("""COMPUTED_VALUE"""),"https://link.springer.com/journal/431")</f>
        <v>https://link.springer.com/journal/431</v>
      </c>
      <c r="I717" s="1" t="str">
        <f ca="1">IFERROR(__xludf.DUMMYFUNCTION("""COMPUTED_VALUE"""),"Springer")</f>
        <v>Springer</v>
      </c>
      <c r="J717" s="1">
        <f ca="1">IFERROR(__xludf.DUMMYFUNCTION("""COMPUTED_VALUE"""),2000)</f>
        <v>2000</v>
      </c>
      <c r="K717" s="1" t="str">
        <f ca="1">IFERROR(__xludf.DUMMYFUNCTION("""COMPUTED_VALUE"""),"Medicine")</f>
        <v>Medicine</v>
      </c>
      <c r="L717" s="1"/>
      <c r="M717" s="1" t="str">
        <f ca="1">IFERROR(__xludf.DUMMYFUNCTION("""COMPUTED_VALUE"""),"〇")</f>
        <v>〇</v>
      </c>
      <c r="N717" s="1"/>
      <c r="O717" s="1"/>
      <c r="P717" s="1"/>
    </row>
    <row r="718" spans="1:16" ht="14.25" customHeight="1" x14ac:dyDescent="0.25">
      <c r="A718" s="1"/>
      <c r="B718" s="1">
        <f ca="1"/>
        <v>706</v>
      </c>
      <c r="C718" s="1">
        <f ca="1">IFERROR(__xludf.DUMMYFUNCTION("""COMPUTED_VALUE"""),2023)</f>
        <v>2023</v>
      </c>
      <c r="D718" s="1">
        <f ca="1">IFERROR(__xludf.DUMMYFUNCTION("""COMPUTED_VALUE"""),10658)</f>
        <v>10658</v>
      </c>
      <c r="E718" s="1" t="str">
        <f ca="1">IFERROR(__xludf.DUMMYFUNCTION("""COMPUTED_VALUE"""),"European Journal of Plant Pathology")</f>
        <v>European Journal of Plant Pathology</v>
      </c>
      <c r="F718" s="1" t="str">
        <f ca="1">IFERROR(__xludf.DUMMYFUNCTION("""COMPUTED_VALUE"""),"1573-8469")</f>
        <v>1573-8469</v>
      </c>
      <c r="G718" s="1" t="str">
        <f ca="1">IFERROR(__xludf.DUMMYFUNCTION("""COMPUTED_VALUE"""),"0929-1873")</f>
        <v>0929-1873</v>
      </c>
      <c r="H718" s="27" t="str">
        <f ca="1">IFERROR(__xludf.DUMMYFUNCTION("""COMPUTED_VALUE"""),"https://link.springer.com/journal/10658")</f>
        <v>https://link.springer.com/journal/10658</v>
      </c>
      <c r="I718" s="1" t="str">
        <f ca="1">IFERROR(__xludf.DUMMYFUNCTION("""COMPUTED_VALUE"""),"Springer")</f>
        <v>Springer</v>
      </c>
      <c r="J718" s="1">
        <f ca="1">IFERROR(__xludf.DUMMYFUNCTION("""COMPUTED_VALUE"""),2000)</f>
        <v>2000</v>
      </c>
      <c r="K718" s="1" t="str">
        <f ca="1">IFERROR(__xludf.DUMMYFUNCTION("""COMPUTED_VALUE"""),"Biomedical and Life Sciences")</f>
        <v>Biomedical and Life Sciences</v>
      </c>
      <c r="L718" s="1" t="str">
        <f ca="1">IFERROR(__xludf.DUMMYFUNCTION("""COMPUTED_VALUE"""),"〇")</f>
        <v>〇</v>
      </c>
      <c r="M718" s="1" t="str">
        <f ca="1">IFERROR(__xludf.DUMMYFUNCTION("""COMPUTED_VALUE"""),"〇")</f>
        <v>〇</v>
      </c>
      <c r="N718" s="1"/>
      <c r="O718" s="1"/>
      <c r="P718" s="1"/>
    </row>
    <row r="719" spans="1:16" ht="14.25" customHeight="1" x14ac:dyDescent="0.25">
      <c r="A719" s="1"/>
      <c r="B719" s="1">
        <f ca="1"/>
        <v>707</v>
      </c>
      <c r="C719" s="1">
        <f ca="1">IFERROR(__xludf.DUMMYFUNCTION("""COMPUTED_VALUE"""),2023)</f>
        <v>2023</v>
      </c>
      <c r="D719" s="1">
        <f ca="1">IFERROR(__xludf.DUMMYFUNCTION("""COMPUTED_VALUE"""),238)</f>
        <v>238</v>
      </c>
      <c r="E719" s="1" t="str">
        <f ca="1">IFERROR(__xludf.DUMMYFUNCTION("""COMPUTED_VALUE"""),"European Journal of Plastic Surgery")</f>
        <v>European Journal of Plastic Surgery</v>
      </c>
      <c r="F719" s="1" t="str">
        <f ca="1">IFERROR(__xludf.DUMMYFUNCTION("""COMPUTED_VALUE"""),"1435-0130")</f>
        <v>1435-0130</v>
      </c>
      <c r="G719" s="1"/>
      <c r="H719" s="27" t="str">
        <f ca="1">IFERROR(__xludf.DUMMYFUNCTION("""COMPUTED_VALUE"""),"https://link.springer.com/journal/238")</f>
        <v>https://link.springer.com/journal/238</v>
      </c>
      <c r="I719" s="1" t="str">
        <f ca="1">IFERROR(__xludf.DUMMYFUNCTION("""COMPUTED_VALUE"""),"Springer")</f>
        <v>Springer</v>
      </c>
      <c r="J719" s="1">
        <f ca="1">IFERROR(__xludf.DUMMYFUNCTION("""COMPUTED_VALUE"""),2000)</f>
        <v>2000</v>
      </c>
      <c r="K719" s="1" t="str">
        <f ca="1">IFERROR(__xludf.DUMMYFUNCTION("""COMPUTED_VALUE"""),"Medicine")</f>
        <v>Medicine</v>
      </c>
      <c r="L719" s="1"/>
      <c r="M719" s="1" t="str">
        <f ca="1">IFERROR(__xludf.DUMMYFUNCTION("""COMPUTED_VALUE"""),"〇")</f>
        <v>〇</v>
      </c>
      <c r="N719" s="1"/>
      <c r="O719" s="1"/>
      <c r="P719" s="1"/>
    </row>
    <row r="720" spans="1:16" ht="14.25" customHeight="1" x14ac:dyDescent="0.25">
      <c r="A720" s="1"/>
      <c r="B720" s="1">
        <f ca="1"/>
        <v>708</v>
      </c>
      <c r="C720" s="1">
        <f ca="1">IFERROR(__xludf.DUMMYFUNCTION("""COMPUTED_VALUE"""),2023)</f>
        <v>2023</v>
      </c>
      <c r="D720" s="1">
        <f ca="1">IFERROR(__xludf.DUMMYFUNCTION("""COMPUTED_VALUE"""),10212)</f>
        <v>10212</v>
      </c>
      <c r="E720" s="1" t="str">
        <f ca="1">IFERROR(__xludf.DUMMYFUNCTION("""COMPUTED_VALUE"""),"European Journal of Psychology of Education")</f>
        <v>European Journal of Psychology of Education</v>
      </c>
      <c r="F720" s="1" t="str">
        <f ca="1">IFERROR(__xludf.DUMMYFUNCTION("""COMPUTED_VALUE"""),"1878-5174")</f>
        <v>1878-5174</v>
      </c>
      <c r="G720" s="1" t="str">
        <f ca="1">IFERROR(__xludf.DUMMYFUNCTION("""COMPUTED_VALUE"""),"0256-2928")</f>
        <v>0256-2928</v>
      </c>
      <c r="H720" s="27" t="str">
        <f ca="1">IFERROR(__xludf.DUMMYFUNCTION("""COMPUTED_VALUE"""),"https://link.springer.com/journal/10212")</f>
        <v>https://link.springer.com/journal/10212</v>
      </c>
      <c r="I720" s="1" t="str">
        <f ca="1">IFERROR(__xludf.DUMMYFUNCTION("""COMPUTED_VALUE"""),"Springer")</f>
        <v>Springer</v>
      </c>
      <c r="J720" s="1">
        <f ca="1">IFERROR(__xludf.DUMMYFUNCTION("""COMPUTED_VALUE"""),2000)</f>
        <v>2000</v>
      </c>
      <c r="K720" s="1" t="str">
        <f ca="1">IFERROR(__xludf.DUMMYFUNCTION("""COMPUTED_VALUE"""),"Education")</f>
        <v>Education</v>
      </c>
      <c r="L720" s="1" t="str">
        <f ca="1">IFERROR(__xludf.DUMMYFUNCTION("""COMPUTED_VALUE"""),"〇")</f>
        <v>〇</v>
      </c>
      <c r="M720" s="1"/>
      <c r="N720" s="1" t="str">
        <f ca="1">IFERROR(__xludf.DUMMYFUNCTION("""COMPUTED_VALUE"""),"TO10")</f>
        <v>TO10</v>
      </c>
      <c r="O720" s="1"/>
      <c r="P720" s="1"/>
    </row>
    <row r="721" spans="1:16" ht="14.25" customHeight="1" x14ac:dyDescent="0.25">
      <c r="A721" s="1"/>
      <c r="B721" s="1">
        <f ca="1"/>
        <v>709</v>
      </c>
      <c r="C721" s="1">
        <f ca="1">IFERROR(__xludf.DUMMYFUNCTION("""COMPUTED_VALUE"""),2023)</f>
        <v>2023</v>
      </c>
      <c r="D721" s="1">
        <f ca="1">IFERROR(__xludf.DUMMYFUNCTION("""COMPUTED_VALUE"""),68)</f>
        <v>68</v>
      </c>
      <c r="E721" s="1" t="str">
        <f ca="1">IFERROR(__xludf.DUMMYFUNCTION("""COMPUTED_VALUE"""),"European Journal of Trauma and Emergency Surgery")</f>
        <v>European Journal of Trauma and Emergency Surgery</v>
      </c>
      <c r="F721" s="1" t="str">
        <f ca="1">IFERROR(__xludf.DUMMYFUNCTION("""COMPUTED_VALUE"""),"1863-9941")</f>
        <v>1863-9941</v>
      </c>
      <c r="G721" s="1" t="str">
        <f ca="1">IFERROR(__xludf.DUMMYFUNCTION("""COMPUTED_VALUE"""),"1863-9933")</f>
        <v>1863-9933</v>
      </c>
      <c r="H721" s="27" t="str">
        <f ca="1">IFERROR(__xludf.DUMMYFUNCTION("""COMPUTED_VALUE"""),"https://link.springer.com/journal/68")</f>
        <v>https://link.springer.com/journal/68</v>
      </c>
      <c r="I721" s="1" t="str">
        <f ca="1">IFERROR(__xludf.DUMMYFUNCTION("""COMPUTED_VALUE"""),"Springer")</f>
        <v>Springer</v>
      </c>
      <c r="J721" s="1">
        <f ca="1">IFERROR(__xludf.DUMMYFUNCTION("""COMPUTED_VALUE"""),2000)</f>
        <v>2000</v>
      </c>
      <c r="K721" s="1" t="str">
        <f ca="1">IFERROR(__xludf.DUMMYFUNCTION("""COMPUTED_VALUE"""),"Medicine")</f>
        <v>Medicine</v>
      </c>
      <c r="L721" s="1" t="str">
        <f ca="1">IFERROR(__xludf.DUMMYFUNCTION("""COMPUTED_VALUE"""),"〇")</f>
        <v>〇</v>
      </c>
      <c r="M721" s="1" t="str">
        <f ca="1">IFERROR(__xludf.DUMMYFUNCTION("""COMPUTED_VALUE"""),"〇")</f>
        <v>〇</v>
      </c>
      <c r="N721" s="1"/>
      <c r="O721" s="1"/>
      <c r="P721" s="1"/>
    </row>
    <row r="722" spans="1:16" ht="14.25" customHeight="1" x14ac:dyDescent="0.25">
      <c r="A722" s="1"/>
      <c r="B722" s="1">
        <f ca="1"/>
        <v>710</v>
      </c>
      <c r="C722" s="1">
        <f ca="1">IFERROR(__xludf.DUMMYFUNCTION("""COMPUTED_VALUE"""),2023)</f>
        <v>2023</v>
      </c>
      <c r="D722" s="1">
        <f ca="1">IFERROR(__xludf.DUMMYFUNCTION("""COMPUTED_VALUE"""),10344)</f>
        <v>10344</v>
      </c>
      <c r="E722" s="1" t="str">
        <f ca="1">IFERROR(__xludf.DUMMYFUNCTION("""COMPUTED_VALUE"""),"European Journal of Wildlife Research")</f>
        <v>European Journal of Wildlife Research</v>
      </c>
      <c r="F722" s="1" t="str">
        <f ca="1">IFERROR(__xludf.DUMMYFUNCTION("""COMPUTED_VALUE"""),"1439-0574")</f>
        <v>1439-0574</v>
      </c>
      <c r="G722" s="1" t="str">
        <f ca="1">IFERROR(__xludf.DUMMYFUNCTION("""COMPUTED_VALUE"""),"1612-4642")</f>
        <v>1612-4642</v>
      </c>
      <c r="H722" s="27" t="str">
        <f ca="1">IFERROR(__xludf.DUMMYFUNCTION("""COMPUTED_VALUE"""),"https://link.springer.com/journal/10344")</f>
        <v>https://link.springer.com/journal/10344</v>
      </c>
      <c r="I722" s="1" t="str">
        <f ca="1">IFERROR(__xludf.DUMMYFUNCTION("""COMPUTED_VALUE"""),"Springer")</f>
        <v>Springer</v>
      </c>
      <c r="J722" s="1">
        <f ca="1">IFERROR(__xludf.DUMMYFUNCTION("""COMPUTED_VALUE"""),2000)</f>
        <v>2000</v>
      </c>
      <c r="K722" s="1" t="str">
        <f ca="1">IFERROR(__xludf.DUMMYFUNCTION("""COMPUTED_VALUE"""),"Biomedical and Life Sciences")</f>
        <v>Biomedical and Life Sciences</v>
      </c>
      <c r="L722" s="1" t="str">
        <f ca="1">IFERROR(__xludf.DUMMYFUNCTION("""COMPUTED_VALUE"""),"〇")</f>
        <v>〇</v>
      </c>
      <c r="M722" s="1" t="str">
        <f ca="1">IFERROR(__xludf.DUMMYFUNCTION("""COMPUTED_VALUE"""),"〇")</f>
        <v>〇</v>
      </c>
      <c r="N722" s="1"/>
      <c r="O722" s="1"/>
      <c r="P722" s="1"/>
    </row>
    <row r="723" spans="1:16" ht="14.25" customHeight="1" x14ac:dyDescent="0.25">
      <c r="A723" s="1"/>
      <c r="B723" s="1">
        <f ca="1"/>
        <v>711</v>
      </c>
      <c r="C723" s="1">
        <f ca="1">IFERROR(__xludf.DUMMYFUNCTION("""COMPUTED_VALUE"""),2023)</f>
        <v>2023</v>
      </c>
      <c r="D723" s="1">
        <f ca="1">IFERROR(__xludf.DUMMYFUNCTION("""COMPUTED_VALUE"""),107)</f>
        <v>107</v>
      </c>
      <c r="E723" s="1" t="str">
        <f ca="1">IFERROR(__xludf.DUMMYFUNCTION("""COMPUTED_VALUE"""),"European Journal of Wood and Wood Products")</f>
        <v>European Journal of Wood and Wood Products</v>
      </c>
      <c r="F723" s="1" t="str">
        <f ca="1">IFERROR(__xludf.DUMMYFUNCTION("""COMPUTED_VALUE"""),"1436-736X")</f>
        <v>1436-736X</v>
      </c>
      <c r="G723" s="1" t="str">
        <f ca="1">IFERROR(__xludf.DUMMYFUNCTION("""COMPUTED_VALUE"""),"0018-3768")</f>
        <v>0018-3768</v>
      </c>
      <c r="H723" s="27" t="str">
        <f ca="1">IFERROR(__xludf.DUMMYFUNCTION("""COMPUTED_VALUE"""),"https://link.springer.com/journal/107")</f>
        <v>https://link.springer.com/journal/107</v>
      </c>
      <c r="I723" s="1" t="str">
        <f ca="1">IFERROR(__xludf.DUMMYFUNCTION("""COMPUTED_VALUE"""),"Springer")</f>
        <v>Springer</v>
      </c>
      <c r="J723" s="1">
        <f ca="1">IFERROR(__xludf.DUMMYFUNCTION("""COMPUTED_VALUE"""),2000)</f>
        <v>2000</v>
      </c>
      <c r="K723" s="1" t="str">
        <f ca="1">IFERROR(__xludf.DUMMYFUNCTION("""COMPUTED_VALUE"""),"Biomedical and Life Sciences")</f>
        <v>Biomedical and Life Sciences</v>
      </c>
      <c r="L723" s="1" t="str">
        <f ca="1">IFERROR(__xludf.DUMMYFUNCTION("""COMPUTED_VALUE"""),"〇")</f>
        <v>〇</v>
      </c>
      <c r="M723" s="1" t="str">
        <f ca="1">IFERROR(__xludf.DUMMYFUNCTION("""COMPUTED_VALUE"""),"〇")</f>
        <v>〇</v>
      </c>
      <c r="N723" s="1"/>
      <c r="O723" s="1"/>
      <c r="P723" s="1"/>
    </row>
    <row r="724" spans="1:16" ht="14.25" customHeight="1" x14ac:dyDescent="0.25">
      <c r="A724" s="1"/>
      <c r="B724" s="1">
        <f ca="1"/>
        <v>712</v>
      </c>
      <c r="C724" s="1">
        <f ca="1">IFERROR(__xludf.DUMMYFUNCTION("""COMPUTED_VALUE"""),2023)</f>
        <v>2023</v>
      </c>
      <c r="D724" s="1">
        <f ca="1">IFERROR(__xludf.DUMMYFUNCTION("""COMPUTED_VALUE"""),10610)</f>
        <v>10610</v>
      </c>
      <c r="E724" s="1" t="str">
        <f ca="1">IFERROR(__xludf.DUMMYFUNCTION("""COMPUTED_VALUE"""),"European Journal on Criminal Policy and Research")</f>
        <v>European Journal on Criminal Policy and Research</v>
      </c>
      <c r="F724" s="1" t="str">
        <f ca="1">IFERROR(__xludf.DUMMYFUNCTION("""COMPUTED_VALUE"""),"1572-9869")</f>
        <v>1572-9869</v>
      </c>
      <c r="G724" s="1" t="str">
        <f ca="1">IFERROR(__xludf.DUMMYFUNCTION("""COMPUTED_VALUE"""),"0928-1371")</f>
        <v>0928-1371</v>
      </c>
      <c r="H724" s="27" t="str">
        <f ca="1">IFERROR(__xludf.DUMMYFUNCTION("""COMPUTED_VALUE"""),"https://link.springer.com/journal/10610")</f>
        <v>https://link.springer.com/journal/10610</v>
      </c>
      <c r="I724" s="1" t="str">
        <f ca="1">IFERROR(__xludf.DUMMYFUNCTION("""COMPUTED_VALUE"""),"Springer")</f>
        <v>Springer</v>
      </c>
      <c r="J724" s="1">
        <f ca="1">IFERROR(__xludf.DUMMYFUNCTION("""COMPUTED_VALUE"""),2000)</f>
        <v>2000</v>
      </c>
      <c r="K724" s="1" t="str">
        <f ca="1">IFERROR(__xludf.DUMMYFUNCTION("""COMPUTED_VALUE"""),"Law and Criminology")</f>
        <v>Law and Criminology</v>
      </c>
      <c r="L724" s="1" t="str">
        <f ca="1">IFERROR(__xludf.DUMMYFUNCTION("""COMPUTED_VALUE"""),"〇")</f>
        <v>〇</v>
      </c>
      <c r="M724" s="1" t="str">
        <f ca="1">IFERROR(__xludf.DUMMYFUNCTION("""COMPUTED_VALUE"""),"〇")</f>
        <v>〇</v>
      </c>
      <c r="N724" s="1"/>
      <c r="O724" s="1"/>
      <c r="P724" s="1"/>
    </row>
    <row r="725" spans="1:16" ht="14.25" customHeight="1" x14ac:dyDescent="0.25">
      <c r="A725" s="1"/>
      <c r="B725" s="1">
        <f ca="1"/>
        <v>713</v>
      </c>
      <c r="C725" s="1">
        <f ca="1">IFERROR(__xludf.DUMMYFUNCTION("""COMPUTED_VALUE"""),2023)</f>
        <v>2023</v>
      </c>
      <c r="D725" s="1">
        <f ca="1">IFERROR(__xludf.DUMMYFUNCTION("""COMPUTED_VALUE"""),330)</f>
        <v>330</v>
      </c>
      <c r="E725" s="1" t="str">
        <f ca="1">IFERROR(__xludf.DUMMYFUNCTION("""COMPUTED_VALUE"""),"European Radiology")</f>
        <v>European Radiology</v>
      </c>
      <c r="F725" s="1" t="str">
        <f ca="1">IFERROR(__xludf.DUMMYFUNCTION("""COMPUTED_VALUE"""),"1432-1084")</f>
        <v>1432-1084</v>
      </c>
      <c r="G725" s="1"/>
      <c r="H725" s="27" t="str">
        <f ca="1">IFERROR(__xludf.DUMMYFUNCTION("""COMPUTED_VALUE"""),"https://link.springer.com/journal/330")</f>
        <v>https://link.springer.com/journal/330</v>
      </c>
      <c r="I725" s="1" t="str">
        <f ca="1">IFERROR(__xludf.DUMMYFUNCTION("""COMPUTED_VALUE"""),"Springer")</f>
        <v>Springer</v>
      </c>
      <c r="J725" s="1">
        <f ca="1">IFERROR(__xludf.DUMMYFUNCTION("""COMPUTED_VALUE"""),2000)</f>
        <v>2000</v>
      </c>
      <c r="K725" s="1" t="str">
        <f ca="1">IFERROR(__xludf.DUMMYFUNCTION("""COMPUTED_VALUE"""),"Medicine")</f>
        <v>Medicine</v>
      </c>
      <c r="L725" s="1"/>
      <c r="M725" s="1" t="str">
        <f ca="1">IFERROR(__xludf.DUMMYFUNCTION("""COMPUTED_VALUE"""),"〇")</f>
        <v>〇</v>
      </c>
      <c r="N725" s="1"/>
      <c r="O725" s="1"/>
      <c r="P725" s="1"/>
    </row>
    <row r="726" spans="1:16" ht="14.25" customHeight="1" x14ac:dyDescent="0.25">
      <c r="A726" s="1"/>
      <c r="B726" s="1">
        <f ca="1"/>
        <v>714</v>
      </c>
      <c r="C726" s="1">
        <f ca="1">IFERROR(__xludf.DUMMYFUNCTION("""COMPUTED_VALUE"""),2023)</f>
        <v>2023</v>
      </c>
      <c r="D726" s="1">
        <f ca="1">IFERROR(__xludf.DUMMYFUNCTION("""COMPUTED_VALUE"""),586)</f>
        <v>586</v>
      </c>
      <c r="E726" s="1" t="str">
        <f ca="1">IFERROR(__xludf.DUMMYFUNCTION("""COMPUTED_VALUE"""),"European Spine Journal")</f>
        <v>European Spine Journal</v>
      </c>
      <c r="F726" s="1" t="str">
        <f ca="1">IFERROR(__xludf.DUMMYFUNCTION("""COMPUTED_VALUE"""),"1432-0932")</f>
        <v>1432-0932</v>
      </c>
      <c r="G726" s="1" t="str">
        <f ca="1">IFERROR(__xludf.DUMMYFUNCTION("""COMPUTED_VALUE"""),"0940-6719")</f>
        <v>0940-6719</v>
      </c>
      <c r="H726" s="27" t="str">
        <f ca="1">IFERROR(__xludf.DUMMYFUNCTION("""COMPUTED_VALUE"""),"https://link.springer.com/journal/586")</f>
        <v>https://link.springer.com/journal/586</v>
      </c>
      <c r="I726" s="1" t="str">
        <f ca="1">IFERROR(__xludf.DUMMYFUNCTION("""COMPUTED_VALUE"""),"Springer")</f>
        <v>Springer</v>
      </c>
      <c r="J726" s="1">
        <f ca="1">IFERROR(__xludf.DUMMYFUNCTION("""COMPUTED_VALUE"""),2000)</f>
        <v>2000</v>
      </c>
      <c r="K726" s="1" t="str">
        <f ca="1">IFERROR(__xludf.DUMMYFUNCTION("""COMPUTED_VALUE"""),"Medicine")</f>
        <v>Medicine</v>
      </c>
      <c r="L726" s="1" t="str">
        <f ca="1">IFERROR(__xludf.DUMMYFUNCTION("""COMPUTED_VALUE"""),"〇")</f>
        <v>〇</v>
      </c>
      <c r="M726" s="1" t="str">
        <f ca="1">IFERROR(__xludf.DUMMYFUNCTION("""COMPUTED_VALUE"""),"〇")</f>
        <v>〇</v>
      </c>
      <c r="N726" s="1"/>
      <c r="O726" s="1"/>
      <c r="P726" s="1"/>
    </row>
    <row r="727" spans="1:16" ht="14.25" customHeight="1" x14ac:dyDescent="0.25">
      <c r="A727" s="1"/>
      <c r="B727" s="1">
        <f ca="1"/>
        <v>715</v>
      </c>
      <c r="C727" s="1">
        <f ca="1">IFERROR(__xludf.DUMMYFUNCTION("""COMPUTED_VALUE"""),2023)</f>
        <v>2023</v>
      </c>
      <c r="D727" s="1">
        <f ca="1">IFERROR(__xludf.DUMMYFUNCTION("""COMPUTED_VALUE"""),10353)</f>
        <v>10353</v>
      </c>
      <c r="E727" s="1" t="str">
        <f ca="1">IFERROR(__xludf.DUMMYFUNCTION("""COMPUTED_VALUE"""),"European Surgery")</f>
        <v>European Surgery</v>
      </c>
      <c r="F727" s="1" t="str">
        <f ca="1">IFERROR(__xludf.DUMMYFUNCTION("""COMPUTED_VALUE"""),"1682-4016")</f>
        <v>1682-4016</v>
      </c>
      <c r="G727" s="1" t="str">
        <f ca="1">IFERROR(__xludf.DUMMYFUNCTION("""COMPUTED_VALUE"""),"1682-8631")</f>
        <v>1682-8631</v>
      </c>
      <c r="H727" s="27" t="str">
        <f ca="1">IFERROR(__xludf.DUMMYFUNCTION("""COMPUTED_VALUE"""),"https://link.springer.com/journal/10353")</f>
        <v>https://link.springer.com/journal/10353</v>
      </c>
      <c r="I727" s="1" t="str">
        <f ca="1">IFERROR(__xludf.DUMMYFUNCTION("""COMPUTED_VALUE"""),"SpringerMedizin")</f>
        <v>SpringerMedizin</v>
      </c>
      <c r="J727" s="1">
        <f ca="1">IFERROR(__xludf.DUMMYFUNCTION("""COMPUTED_VALUE"""),2000)</f>
        <v>2000</v>
      </c>
      <c r="K727" s="1" t="str">
        <f ca="1">IFERROR(__xludf.DUMMYFUNCTION("""COMPUTED_VALUE"""),"Medicine")</f>
        <v>Medicine</v>
      </c>
      <c r="L727" s="1" t="str">
        <f ca="1">IFERROR(__xludf.DUMMYFUNCTION("""COMPUTED_VALUE"""),"〇")</f>
        <v>〇</v>
      </c>
      <c r="M727" s="1" t="str">
        <f ca="1">IFERROR(__xludf.DUMMYFUNCTION("""COMPUTED_VALUE"""),"〇")</f>
        <v>〇</v>
      </c>
      <c r="N727" s="1"/>
      <c r="O727" s="1"/>
      <c r="P727" s="1"/>
    </row>
    <row r="728" spans="1:16" ht="14.25" customHeight="1" x14ac:dyDescent="0.25">
      <c r="A728" s="1"/>
      <c r="B728" s="1">
        <f ca="1"/>
        <v>716</v>
      </c>
      <c r="C728" s="1">
        <f ca="1">IFERROR(__xludf.DUMMYFUNCTION("""COMPUTED_VALUE"""),2023)</f>
        <v>2023</v>
      </c>
      <c r="D728" s="1">
        <f ca="1">IFERROR(__xludf.DUMMYFUNCTION("""COMPUTED_VALUE"""),40844)</f>
        <v>40844</v>
      </c>
      <c r="E728" s="1" t="str">
        <f ca="1">IFERROR(__xludf.DUMMYFUNCTION("""COMPUTED_VALUE"""),"Evolutionary and Institutional Economics Review")</f>
        <v>Evolutionary and Institutional Economics Review</v>
      </c>
      <c r="F728" s="1" t="str">
        <f ca="1">IFERROR(__xludf.DUMMYFUNCTION("""COMPUTED_VALUE"""),"2188-2096")</f>
        <v>2188-2096</v>
      </c>
      <c r="G728" s="1" t="str">
        <f ca="1">IFERROR(__xludf.DUMMYFUNCTION("""COMPUTED_VALUE"""),"1349-4961")</f>
        <v>1349-4961</v>
      </c>
      <c r="H728" s="27" t="str">
        <f ca="1">IFERROR(__xludf.DUMMYFUNCTION("""COMPUTED_VALUE"""),"https://link.springer.com/journal/40844")</f>
        <v>https://link.springer.com/journal/40844</v>
      </c>
      <c r="I728" s="1" t="str">
        <f ca="1">IFERROR(__xludf.DUMMYFUNCTION("""COMPUTED_VALUE"""),"Springer")</f>
        <v>Springer</v>
      </c>
      <c r="J728" s="1">
        <f ca="1">IFERROR(__xludf.DUMMYFUNCTION("""COMPUTED_VALUE"""),2004)</f>
        <v>2004</v>
      </c>
      <c r="K728" s="1" t="str">
        <f ca="1">IFERROR(__xludf.DUMMYFUNCTION("""COMPUTED_VALUE"""),"Economics and Finance")</f>
        <v>Economics and Finance</v>
      </c>
      <c r="L728" s="1" t="str">
        <f ca="1">IFERROR(__xludf.DUMMYFUNCTION("""COMPUTED_VALUE"""),"〇")</f>
        <v>〇</v>
      </c>
      <c r="M728" s="1"/>
      <c r="N728" s="1" t="str">
        <f ca="1">IFERROR(__xludf.DUMMYFUNCTION("""COMPUTED_VALUE"""),"TO15")</f>
        <v>TO15</v>
      </c>
      <c r="O728" s="1"/>
      <c r="P728" s="1"/>
    </row>
    <row r="729" spans="1:16" ht="14.25" customHeight="1" x14ac:dyDescent="0.25">
      <c r="A729" s="1"/>
      <c r="B729" s="1">
        <f ca="1"/>
        <v>717</v>
      </c>
      <c r="C729" s="1">
        <f ca="1">IFERROR(__xludf.DUMMYFUNCTION("""COMPUTED_VALUE"""),2023)</f>
        <v>2023</v>
      </c>
      <c r="D729" s="1">
        <f ca="1">IFERROR(__xludf.DUMMYFUNCTION("""COMPUTED_VALUE"""),11692)</f>
        <v>11692</v>
      </c>
      <c r="E729" s="1" t="str">
        <f ca="1">IFERROR(__xludf.DUMMYFUNCTION("""COMPUTED_VALUE"""),"Evolutionary Biology")</f>
        <v>Evolutionary Biology</v>
      </c>
      <c r="F729" s="1" t="str">
        <f ca="1">IFERROR(__xludf.DUMMYFUNCTION("""COMPUTED_VALUE"""),"1934-2845")</f>
        <v>1934-2845</v>
      </c>
      <c r="G729" s="1" t="str">
        <f ca="1">IFERROR(__xludf.DUMMYFUNCTION("""COMPUTED_VALUE"""),"0071-3260")</f>
        <v>0071-3260</v>
      </c>
      <c r="H729" s="27" t="str">
        <f ca="1">IFERROR(__xludf.DUMMYFUNCTION("""COMPUTED_VALUE"""),"https://link.springer.com/journal/11692")</f>
        <v>https://link.springer.com/journal/11692</v>
      </c>
      <c r="I729" s="1" t="str">
        <f ca="1">IFERROR(__xludf.DUMMYFUNCTION("""COMPUTED_VALUE"""),"Springer")</f>
        <v>Springer</v>
      </c>
      <c r="J729" s="1">
        <f ca="1">IFERROR(__xludf.DUMMYFUNCTION("""COMPUTED_VALUE"""),2007)</f>
        <v>2007</v>
      </c>
      <c r="K729" s="1" t="str">
        <f ca="1">IFERROR(__xludf.DUMMYFUNCTION("""COMPUTED_VALUE"""),"Biomedical and Life Sciences")</f>
        <v>Biomedical and Life Sciences</v>
      </c>
      <c r="L729" s="1" t="str">
        <f ca="1">IFERROR(__xludf.DUMMYFUNCTION("""COMPUTED_VALUE"""),"〇")</f>
        <v>〇</v>
      </c>
      <c r="M729" s="1" t="str">
        <f ca="1">IFERROR(__xludf.DUMMYFUNCTION("""COMPUTED_VALUE"""),"〇")</f>
        <v>〇</v>
      </c>
      <c r="N729" s="1" t="str">
        <f ca="1">IFERROR(__xludf.DUMMYFUNCTION("""COMPUTED_VALUE"""),"SNS7")</f>
        <v>SNS7</v>
      </c>
      <c r="O729" s="1"/>
      <c r="P729" s="1"/>
    </row>
    <row r="730" spans="1:16" ht="14.25" customHeight="1" x14ac:dyDescent="0.25">
      <c r="A730" s="1"/>
      <c r="B730" s="1">
        <f ca="1"/>
        <v>718</v>
      </c>
      <c r="C730" s="1">
        <f ca="1">IFERROR(__xludf.DUMMYFUNCTION("""COMPUTED_VALUE"""),2023)</f>
        <v>2023</v>
      </c>
      <c r="D730" s="1">
        <f ca="1">IFERROR(__xludf.DUMMYFUNCTION("""COMPUTED_VALUE"""),10682)</f>
        <v>10682</v>
      </c>
      <c r="E730" s="1" t="str">
        <f ca="1">IFERROR(__xludf.DUMMYFUNCTION("""COMPUTED_VALUE"""),"Evolutionary Ecology")</f>
        <v>Evolutionary Ecology</v>
      </c>
      <c r="F730" s="1" t="str">
        <f ca="1">IFERROR(__xludf.DUMMYFUNCTION("""COMPUTED_VALUE"""),"1573-8477")</f>
        <v>1573-8477</v>
      </c>
      <c r="G730" s="1" t="str">
        <f ca="1">IFERROR(__xludf.DUMMYFUNCTION("""COMPUTED_VALUE"""),"0269-7653")</f>
        <v>0269-7653</v>
      </c>
      <c r="H730" s="27" t="str">
        <f ca="1">IFERROR(__xludf.DUMMYFUNCTION("""COMPUTED_VALUE"""),"https://link.springer.com/journal/10682")</f>
        <v>https://link.springer.com/journal/10682</v>
      </c>
      <c r="I730" s="1" t="str">
        <f ca="1">IFERROR(__xludf.DUMMYFUNCTION("""COMPUTED_VALUE"""),"Springer")</f>
        <v>Springer</v>
      </c>
      <c r="J730" s="1">
        <f ca="1">IFERROR(__xludf.DUMMYFUNCTION("""COMPUTED_VALUE"""),2000)</f>
        <v>2000</v>
      </c>
      <c r="K730" s="1" t="str">
        <f ca="1">IFERROR(__xludf.DUMMYFUNCTION("""COMPUTED_VALUE"""),"Biomedical and Life Sciences")</f>
        <v>Biomedical and Life Sciences</v>
      </c>
      <c r="L730" s="1" t="str">
        <f ca="1">IFERROR(__xludf.DUMMYFUNCTION("""COMPUTED_VALUE"""),"〇")</f>
        <v>〇</v>
      </c>
      <c r="M730" s="1" t="str">
        <f ca="1">IFERROR(__xludf.DUMMYFUNCTION("""COMPUTED_VALUE"""),"〇")</f>
        <v>〇</v>
      </c>
      <c r="N730" s="1"/>
      <c r="O730" s="1"/>
      <c r="P730" s="1"/>
    </row>
    <row r="731" spans="1:16" ht="14.25" customHeight="1" x14ac:dyDescent="0.25">
      <c r="A731" s="1"/>
      <c r="B731" s="1">
        <f ca="1"/>
        <v>719</v>
      </c>
      <c r="C731" s="1">
        <f ca="1">IFERROR(__xludf.DUMMYFUNCTION("""COMPUTED_VALUE"""),2023)</f>
        <v>2023</v>
      </c>
      <c r="D731" s="1">
        <f ca="1">IFERROR(__xludf.DUMMYFUNCTION("""COMPUTED_VALUE"""),12065)</f>
        <v>12065</v>
      </c>
      <c r="E731" s="1" t="str">
        <f ca="1">IFERROR(__xludf.DUMMYFUNCTION("""COMPUTED_VALUE"""),"Evolutionary Intelligence")</f>
        <v>Evolutionary Intelligence</v>
      </c>
      <c r="F731" s="1" t="str">
        <f ca="1">IFERROR(__xludf.DUMMYFUNCTION("""COMPUTED_VALUE"""),"1864-5917")</f>
        <v>1864-5917</v>
      </c>
      <c r="G731" s="1"/>
      <c r="H731" s="27" t="str">
        <f ca="1">IFERROR(__xludf.DUMMYFUNCTION("""COMPUTED_VALUE"""),"https://link.springer.com/journal/12065")</f>
        <v>https://link.springer.com/journal/12065</v>
      </c>
      <c r="I731" s="1" t="str">
        <f ca="1">IFERROR(__xludf.DUMMYFUNCTION("""COMPUTED_VALUE"""),"Springer")</f>
        <v>Springer</v>
      </c>
      <c r="J731" s="1">
        <f ca="1">IFERROR(__xludf.DUMMYFUNCTION("""COMPUTED_VALUE"""),2008)</f>
        <v>2008</v>
      </c>
      <c r="K731" s="1" t="str">
        <f ca="1">IFERROR(__xludf.DUMMYFUNCTION("""COMPUTED_VALUE"""),"Engineering")</f>
        <v>Engineering</v>
      </c>
      <c r="L731" s="1"/>
      <c r="M731" s="1" t="str">
        <f ca="1">IFERROR(__xludf.DUMMYFUNCTION("""COMPUTED_VALUE"""),"〇")</f>
        <v>〇</v>
      </c>
      <c r="N731" s="1" t="str">
        <f ca="1">IFERROR(__xludf.DUMMYFUNCTION("""COMPUTED_VALUE"""),"SNS8")</f>
        <v>SNS8</v>
      </c>
      <c r="O731" s="1"/>
      <c r="P731" s="1"/>
    </row>
    <row r="732" spans="1:16" ht="14.25" customHeight="1" x14ac:dyDescent="0.25">
      <c r="A732" s="1"/>
      <c r="B732" s="1">
        <f ca="1"/>
        <v>720</v>
      </c>
      <c r="C732" s="1">
        <f ca="1">IFERROR(__xludf.DUMMYFUNCTION("""COMPUTED_VALUE"""),2023)</f>
        <v>2023</v>
      </c>
      <c r="D732" s="1">
        <f ca="1">IFERROR(__xludf.DUMMYFUNCTION("""COMPUTED_VALUE"""),40806)</f>
        <v>40806</v>
      </c>
      <c r="E732" s="1" t="str">
        <f ca="1">IFERROR(__xludf.DUMMYFUNCTION("""COMPUTED_VALUE"""),"Evolutionary Psychological Science")</f>
        <v>Evolutionary Psychological Science</v>
      </c>
      <c r="F732" s="1" t="str">
        <f ca="1">IFERROR(__xludf.DUMMYFUNCTION("""COMPUTED_VALUE"""),"2198-9885")</f>
        <v>2198-9885</v>
      </c>
      <c r="G732" s="1"/>
      <c r="H732" s="27" t="str">
        <f ca="1">IFERROR(__xludf.DUMMYFUNCTION("""COMPUTED_VALUE"""),"https://link.springer.com/journal/40806")</f>
        <v>https://link.springer.com/journal/40806</v>
      </c>
      <c r="I732" s="1" t="str">
        <f ca="1">IFERROR(__xludf.DUMMYFUNCTION("""COMPUTED_VALUE"""),"Springer")</f>
        <v>Springer</v>
      </c>
      <c r="J732" s="1">
        <f ca="1">IFERROR(__xludf.DUMMYFUNCTION("""COMPUTED_VALUE"""),2015)</f>
        <v>2015</v>
      </c>
      <c r="K732" s="1" t="str">
        <f ca="1">IFERROR(__xludf.DUMMYFUNCTION("""COMPUTED_VALUE"""),"Behavioral Science and Psychology")</f>
        <v>Behavioral Science and Psychology</v>
      </c>
      <c r="L732" s="1"/>
      <c r="M732" s="1"/>
      <c r="N732" s="1" t="str">
        <f ca="1">IFERROR(__xludf.DUMMYFUNCTION("""COMPUTED_VALUE"""),"SNS15")</f>
        <v>SNS15</v>
      </c>
      <c r="O732" s="1"/>
      <c r="P732" s="1"/>
    </row>
    <row r="733" spans="1:16" ht="14.25" customHeight="1" x14ac:dyDescent="0.25">
      <c r="A733" s="1"/>
      <c r="B733" s="1">
        <f ca="1"/>
        <v>721</v>
      </c>
      <c r="C733" s="1">
        <f ca="1">IFERROR(__xludf.DUMMYFUNCTION("""COMPUTED_VALUE"""),2023)</f>
        <v>2023</v>
      </c>
      <c r="D733" s="1">
        <f ca="1">IFERROR(__xludf.DUMMYFUNCTION("""COMPUTED_VALUE"""),12530)</f>
        <v>12530</v>
      </c>
      <c r="E733" s="1" t="str">
        <f ca="1">IFERROR(__xludf.DUMMYFUNCTION("""COMPUTED_VALUE"""),"Evolving Systems")</f>
        <v>Evolving Systems</v>
      </c>
      <c r="F733" s="1" t="str">
        <f ca="1">IFERROR(__xludf.DUMMYFUNCTION("""COMPUTED_VALUE"""),"1868-6486")</f>
        <v>1868-6486</v>
      </c>
      <c r="G733" s="1" t="str">
        <f ca="1">IFERROR(__xludf.DUMMYFUNCTION("""COMPUTED_VALUE"""),"1868-6478")</f>
        <v>1868-6478</v>
      </c>
      <c r="H733" s="27" t="str">
        <f ca="1">IFERROR(__xludf.DUMMYFUNCTION("""COMPUTED_VALUE"""),"https://link.springer.com/journal/12530")</f>
        <v>https://link.springer.com/journal/12530</v>
      </c>
      <c r="I733" s="1" t="str">
        <f ca="1">IFERROR(__xludf.DUMMYFUNCTION("""COMPUTED_VALUE"""),"Springer")</f>
        <v>Springer</v>
      </c>
      <c r="J733" s="1">
        <f ca="1">IFERROR(__xludf.DUMMYFUNCTION("""COMPUTED_VALUE"""),2010)</f>
        <v>2010</v>
      </c>
      <c r="K733" s="1" t="str">
        <f ca="1">IFERROR(__xludf.DUMMYFUNCTION("""COMPUTED_VALUE"""),"Engineering")</f>
        <v>Engineering</v>
      </c>
      <c r="L733" s="1" t="str">
        <f ca="1">IFERROR(__xludf.DUMMYFUNCTION("""COMPUTED_VALUE"""),"〇")</f>
        <v>〇</v>
      </c>
      <c r="M733" s="1" t="str">
        <f ca="1">IFERROR(__xludf.DUMMYFUNCTION("""COMPUTED_VALUE"""),"〇")</f>
        <v>〇</v>
      </c>
      <c r="N733" s="1" t="str">
        <f ca="1">IFERROR(__xludf.DUMMYFUNCTION("""COMPUTED_VALUE"""),"SNS10")</f>
        <v>SNS10</v>
      </c>
      <c r="O733" s="1"/>
      <c r="P733" s="1"/>
    </row>
    <row r="734" spans="1:16" ht="14.25" customHeight="1" x14ac:dyDescent="0.25">
      <c r="A734" s="1"/>
      <c r="B734" s="1">
        <f ca="1"/>
        <v>722</v>
      </c>
      <c r="C734" s="1">
        <f ca="1">IFERROR(__xludf.DUMMYFUNCTION("""COMPUTED_VALUE"""),2023)</f>
        <v>2023</v>
      </c>
      <c r="D734" s="1">
        <f ca="1">IFERROR(__xludf.DUMMYFUNCTION("""COMPUTED_VALUE"""),10493)</f>
        <v>10493</v>
      </c>
      <c r="E734" s="1" t="str">
        <f ca="1">IFERROR(__xludf.DUMMYFUNCTION("""COMPUTED_VALUE"""),"Experimental and Applied Acarology")</f>
        <v>Experimental and Applied Acarology</v>
      </c>
      <c r="F734" s="1" t="str">
        <f ca="1">IFERROR(__xludf.DUMMYFUNCTION("""COMPUTED_VALUE"""),"1572-9702")</f>
        <v>1572-9702</v>
      </c>
      <c r="G734" s="1" t="str">
        <f ca="1">IFERROR(__xludf.DUMMYFUNCTION("""COMPUTED_VALUE"""),"0168-8162")</f>
        <v>0168-8162</v>
      </c>
      <c r="H734" s="27" t="str">
        <f ca="1">IFERROR(__xludf.DUMMYFUNCTION("""COMPUTED_VALUE"""),"https://link.springer.com/journal/10493")</f>
        <v>https://link.springer.com/journal/10493</v>
      </c>
      <c r="I734" s="1" t="str">
        <f ca="1">IFERROR(__xludf.DUMMYFUNCTION("""COMPUTED_VALUE"""),"Springer")</f>
        <v>Springer</v>
      </c>
      <c r="J734" s="1">
        <f ca="1">IFERROR(__xludf.DUMMYFUNCTION("""COMPUTED_VALUE"""),2000)</f>
        <v>2000</v>
      </c>
      <c r="K734" s="1" t="str">
        <f ca="1">IFERROR(__xludf.DUMMYFUNCTION("""COMPUTED_VALUE"""),"Biomedical and Life Sciences")</f>
        <v>Biomedical and Life Sciences</v>
      </c>
      <c r="L734" s="1" t="str">
        <f ca="1">IFERROR(__xludf.DUMMYFUNCTION("""COMPUTED_VALUE"""),"〇")</f>
        <v>〇</v>
      </c>
      <c r="M734" s="1" t="str">
        <f ca="1">IFERROR(__xludf.DUMMYFUNCTION("""COMPUTED_VALUE"""),"〇")</f>
        <v>〇</v>
      </c>
      <c r="N734" s="1"/>
      <c r="O734" s="1"/>
      <c r="P734" s="1"/>
    </row>
    <row r="735" spans="1:16" ht="14.25" customHeight="1" x14ac:dyDescent="0.25">
      <c r="A735" s="1"/>
      <c r="B735" s="1">
        <f ca="1"/>
        <v>723</v>
      </c>
      <c r="C735" s="1">
        <f ca="1">IFERROR(__xludf.DUMMYFUNCTION("""COMPUTED_VALUE"""),2023)</f>
        <v>2023</v>
      </c>
      <c r="D735" s="1">
        <f ca="1">IFERROR(__xludf.DUMMYFUNCTION("""COMPUTED_VALUE"""),42757)</f>
        <v>42757</v>
      </c>
      <c r="E735" s="1" t="str">
        <f ca="1">IFERROR(__xludf.DUMMYFUNCTION("""COMPUTED_VALUE"""),"Experimental and Computational Multiphase Flow")</f>
        <v>Experimental and Computational Multiphase Flow</v>
      </c>
      <c r="F735" s="1" t="str">
        <f ca="1">IFERROR(__xludf.DUMMYFUNCTION("""COMPUTED_VALUE"""),"2661-8877")</f>
        <v>2661-8877</v>
      </c>
      <c r="G735" s="1" t="str">
        <f ca="1">IFERROR(__xludf.DUMMYFUNCTION("""COMPUTED_VALUE"""),"2661-8869")</f>
        <v>2661-8869</v>
      </c>
      <c r="H735" s="27" t="str">
        <f ca="1">IFERROR(__xludf.DUMMYFUNCTION("""COMPUTED_VALUE"""),"https://link.springer.com/journal/42757")</f>
        <v>https://link.springer.com/journal/42757</v>
      </c>
      <c r="I735" s="1" t="str">
        <f ca="1">IFERROR(__xludf.DUMMYFUNCTION("""COMPUTED_VALUE"""),"Tsinghua University Press, co-published with Springer")</f>
        <v>Tsinghua University Press, co-published with Springer</v>
      </c>
      <c r="J735" s="1">
        <f ca="1">IFERROR(__xludf.DUMMYFUNCTION("""COMPUTED_VALUE"""),2019)</f>
        <v>2019</v>
      </c>
      <c r="K735" s="1" t="str">
        <f ca="1">IFERROR(__xludf.DUMMYFUNCTION("""COMPUTED_VALUE"""),"Engineering")</f>
        <v>Engineering</v>
      </c>
      <c r="L735" s="1" t="str">
        <f ca="1">IFERROR(__xludf.DUMMYFUNCTION("""COMPUTED_VALUE"""),"〇")</f>
        <v>〇</v>
      </c>
      <c r="M735" s="1"/>
      <c r="N735" s="1" t="str">
        <f ca="1">IFERROR(__xludf.DUMMYFUNCTION("""COMPUTED_VALUE"""),"SNS19")</f>
        <v>SNS19</v>
      </c>
      <c r="O735" s="1"/>
      <c r="P735" s="1"/>
    </row>
    <row r="736" spans="1:16" ht="14.25" customHeight="1" x14ac:dyDescent="0.25">
      <c r="A736" s="1"/>
      <c r="B736" s="1">
        <f ca="1"/>
        <v>724</v>
      </c>
      <c r="C736" s="1">
        <f ca="1">IFERROR(__xludf.DUMMYFUNCTION("""COMPUTED_VALUE"""),2023)</f>
        <v>2023</v>
      </c>
      <c r="D736" s="1">
        <f ca="1">IFERROR(__xludf.DUMMYFUNCTION("""COMPUTED_VALUE"""),10686)</f>
        <v>10686</v>
      </c>
      <c r="E736" s="1" t="str">
        <f ca="1">IFERROR(__xludf.DUMMYFUNCTION("""COMPUTED_VALUE"""),"Experimental Astronomy")</f>
        <v>Experimental Astronomy</v>
      </c>
      <c r="F736" s="1" t="str">
        <f ca="1">IFERROR(__xludf.DUMMYFUNCTION("""COMPUTED_VALUE"""),"1572-9508")</f>
        <v>1572-9508</v>
      </c>
      <c r="G736" s="1" t="str">
        <f ca="1">IFERROR(__xludf.DUMMYFUNCTION("""COMPUTED_VALUE"""),"0922-6435")</f>
        <v>0922-6435</v>
      </c>
      <c r="H736" s="27" t="str">
        <f ca="1">IFERROR(__xludf.DUMMYFUNCTION("""COMPUTED_VALUE"""),"https://link.springer.com/journal/10686")</f>
        <v>https://link.springer.com/journal/10686</v>
      </c>
      <c r="I736" s="1" t="str">
        <f ca="1">IFERROR(__xludf.DUMMYFUNCTION("""COMPUTED_VALUE"""),"Springer")</f>
        <v>Springer</v>
      </c>
      <c r="J736" s="1">
        <f ca="1">IFERROR(__xludf.DUMMYFUNCTION("""COMPUTED_VALUE"""),2000)</f>
        <v>2000</v>
      </c>
      <c r="K736" s="1" t="str">
        <f ca="1">IFERROR(__xludf.DUMMYFUNCTION("""COMPUTED_VALUE"""),"Physics and Astronomy")</f>
        <v>Physics and Astronomy</v>
      </c>
      <c r="L736" s="1" t="str">
        <f ca="1">IFERROR(__xludf.DUMMYFUNCTION("""COMPUTED_VALUE"""),"〇")</f>
        <v>〇</v>
      </c>
      <c r="M736" s="1" t="str">
        <f ca="1">IFERROR(__xludf.DUMMYFUNCTION("""COMPUTED_VALUE"""),"〇")</f>
        <v>〇</v>
      </c>
      <c r="N736" s="1"/>
      <c r="O736" s="1"/>
      <c r="P736" s="1"/>
    </row>
    <row r="737" spans="1:16" ht="14.25" customHeight="1" x14ac:dyDescent="0.25">
      <c r="A737" s="1"/>
      <c r="B737" s="1">
        <f ca="1"/>
        <v>725</v>
      </c>
      <c r="C737" s="1">
        <f ca="1">IFERROR(__xludf.DUMMYFUNCTION("""COMPUTED_VALUE"""),2023)</f>
        <v>2023</v>
      </c>
      <c r="D737" s="1">
        <f ca="1">IFERROR(__xludf.DUMMYFUNCTION("""COMPUTED_VALUE"""),221)</f>
        <v>221</v>
      </c>
      <c r="E737" s="1" t="str">
        <f ca="1">IFERROR(__xludf.DUMMYFUNCTION("""COMPUTED_VALUE"""),"Experimental Brain Research")</f>
        <v>Experimental Brain Research</v>
      </c>
      <c r="F737" s="1" t="str">
        <f ca="1">IFERROR(__xludf.DUMMYFUNCTION("""COMPUTED_VALUE"""),"1432-1106")</f>
        <v>1432-1106</v>
      </c>
      <c r="G737" s="1" t="str">
        <f ca="1">IFERROR(__xludf.DUMMYFUNCTION("""COMPUTED_VALUE"""),"0014-4819")</f>
        <v>0014-4819</v>
      </c>
      <c r="H737" s="27" t="str">
        <f ca="1">IFERROR(__xludf.DUMMYFUNCTION("""COMPUTED_VALUE"""),"https://link.springer.com/journal/221")</f>
        <v>https://link.springer.com/journal/221</v>
      </c>
      <c r="I737" s="1" t="str">
        <f ca="1">IFERROR(__xludf.DUMMYFUNCTION("""COMPUTED_VALUE"""),"Springer")</f>
        <v>Springer</v>
      </c>
      <c r="J737" s="1">
        <f ca="1">IFERROR(__xludf.DUMMYFUNCTION("""COMPUTED_VALUE"""),2000)</f>
        <v>2000</v>
      </c>
      <c r="K737" s="1" t="str">
        <f ca="1">IFERROR(__xludf.DUMMYFUNCTION("""COMPUTED_VALUE"""),"Biomedical and Life Sciences")</f>
        <v>Biomedical and Life Sciences</v>
      </c>
      <c r="L737" s="1" t="str">
        <f ca="1">IFERROR(__xludf.DUMMYFUNCTION("""COMPUTED_VALUE"""),"〇")</f>
        <v>〇</v>
      </c>
      <c r="M737" s="1" t="str">
        <f ca="1">IFERROR(__xludf.DUMMYFUNCTION("""COMPUTED_VALUE"""),"〇")</f>
        <v>〇</v>
      </c>
      <c r="N737" s="1"/>
      <c r="O737" s="1"/>
      <c r="P737" s="1"/>
    </row>
    <row r="738" spans="1:16" ht="14.25" customHeight="1" x14ac:dyDescent="0.25">
      <c r="A738" s="1"/>
      <c r="B738" s="1">
        <f ca="1"/>
        <v>726</v>
      </c>
      <c r="C738" s="1">
        <f ca="1">IFERROR(__xludf.DUMMYFUNCTION("""COMPUTED_VALUE"""),2023)</f>
        <v>2023</v>
      </c>
      <c r="D738" s="1">
        <f ca="1">IFERROR(__xludf.DUMMYFUNCTION("""COMPUTED_VALUE"""),10683)</f>
        <v>10683</v>
      </c>
      <c r="E738" s="1" t="str">
        <f ca="1">IFERROR(__xludf.DUMMYFUNCTION("""COMPUTED_VALUE"""),"Experimental Economics")</f>
        <v>Experimental Economics</v>
      </c>
      <c r="F738" s="1" t="str">
        <f ca="1">IFERROR(__xludf.DUMMYFUNCTION("""COMPUTED_VALUE"""),"1573-6938")</f>
        <v>1573-6938</v>
      </c>
      <c r="G738" s="1" t="str">
        <f ca="1">IFERROR(__xludf.DUMMYFUNCTION("""COMPUTED_VALUE"""),"1386-4157")</f>
        <v>1386-4157</v>
      </c>
      <c r="H738" s="27" t="str">
        <f ca="1">IFERROR(__xludf.DUMMYFUNCTION("""COMPUTED_VALUE"""),"https://link.springer.com/journal/10683")</f>
        <v>https://link.springer.com/journal/10683</v>
      </c>
      <c r="I738" s="1" t="str">
        <f ca="1">IFERROR(__xludf.DUMMYFUNCTION("""COMPUTED_VALUE"""),"Springer")</f>
        <v>Springer</v>
      </c>
      <c r="J738" s="1">
        <f ca="1">IFERROR(__xludf.DUMMYFUNCTION("""COMPUTED_VALUE"""),2000)</f>
        <v>2000</v>
      </c>
      <c r="K738" s="1" t="str">
        <f ca="1">IFERROR(__xludf.DUMMYFUNCTION("""COMPUTED_VALUE"""),"Economics and Finance")</f>
        <v>Economics and Finance</v>
      </c>
      <c r="L738" s="1" t="str">
        <f ca="1">IFERROR(__xludf.DUMMYFUNCTION("""COMPUTED_VALUE"""),"〇")</f>
        <v>〇</v>
      </c>
      <c r="M738" s="1" t="str">
        <f ca="1">IFERROR(__xludf.DUMMYFUNCTION("""COMPUTED_VALUE"""),"〇")</f>
        <v>〇</v>
      </c>
      <c r="N738" s="1"/>
      <c r="O738" s="1"/>
      <c r="P738" s="1"/>
    </row>
    <row r="739" spans="1:16" ht="14.25" customHeight="1" x14ac:dyDescent="0.25">
      <c r="A739" s="1"/>
      <c r="B739" s="1">
        <f ca="1"/>
        <v>727</v>
      </c>
      <c r="C739" s="1">
        <f ca="1">IFERROR(__xludf.DUMMYFUNCTION("""COMPUTED_VALUE"""),2023)</f>
        <v>2023</v>
      </c>
      <c r="D739" s="1">
        <f ca="1">IFERROR(__xludf.DUMMYFUNCTION("""COMPUTED_VALUE"""),11340)</f>
        <v>11340</v>
      </c>
      <c r="E739" s="1" t="str">
        <f ca="1">IFERROR(__xludf.DUMMYFUNCTION("""COMPUTED_VALUE"""),"Experimental Mechanics")</f>
        <v>Experimental Mechanics</v>
      </c>
      <c r="F739" s="1" t="str">
        <f ca="1">IFERROR(__xludf.DUMMYFUNCTION("""COMPUTED_VALUE"""),"1741-2765")</f>
        <v>1741-2765</v>
      </c>
      <c r="G739" s="1" t="str">
        <f ca="1">IFERROR(__xludf.DUMMYFUNCTION("""COMPUTED_VALUE"""),"0014-4851")</f>
        <v>0014-4851</v>
      </c>
      <c r="H739" s="27" t="str">
        <f ca="1">IFERROR(__xludf.DUMMYFUNCTION("""COMPUTED_VALUE"""),"https://link.springer.com/journal/11340")</f>
        <v>https://link.springer.com/journal/11340</v>
      </c>
      <c r="I739" s="1" t="str">
        <f ca="1">IFERROR(__xludf.DUMMYFUNCTION("""COMPUTED_VALUE"""),"Springer")</f>
        <v>Springer</v>
      </c>
      <c r="J739" s="1">
        <f ca="1">IFERROR(__xludf.DUMMYFUNCTION("""COMPUTED_VALUE"""),2000)</f>
        <v>2000</v>
      </c>
      <c r="K739" s="1" t="str">
        <f ca="1">IFERROR(__xludf.DUMMYFUNCTION("""COMPUTED_VALUE"""),"Engineering")</f>
        <v>Engineering</v>
      </c>
      <c r="L739" s="1" t="str">
        <f ca="1">IFERROR(__xludf.DUMMYFUNCTION("""COMPUTED_VALUE"""),"〇")</f>
        <v>〇</v>
      </c>
      <c r="M739" s="1" t="str">
        <f ca="1">IFERROR(__xludf.DUMMYFUNCTION("""COMPUTED_VALUE"""),"〇")</f>
        <v>〇</v>
      </c>
      <c r="N739" s="1"/>
      <c r="O739" s="1"/>
      <c r="P739" s="1"/>
    </row>
    <row r="740" spans="1:16" ht="14.25" customHeight="1" x14ac:dyDescent="0.25">
      <c r="A740" s="1"/>
      <c r="B740" s="1">
        <f ca="1"/>
        <v>728</v>
      </c>
      <c r="C740" s="1">
        <f ca="1">IFERROR(__xludf.DUMMYFUNCTION("""COMPUTED_VALUE"""),2023)</f>
        <v>2023</v>
      </c>
      <c r="D740" s="1">
        <f ca="1">IFERROR(__xludf.DUMMYFUNCTION("""COMPUTED_VALUE"""),40799)</f>
        <v>40799</v>
      </c>
      <c r="E740" s="1" t="str">
        <f ca="1">IFERROR(__xludf.DUMMYFUNCTION("""COMPUTED_VALUE"""),"Experimental Techniques")</f>
        <v>Experimental Techniques</v>
      </c>
      <c r="F740" s="1" t="str">
        <f ca="1">IFERROR(__xludf.DUMMYFUNCTION("""COMPUTED_VALUE"""),"1747-1567")</f>
        <v>1747-1567</v>
      </c>
      <c r="G740" s="1" t="str">
        <f ca="1">IFERROR(__xludf.DUMMYFUNCTION("""COMPUTED_VALUE"""),"0732-8818")</f>
        <v>0732-8818</v>
      </c>
      <c r="H740" s="27" t="str">
        <f ca="1">IFERROR(__xludf.DUMMYFUNCTION("""COMPUTED_VALUE"""),"https://link.springer.com/journal/40799")</f>
        <v>https://link.springer.com/journal/40799</v>
      </c>
      <c r="I740" s="1" t="str">
        <f ca="1">IFERROR(__xludf.DUMMYFUNCTION("""COMPUTED_VALUE"""),"Springer")</f>
        <v>Springer</v>
      </c>
      <c r="J740" s="1">
        <f ca="1">IFERROR(__xludf.DUMMYFUNCTION("""COMPUTED_VALUE"""),2000)</f>
        <v>2000</v>
      </c>
      <c r="K740" s="1" t="str">
        <f ca="1">IFERROR(__xludf.DUMMYFUNCTION("""COMPUTED_VALUE"""),"Chemistry and Materials Science")</f>
        <v>Chemistry and Materials Science</v>
      </c>
      <c r="L740" s="1" t="str">
        <f ca="1">IFERROR(__xludf.DUMMYFUNCTION("""COMPUTED_VALUE"""),"〇")</f>
        <v>〇</v>
      </c>
      <c r="M740" s="1"/>
      <c r="N740" s="1" t="str">
        <f ca="1">IFERROR(__xludf.DUMMYFUNCTION("""COMPUTED_VALUE"""),"TO16")</f>
        <v>TO16</v>
      </c>
      <c r="O740" s="1"/>
      <c r="P740" s="1"/>
    </row>
    <row r="741" spans="1:16" ht="14.25" customHeight="1" x14ac:dyDescent="0.25">
      <c r="A741" s="1"/>
      <c r="B741" s="1">
        <f ca="1"/>
        <v>729</v>
      </c>
      <c r="C741" s="1">
        <f ca="1">IFERROR(__xludf.DUMMYFUNCTION("""COMPUTED_VALUE"""),2023)</f>
        <v>2023</v>
      </c>
      <c r="D741" s="1">
        <f ca="1">IFERROR(__xludf.DUMMYFUNCTION("""COMPUTED_VALUE"""),348)</f>
        <v>348</v>
      </c>
      <c r="E741" s="1" t="str">
        <f ca="1">IFERROR(__xludf.DUMMYFUNCTION("""COMPUTED_VALUE"""),"Experiments in Fluids")</f>
        <v>Experiments in Fluids</v>
      </c>
      <c r="F741" s="1" t="str">
        <f ca="1">IFERROR(__xludf.DUMMYFUNCTION("""COMPUTED_VALUE"""),"1432-1114")</f>
        <v>1432-1114</v>
      </c>
      <c r="G741" s="1" t="str">
        <f ca="1">IFERROR(__xludf.DUMMYFUNCTION("""COMPUTED_VALUE"""),"0723-4864")</f>
        <v>0723-4864</v>
      </c>
      <c r="H741" s="27" t="str">
        <f ca="1">IFERROR(__xludf.DUMMYFUNCTION("""COMPUTED_VALUE"""),"https://link.springer.com/journal/348")</f>
        <v>https://link.springer.com/journal/348</v>
      </c>
      <c r="I741" s="1" t="str">
        <f ca="1">IFERROR(__xludf.DUMMYFUNCTION("""COMPUTED_VALUE"""),"Springer")</f>
        <v>Springer</v>
      </c>
      <c r="J741" s="1">
        <f ca="1">IFERROR(__xludf.DUMMYFUNCTION("""COMPUTED_VALUE"""),2000)</f>
        <v>2000</v>
      </c>
      <c r="K741" s="1" t="str">
        <f ca="1">IFERROR(__xludf.DUMMYFUNCTION("""COMPUTED_VALUE"""),"Engineering")</f>
        <v>Engineering</v>
      </c>
      <c r="L741" s="1" t="str">
        <f ca="1">IFERROR(__xludf.DUMMYFUNCTION("""COMPUTED_VALUE"""),"〇")</f>
        <v>〇</v>
      </c>
      <c r="M741" s="1" t="str">
        <f ca="1">IFERROR(__xludf.DUMMYFUNCTION("""COMPUTED_VALUE"""),"〇")</f>
        <v>〇</v>
      </c>
      <c r="N741" s="1"/>
      <c r="O741" s="1"/>
      <c r="P741" s="1"/>
    </row>
    <row r="742" spans="1:16" ht="14.25" customHeight="1" x14ac:dyDescent="0.25">
      <c r="A742" s="1"/>
      <c r="B742" s="1">
        <f ca="1"/>
        <v>730</v>
      </c>
      <c r="C742" s="1">
        <f ca="1">IFERROR(__xludf.DUMMYFUNCTION("""COMPUTED_VALUE"""),2023)</f>
        <v>2023</v>
      </c>
      <c r="D742" s="1">
        <f ca="1">IFERROR(__xludf.DUMMYFUNCTION("""COMPUTED_VALUE"""),12403)</f>
        <v>12403</v>
      </c>
      <c r="E742" s="1" t="str">
        <f ca="1">IFERROR(__xludf.DUMMYFUNCTION("""COMPUTED_VALUE"""),"Exposure and Health")</f>
        <v>Exposure and Health</v>
      </c>
      <c r="F742" s="1" t="str">
        <f ca="1">IFERROR(__xludf.DUMMYFUNCTION("""COMPUTED_VALUE"""),"2451-9685")</f>
        <v>2451-9685</v>
      </c>
      <c r="G742" s="1"/>
      <c r="H742" s="27" t="str">
        <f ca="1">IFERROR(__xludf.DUMMYFUNCTION("""COMPUTED_VALUE"""),"https://link.springer.com/journal/12403")</f>
        <v>https://link.springer.com/journal/12403</v>
      </c>
      <c r="I742" s="1" t="str">
        <f ca="1">IFERROR(__xludf.DUMMYFUNCTION("""COMPUTED_VALUE"""),"Springer")</f>
        <v>Springer</v>
      </c>
      <c r="J742" s="1">
        <f ca="1">IFERROR(__xludf.DUMMYFUNCTION("""COMPUTED_VALUE"""),2009)</f>
        <v>2009</v>
      </c>
      <c r="K742" s="1" t="str">
        <f ca="1">IFERROR(__xludf.DUMMYFUNCTION("""COMPUTED_VALUE"""),"Earth and Environmental Science")</f>
        <v>Earth and Environmental Science</v>
      </c>
      <c r="L742" s="1"/>
      <c r="M742" s="1" t="str">
        <f ca="1">IFERROR(__xludf.DUMMYFUNCTION("""COMPUTED_VALUE"""),"〇")</f>
        <v>〇</v>
      </c>
      <c r="N742" s="1" t="str">
        <f ca="1">IFERROR(__xludf.DUMMYFUNCTION("""COMPUTED_VALUE"""),"SNS9")</f>
        <v>SNS9</v>
      </c>
      <c r="O742" s="1"/>
      <c r="P742" s="1"/>
    </row>
    <row r="743" spans="1:16" ht="14.25" customHeight="1" x14ac:dyDescent="0.25">
      <c r="A743" s="1"/>
      <c r="B743" s="1">
        <f ca="1"/>
        <v>731</v>
      </c>
      <c r="C743" s="1">
        <f ca="1">IFERROR(__xludf.DUMMYFUNCTION("""COMPUTED_VALUE"""),2023)</f>
        <v>2023</v>
      </c>
      <c r="D743" s="1">
        <f ca="1">IFERROR(__xludf.DUMMYFUNCTION("""COMPUTED_VALUE"""),10687)</f>
        <v>10687</v>
      </c>
      <c r="E743" s="1" t="str">
        <f ca="1">IFERROR(__xludf.DUMMYFUNCTION("""COMPUTED_VALUE"""),"Extremes")</f>
        <v>Extremes</v>
      </c>
      <c r="F743" s="1" t="str">
        <f ca="1">IFERROR(__xludf.DUMMYFUNCTION("""COMPUTED_VALUE"""),"1572-915X")</f>
        <v>1572-915X</v>
      </c>
      <c r="G743" s="1" t="str">
        <f ca="1">IFERROR(__xludf.DUMMYFUNCTION("""COMPUTED_VALUE"""),"1386-1999")</f>
        <v>1386-1999</v>
      </c>
      <c r="H743" s="27" t="str">
        <f ca="1">IFERROR(__xludf.DUMMYFUNCTION("""COMPUTED_VALUE"""),"https://link.springer.com/journal/10687")</f>
        <v>https://link.springer.com/journal/10687</v>
      </c>
      <c r="I743" s="1" t="str">
        <f ca="1">IFERROR(__xludf.DUMMYFUNCTION("""COMPUTED_VALUE"""),"Springer")</f>
        <v>Springer</v>
      </c>
      <c r="J743" s="1">
        <f ca="1">IFERROR(__xludf.DUMMYFUNCTION("""COMPUTED_VALUE"""),2000)</f>
        <v>2000</v>
      </c>
      <c r="K743" s="1" t="str">
        <f ca="1">IFERROR(__xludf.DUMMYFUNCTION("""COMPUTED_VALUE"""),"Mathematics and Statistics")</f>
        <v>Mathematics and Statistics</v>
      </c>
      <c r="L743" s="1" t="str">
        <f ca="1">IFERROR(__xludf.DUMMYFUNCTION("""COMPUTED_VALUE"""),"〇")</f>
        <v>〇</v>
      </c>
      <c r="M743" s="1" t="str">
        <f ca="1">IFERROR(__xludf.DUMMYFUNCTION("""COMPUTED_VALUE"""),"〇")</f>
        <v>〇</v>
      </c>
      <c r="N743" s="1"/>
      <c r="O743" s="1"/>
      <c r="P743" s="1"/>
    </row>
    <row r="744" spans="1:16" ht="14.25" customHeight="1" x14ac:dyDescent="0.25">
      <c r="A744" s="1"/>
      <c r="B744" s="1">
        <f ca="1"/>
        <v>732</v>
      </c>
      <c r="C744" s="1">
        <f ca="1">IFERROR(__xludf.DUMMYFUNCTION("""COMPUTED_VALUE"""),2023)</f>
        <v>2023</v>
      </c>
      <c r="D744" s="1">
        <f ca="1">IFERROR(__xludf.DUMMYFUNCTION("""COMPUTED_VALUE"""),792)</f>
        <v>792</v>
      </c>
      <c r="E744" s="1" t="str">
        <f ca="1">IFERROR(__xludf.DUMMYFUNCTION("""COMPUTED_VALUE"""),"Extremophiles")</f>
        <v>Extremophiles</v>
      </c>
      <c r="F744" s="1" t="str">
        <f ca="1">IFERROR(__xludf.DUMMYFUNCTION("""COMPUTED_VALUE"""),"1433-4909")</f>
        <v>1433-4909</v>
      </c>
      <c r="G744" s="1" t="str">
        <f ca="1">IFERROR(__xludf.DUMMYFUNCTION("""COMPUTED_VALUE"""),"1431-0651")</f>
        <v>1431-0651</v>
      </c>
      <c r="H744" s="27" t="str">
        <f ca="1">IFERROR(__xludf.DUMMYFUNCTION("""COMPUTED_VALUE"""),"https://link.springer.com/journal/792")</f>
        <v>https://link.springer.com/journal/792</v>
      </c>
      <c r="I744" s="1" t="str">
        <f ca="1">IFERROR(__xludf.DUMMYFUNCTION("""COMPUTED_VALUE"""),"Springer")</f>
        <v>Springer</v>
      </c>
      <c r="J744" s="1">
        <f ca="1">IFERROR(__xludf.DUMMYFUNCTION("""COMPUTED_VALUE"""),2000)</f>
        <v>2000</v>
      </c>
      <c r="K744" s="1" t="str">
        <f ca="1">IFERROR(__xludf.DUMMYFUNCTION("""COMPUTED_VALUE"""),"Biomedical and Life Sciences")</f>
        <v>Biomedical and Life Sciences</v>
      </c>
      <c r="L744" s="1" t="str">
        <f ca="1">IFERROR(__xludf.DUMMYFUNCTION("""COMPUTED_VALUE"""),"〇")</f>
        <v>〇</v>
      </c>
      <c r="M744" s="1" t="str">
        <f ca="1">IFERROR(__xludf.DUMMYFUNCTION("""COMPUTED_VALUE"""),"〇")</f>
        <v>〇</v>
      </c>
      <c r="N744" s="1"/>
      <c r="O744" s="1"/>
      <c r="P744" s="1"/>
    </row>
    <row r="745" spans="1:16" ht="14.25" customHeight="1" x14ac:dyDescent="0.25">
      <c r="A745" s="1"/>
      <c r="B745" s="1">
        <f ca="1"/>
        <v>733</v>
      </c>
      <c r="C745" s="1">
        <f ca="1">IFERROR(__xludf.DUMMYFUNCTION("""COMPUTED_VALUE"""),2023)</f>
        <v>2023</v>
      </c>
      <c r="D745" s="1">
        <f ca="1">IFERROR(__xludf.DUMMYFUNCTION("""COMPUTED_VALUE"""),10347)</f>
        <v>10347</v>
      </c>
      <c r="E745" s="1" t="str">
        <f ca="1">IFERROR(__xludf.DUMMYFUNCTION("""COMPUTED_VALUE"""),"Facies")</f>
        <v>Facies</v>
      </c>
      <c r="F745" s="1" t="str">
        <f ca="1">IFERROR(__xludf.DUMMYFUNCTION("""COMPUTED_VALUE"""),"1612-4820")</f>
        <v>1612-4820</v>
      </c>
      <c r="G745" s="1" t="str">
        <f ca="1">IFERROR(__xludf.DUMMYFUNCTION("""COMPUTED_VALUE"""),"0172-9179")</f>
        <v>0172-9179</v>
      </c>
      <c r="H745" s="27" t="str">
        <f ca="1">IFERROR(__xludf.DUMMYFUNCTION("""COMPUTED_VALUE"""),"https://link.springer.com/journal/10347")</f>
        <v>https://link.springer.com/journal/10347</v>
      </c>
      <c r="I745" s="1" t="str">
        <f ca="1">IFERROR(__xludf.DUMMYFUNCTION("""COMPUTED_VALUE"""),"Springer")</f>
        <v>Springer</v>
      </c>
      <c r="J745" s="1">
        <f ca="1">IFERROR(__xludf.DUMMYFUNCTION("""COMPUTED_VALUE"""),2000)</f>
        <v>2000</v>
      </c>
      <c r="K745" s="1" t="str">
        <f ca="1">IFERROR(__xludf.DUMMYFUNCTION("""COMPUTED_VALUE"""),"Earth and Environmental Science")</f>
        <v>Earth and Environmental Science</v>
      </c>
      <c r="L745" s="1" t="str">
        <f ca="1">IFERROR(__xludf.DUMMYFUNCTION("""COMPUTED_VALUE"""),"〇")</f>
        <v>〇</v>
      </c>
      <c r="M745" s="1" t="str">
        <f ca="1">IFERROR(__xludf.DUMMYFUNCTION("""COMPUTED_VALUE"""),"〇")</f>
        <v>〇</v>
      </c>
      <c r="N745" s="1"/>
      <c r="O745" s="1"/>
      <c r="P745" s="1"/>
    </row>
    <row r="746" spans="1:16" ht="14.25" customHeight="1" x14ac:dyDescent="0.25">
      <c r="A746" s="1"/>
      <c r="B746" s="1">
        <f ca="1"/>
        <v>734</v>
      </c>
      <c r="C746" s="1">
        <f ca="1">IFERROR(__xludf.DUMMYFUNCTION("""COMPUTED_VALUE"""),2023)</f>
        <v>2023</v>
      </c>
      <c r="D746" s="1">
        <f ca="1">IFERROR(__xludf.DUMMYFUNCTION("""COMPUTED_VALUE"""),10689)</f>
        <v>10689</v>
      </c>
      <c r="E746" s="1" t="str">
        <f ca="1">IFERROR(__xludf.DUMMYFUNCTION("""COMPUTED_VALUE"""),"Familial Cancer")</f>
        <v>Familial Cancer</v>
      </c>
      <c r="F746" s="1" t="str">
        <f ca="1">IFERROR(__xludf.DUMMYFUNCTION("""COMPUTED_VALUE"""),"1573-7292")</f>
        <v>1573-7292</v>
      </c>
      <c r="G746" s="1" t="str">
        <f ca="1">IFERROR(__xludf.DUMMYFUNCTION("""COMPUTED_VALUE"""),"1389-9600")</f>
        <v>1389-9600</v>
      </c>
      <c r="H746" s="27" t="str">
        <f ca="1">IFERROR(__xludf.DUMMYFUNCTION("""COMPUTED_VALUE"""),"https://link.springer.com/journal/10689")</f>
        <v>https://link.springer.com/journal/10689</v>
      </c>
      <c r="I746" s="1" t="str">
        <f ca="1">IFERROR(__xludf.DUMMYFUNCTION("""COMPUTED_VALUE"""),"Springer")</f>
        <v>Springer</v>
      </c>
      <c r="J746" s="1">
        <f ca="1">IFERROR(__xludf.DUMMYFUNCTION("""COMPUTED_VALUE"""),2001)</f>
        <v>2001</v>
      </c>
      <c r="K746" s="1" t="str">
        <f ca="1">IFERROR(__xludf.DUMMYFUNCTION("""COMPUTED_VALUE"""),"Biomedical and Life Sciences")</f>
        <v>Biomedical and Life Sciences</v>
      </c>
      <c r="L746" s="1" t="str">
        <f ca="1">IFERROR(__xludf.DUMMYFUNCTION("""COMPUTED_VALUE"""),"〇")</f>
        <v>〇</v>
      </c>
      <c r="M746" s="1" t="str">
        <f ca="1">IFERROR(__xludf.DUMMYFUNCTION("""COMPUTED_VALUE"""),"〇")</f>
        <v>〇</v>
      </c>
      <c r="N746" s="1"/>
      <c r="O746" s="1"/>
      <c r="P746" s="1"/>
    </row>
    <row r="747" spans="1:16" ht="14.25" customHeight="1" x14ac:dyDescent="0.25">
      <c r="A747" s="1"/>
      <c r="B747" s="1">
        <f ca="1"/>
        <v>735</v>
      </c>
      <c r="C747" s="1">
        <f ca="1">IFERROR(__xludf.DUMMYFUNCTION("""COMPUTED_VALUE"""),2023)</f>
        <v>2023</v>
      </c>
      <c r="D747" s="1">
        <f ca="1">IFERROR(__xludf.DUMMYFUNCTION("""COMPUTED_VALUE"""),10691)</f>
        <v>10691</v>
      </c>
      <c r="E747" s="1" t="str">
        <f ca="1">IFERROR(__xludf.DUMMYFUNCTION("""COMPUTED_VALUE"""),"Feminist Legal Studies")</f>
        <v>Feminist Legal Studies</v>
      </c>
      <c r="F747" s="1" t="str">
        <f ca="1">IFERROR(__xludf.DUMMYFUNCTION("""COMPUTED_VALUE"""),"1572-8455")</f>
        <v>1572-8455</v>
      </c>
      <c r="G747" s="1" t="str">
        <f ca="1">IFERROR(__xludf.DUMMYFUNCTION("""COMPUTED_VALUE"""),"0966-3622")</f>
        <v>0966-3622</v>
      </c>
      <c r="H747" s="27" t="str">
        <f ca="1">IFERROR(__xludf.DUMMYFUNCTION("""COMPUTED_VALUE"""),"https://link.springer.com/journal/10691")</f>
        <v>https://link.springer.com/journal/10691</v>
      </c>
      <c r="I747" s="1" t="str">
        <f ca="1">IFERROR(__xludf.DUMMYFUNCTION("""COMPUTED_VALUE"""),"Springer")</f>
        <v>Springer</v>
      </c>
      <c r="J747" s="1">
        <f ca="1">IFERROR(__xludf.DUMMYFUNCTION("""COMPUTED_VALUE"""),2000)</f>
        <v>2000</v>
      </c>
      <c r="K747" s="1" t="str">
        <f ca="1">IFERROR(__xludf.DUMMYFUNCTION("""COMPUTED_VALUE"""),"Law and Criminology")</f>
        <v>Law and Criminology</v>
      </c>
      <c r="L747" s="1" t="str">
        <f ca="1">IFERROR(__xludf.DUMMYFUNCTION("""COMPUTED_VALUE"""),"〇")</f>
        <v>〇</v>
      </c>
      <c r="M747" s="1" t="str">
        <f ca="1">IFERROR(__xludf.DUMMYFUNCTION("""COMPUTED_VALUE"""),"〇")</f>
        <v>〇</v>
      </c>
      <c r="N747" s="1"/>
      <c r="O747" s="1"/>
      <c r="P747" s="1"/>
    </row>
    <row r="748" spans="1:16" ht="14.25" customHeight="1" x14ac:dyDescent="0.25">
      <c r="A748" s="1"/>
      <c r="B748" s="1">
        <f ca="1"/>
        <v>736</v>
      </c>
      <c r="C748" s="1">
        <f ca="1">IFERROR(__xludf.DUMMYFUNCTION("""COMPUTED_VALUE"""),2023)</f>
        <v>2023</v>
      </c>
      <c r="D748" s="1">
        <f ca="1">IFERROR(__xludf.DUMMYFUNCTION("""COMPUTED_VALUE"""),601)</f>
        <v>601</v>
      </c>
      <c r="E748" s="1" t="str">
        <f ca="1">IFERROR(__xludf.DUMMYFUNCTION("""COMPUTED_VALUE"""),"Few-Body Systems")</f>
        <v>Few-Body Systems</v>
      </c>
      <c r="F748" s="1" t="str">
        <f ca="1">IFERROR(__xludf.DUMMYFUNCTION("""COMPUTED_VALUE"""),"1432-5411")</f>
        <v>1432-5411</v>
      </c>
      <c r="G748" s="1"/>
      <c r="H748" s="27" t="str">
        <f ca="1">IFERROR(__xludf.DUMMYFUNCTION("""COMPUTED_VALUE"""),"https://link.springer.com/journal/601")</f>
        <v>https://link.springer.com/journal/601</v>
      </c>
      <c r="I748" s="1" t="str">
        <f ca="1">IFERROR(__xludf.DUMMYFUNCTION("""COMPUTED_VALUE"""),"Springer")</f>
        <v>Springer</v>
      </c>
      <c r="J748" s="1">
        <f ca="1">IFERROR(__xludf.DUMMYFUNCTION("""COMPUTED_VALUE"""),2000)</f>
        <v>2000</v>
      </c>
      <c r="K748" s="1" t="str">
        <f ca="1">IFERROR(__xludf.DUMMYFUNCTION("""COMPUTED_VALUE"""),"Physics and Astronomy")</f>
        <v>Physics and Astronomy</v>
      </c>
      <c r="L748" s="1"/>
      <c r="M748" s="1" t="str">
        <f ca="1">IFERROR(__xludf.DUMMYFUNCTION("""COMPUTED_VALUE"""),"〇")</f>
        <v>〇</v>
      </c>
      <c r="N748" s="1"/>
      <c r="O748" s="1"/>
      <c r="P748" s="1"/>
    </row>
    <row r="749" spans="1:16" ht="14.25" customHeight="1" x14ac:dyDescent="0.25">
      <c r="A749" s="1"/>
      <c r="B749" s="1">
        <f ca="1"/>
        <v>737</v>
      </c>
      <c r="C749" s="1">
        <f ca="1">IFERROR(__xludf.DUMMYFUNCTION("""COMPUTED_VALUE"""),2023)</f>
        <v>2023</v>
      </c>
      <c r="D749" s="1">
        <f ca="1">IFERROR(__xludf.DUMMYFUNCTION("""COMPUTED_VALUE"""),12221)</f>
        <v>12221</v>
      </c>
      <c r="E749" s="1" t="str">
        <f ca="1">IFERROR(__xludf.DUMMYFUNCTION("""COMPUTED_VALUE"""),"Fibers and Polymers")</f>
        <v>Fibers and Polymers</v>
      </c>
      <c r="F749" s="1" t="str">
        <f ca="1">IFERROR(__xludf.DUMMYFUNCTION("""COMPUTED_VALUE"""),"1875-0052")</f>
        <v>1875-0052</v>
      </c>
      <c r="G749" s="1" t="str">
        <f ca="1">IFERROR(__xludf.DUMMYFUNCTION("""COMPUTED_VALUE"""),"1229-9197")</f>
        <v>1229-9197</v>
      </c>
      <c r="H749" s="27" t="str">
        <f ca="1">IFERROR(__xludf.DUMMYFUNCTION("""COMPUTED_VALUE"""),"https://link.springer.com/journal/12221")</f>
        <v>https://link.springer.com/journal/12221</v>
      </c>
      <c r="I749" s="1" t="str">
        <f ca="1">IFERROR(__xludf.DUMMYFUNCTION("""COMPUTED_VALUE"""),"The Korean Fiber Society, co-published with Springer")</f>
        <v>The Korean Fiber Society, co-published with Springer</v>
      </c>
      <c r="J749" s="1">
        <f ca="1">IFERROR(__xludf.DUMMYFUNCTION("""COMPUTED_VALUE"""),2000)</f>
        <v>2000</v>
      </c>
      <c r="K749" s="1" t="str">
        <f ca="1">IFERROR(__xludf.DUMMYFUNCTION("""COMPUTED_VALUE"""),"Chemistry and Materials Science")</f>
        <v>Chemistry and Materials Science</v>
      </c>
      <c r="L749" s="1" t="str">
        <f ca="1">IFERROR(__xludf.DUMMYFUNCTION("""COMPUTED_VALUE"""),"〇")</f>
        <v>〇</v>
      </c>
      <c r="M749" s="1" t="str">
        <f ca="1">IFERROR(__xludf.DUMMYFUNCTION("""COMPUTED_VALUE"""),"〇")</f>
        <v>〇</v>
      </c>
      <c r="N749" s="1" t="str">
        <f ca="1">IFERROR(__xludf.DUMMYFUNCTION("""COMPUTED_VALUE"""),"TO8")</f>
        <v>TO8</v>
      </c>
      <c r="O749" s="1"/>
      <c r="P749" s="1"/>
    </row>
    <row r="750" spans="1:16" ht="14.25" customHeight="1" x14ac:dyDescent="0.25">
      <c r="A750" s="1"/>
      <c r="B750" s="1">
        <f ca="1"/>
        <v>738</v>
      </c>
      <c r="C750" s="1">
        <f ca="1">IFERROR(__xludf.DUMMYFUNCTION("""COMPUTED_VALUE"""),2023)</f>
        <v>2023</v>
      </c>
      <c r="D750" s="1">
        <f ca="1">IFERROR(__xludf.DUMMYFUNCTION("""COMPUTED_VALUE"""),10692)</f>
        <v>10692</v>
      </c>
      <c r="E750" s="1" t="str">
        <f ca="1">IFERROR(__xludf.DUMMYFUNCTION("""COMPUTED_VALUE"""),"Fibre Chemistry")</f>
        <v>Fibre Chemistry</v>
      </c>
      <c r="F750" s="1" t="str">
        <f ca="1">IFERROR(__xludf.DUMMYFUNCTION("""COMPUTED_VALUE"""),"1573-8493")</f>
        <v>1573-8493</v>
      </c>
      <c r="G750" s="1" t="str">
        <f ca="1">IFERROR(__xludf.DUMMYFUNCTION("""COMPUTED_VALUE"""),"0015-0541")</f>
        <v>0015-0541</v>
      </c>
      <c r="H750" s="27" t="str">
        <f ca="1">IFERROR(__xludf.DUMMYFUNCTION("""COMPUTED_VALUE"""),"https://link.springer.com/journal/10692")</f>
        <v>https://link.springer.com/journal/10692</v>
      </c>
      <c r="I750" s="1" t="str">
        <f ca="1">IFERROR(__xludf.DUMMYFUNCTION("""COMPUTED_VALUE"""),"Springer")</f>
        <v>Springer</v>
      </c>
      <c r="J750" s="1">
        <f ca="1">IFERROR(__xludf.DUMMYFUNCTION("""COMPUTED_VALUE"""),2000)</f>
        <v>2000</v>
      </c>
      <c r="K750" s="1" t="str">
        <f ca="1">IFERROR(__xludf.DUMMYFUNCTION("""COMPUTED_VALUE"""),"Chemistry and Materials Science")</f>
        <v>Chemistry and Materials Science</v>
      </c>
      <c r="L750" s="1" t="str">
        <f ca="1">IFERROR(__xludf.DUMMYFUNCTION("""COMPUTED_VALUE"""),"〇")</f>
        <v>〇</v>
      </c>
      <c r="M750" s="1" t="str">
        <f ca="1">IFERROR(__xludf.DUMMYFUNCTION("""COMPUTED_VALUE"""),"〇")</f>
        <v>〇</v>
      </c>
      <c r="N750" s="1"/>
      <c r="O750" s="1"/>
      <c r="P750" s="1"/>
    </row>
    <row r="751" spans="1:16" ht="14.25" customHeight="1" x14ac:dyDescent="0.25">
      <c r="A751" s="1"/>
      <c r="B751" s="1">
        <f ca="1"/>
        <v>739</v>
      </c>
      <c r="C751" s="1">
        <f ca="1">IFERROR(__xludf.DUMMYFUNCTION("""COMPUTED_VALUE"""),2023)</f>
        <v>2023</v>
      </c>
      <c r="D751" s="1">
        <f ca="1">IFERROR(__xludf.DUMMYFUNCTION("""COMPUTED_VALUE"""),780)</f>
        <v>780</v>
      </c>
      <c r="E751" s="1" t="str">
        <f ca="1">IFERROR(__xludf.DUMMYFUNCTION("""COMPUTED_VALUE"""),"Finance and Stochastics")</f>
        <v>Finance and Stochastics</v>
      </c>
      <c r="F751" s="1" t="str">
        <f ca="1">IFERROR(__xludf.DUMMYFUNCTION("""COMPUTED_VALUE"""),"1432-1122")</f>
        <v>1432-1122</v>
      </c>
      <c r="G751" s="1" t="str">
        <f ca="1">IFERROR(__xludf.DUMMYFUNCTION("""COMPUTED_VALUE"""),"0949-2984")</f>
        <v>0949-2984</v>
      </c>
      <c r="H751" s="27" t="str">
        <f ca="1">IFERROR(__xludf.DUMMYFUNCTION("""COMPUTED_VALUE"""),"https://link.springer.com/journal/780")</f>
        <v>https://link.springer.com/journal/780</v>
      </c>
      <c r="I751" s="1" t="str">
        <f ca="1">IFERROR(__xludf.DUMMYFUNCTION("""COMPUTED_VALUE"""),"Springer")</f>
        <v>Springer</v>
      </c>
      <c r="J751" s="1">
        <f ca="1">IFERROR(__xludf.DUMMYFUNCTION("""COMPUTED_VALUE"""),2000)</f>
        <v>2000</v>
      </c>
      <c r="K751" s="1" t="str">
        <f ca="1">IFERROR(__xludf.DUMMYFUNCTION("""COMPUTED_VALUE"""),"Mathematics and Statistics")</f>
        <v>Mathematics and Statistics</v>
      </c>
      <c r="L751" s="1" t="str">
        <f ca="1">IFERROR(__xludf.DUMMYFUNCTION("""COMPUTED_VALUE"""),"〇")</f>
        <v>〇</v>
      </c>
      <c r="M751" s="1" t="str">
        <f ca="1">IFERROR(__xludf.DUMMYFUNCTION("""COMPUTED_VALUE"""),"〇")</f>
        <v>〇</v>
      </c>
      <c r="N751" s="1"/>
      <c r="O751" s="1"/>
      <c r="P751" s="1"/>
    </row>
    <row r="752" spans="1:16" ht="14.25" customHeight="1" x14ac:dyDescent="0.25">
      <c r="A752" s="1"/>
      <c r="B752" s="1">
        <f ca="1"/>
        <v>740</v>
      </c>
      <c r="C752" s="1">
        <f ca="1">IFERROR(__xludf.DUMMYFUNCTION("""COMPUTED_VALUE"""),2023)</f>
        <v>2023</v>
      </c>
      <c r="D752" s="1">
        <f ca="1">IFERROR(__xludf.DUMMYFUNCTION("""COMPUTED_VALUE"""),11408)</f>
        <v>11408</v>
      </c>
      <c r="E752" s="1" t="str">
        <f ca="1">IFERROR(__xludf.DUMMYFUNCTION("""COMPUTED_VALUE"""),"Financial Markets and Portfolio Management")</f>
        <v>Financial Markets and Portfolio Management</v>
      </c>
      <c r="F752" s="1" t="str">
        <f ca="1">IFERROR(__xludf.DUMMYFUNCTION("""COMPUTED_VALUE"""),"2373-8529")</f>
        <v>2373-8529</v>
      </c>
      <c r="G752" s="1" t="str">
        <f ca="1">IFERROR(__xludf.DUMMYFUNCTION("""COMPUTED_VALUE"""),"1934-4554")</f>
        <v>1934-4554</v>
      </c>
      <c r="H752" s="27" t="str">
        <f ca="1">IFERROR(__xludf.DUMMYFUNCTION("""COMPUTED_VALUE"""),"https://link.springer.com/journal/11408")</f>
        <v>https://link.springer.com/journal/11408</v>
      </c>
      <c r="I752" s="1" t="str">
        <f ca="1">IFERROR(__xludf.DUMMYFUNCTION("""COMPUTED_VALUE"""),"Springer")</f>
        <v>Springer</v>
      </c>
      <c r="J752" s="1">
        <f ca="1">IFERROR(__xludf.DUMMYFUNCTION("""COMPUTED_VALUE"""),2001)</f>
        <v>2001</v>
      </c>
      <c r="K752" s="1" t="str">
        <f ca="1">IFERROR(__xludf.DUMMYFUNCTION("""COMPUTED_VALUE"""),"Business and Management")</f>
        <v>Business and Management</v>
      </c>
      <c r="L752" s="1" t="str">
        <f ca="1">IFERROR(__xludf.DUMMYFUNCTION("""COMPUTED_VALUE"""),"〇")</f>
        <v>〇</v>
      </c>
      <c r="M752" s="1" t="str">
        <f ca="1">IFERROR(__xludf.DUMMYFUNCTION("""COMPUTED_VALUE"""),"〇")</f>
        <v>〇</v>
      </c>
      <c r="N752" s="1"/>
      <c r="O752" s="1"/>
      <c r="P752" s="1"/>
    </row>
    <row r="753" spans="1:16" ht="14.25" customHeight="1" x14ac:dyDescent="0.25">
      <c r="A753" s="1"/>
      <c r="B753" s="1">
        <f ca="1"/>
        <v>741</v>
      </c>
      <c r="C753" s="1">
        <f ca="1">IFERROR(__xludf.DUMMYFUNCTION("""COMPUTED_VALUE"""),2023)</f>
        <v>2023</v>
      </c>
      <c r="D753" s="1">
        <f ca="1">IFERROR(__xludf.DUMMYFUNCTION("""COMPUTED_VALUE"""),10694)</f>
        <v>10694</v>
      </c>
      <c r="E753" s="1" t="str">
        <f ca="1">IFERROR(__xludf.DUMMYFUNCTION("""COMPUTED_VALUE"""),"Fire Technology")</f>
        <v>Fire Technology</v>
      </c>
      <c r="F753" s="1" t="str">
        <f ca="1">IFERROR(__xludf.DUMMYFUNCTION("""COMPUTED_VALUE"""),"1572-8099")</f>
        <v>1572-8099</v>
      </c>
      <c r="G753" s="1" t="str">
        <f ca="1">IFERROR(__xludf.DUMMYFUNCTION("""COMPUTED_VALUE"""),"0015-2684")</f>
        <v>0015-2684</v>
      </c>
      <c r="H753" s="27" t="str">
        <f ca="1">IFERROR(__xludf.DUMMYFUNCTION("""COMPUTED_VALUE"""),"https://link.springer.com/journal/10694")</f>
        <v>https://link.springer.com/journal/10694</v>
      </c>
      <c r="I753" s="1" t="str">
        <f ca="1">IFERROR(__xludf.DUMMYFUNCTION("""COMPUTED_VALUE"""),"Springer")</f>
        <v>Springer</v>
      </c>
      <c r="J753" s="1">
        <f ca="1">IFERROR(__xludf.DUMMYFUNCTION("""COMPUTED_VALUE"""),2000)</f>
        <v>2000</v>
      </c>
      <c r="K753" s="1" t="str">
        <f ca="1">IFERROR(__xludf.DUMMYFUNCTION("""COMPUTED_VALUE"""),"Engineering")</f>
        <v>Engineering</v>
      </c>
      <c r="L753" s="1" t="str">
        <f ca="1">IFERROR(__xludf.DUMMYFUNCTION("""COMPUTED_VALUE"""),"〇")</f>
        <v>〇</v>
      </c>
      <c r="M753" s="1" t="str">
        <f ca="1">IFERROR(__xludf.DUMMYFUNCTION("""COMPUTED_VALUE"""),"〇")</f>
        <v>〇</v>
      </c>
      <c r="N753" s="1"/>
      <c r="O753" s="1"/>
      <c r="P753" s="1"/>
    </row>
    <row r="754" spans="1:16" ht="14.25" customHeight="1" x14ac:dyDescent="0.25">
      <c r="A754" s="1"/>
      <c r="B754" s="1">
        <f ca="1"/>
        <v>742</v>
      </c>
      <c r="C754" s="1">
        <f ca="1">IFERROR(__xludf.DUMMYFUNCTION("""COMPUTED_VALUE"""),2023)</f>
        <v>2023</v>
      </c>
      <c r="D754" s="1">
        <f ca="1">IFERROR(__xludf.DUMMYFUNCTION("""COMPUTED_VALUE"""),10695)</f>
        <v>10695</v>
      </c>
      <c r="E754" s="1" t="str">
        <f ca="1">IFERROR(__xludf.DUMMYFUNCTION("""COMPUTED_VALUE"""),"Fish Physiology and Biochemistry")</f>
        <v>Fish Physiology and Biochemistry</v>
      </c>
      <c r="F754" s="1" t="str">
        <f ca="1">IFERROR(__xludf.DUMMYFUNCTION("""COMPUTED_VALUE"""),"1573-5168")</f>
        <v>1573-5168</v>
      </c>
      <c r="G754" s="1" t="str">
        <f ca="1">IFERROR(__xludf.DUMMYFUNCTION("""COMPUTED_VALUE"""),"0920-1742")</f>
        <v>0920-1742</v>
      </c>
      <c r="H754" s="27" t="str">
        <f ca="1">IFERROR(__xludf.DUMMYFUNCTION("""COMPUTED_VALUE"""),"https://link.springer.com/journal/10695")</f>
        <v>https://link.springer.com/journal/10695</v>
      </c>
      <c r="I754" s="1" t="str">
        <f ca="1">IFERROR(__xludf.DUMMYFUNCTION("""COMPUTED_VALUE"""),"Springer")</f>
        <v>Springer</v>
      </c>
      <c r="J754" s="1">
        <f ca="1">IFERROR(__xludf.DUMMYFUNCTION("""COMPUTED_VALUE"""),2000)</f>
        <v>2000</v>
      </c>
      <c r="K754" s="1" t="str">
        <f ca="1">IFERROR(__xludf.DUMMYFUNCTION("""COMPUTED_VALUE"""),"Biomedical and Life Sciences")</f>
        <v>Biomedical and Life Sciences</v>
      </c>
      <c r="L754" s="1" t="str">
        <f ca="1">IFERROR(__xludf.DUMMYFUNCTION("""COMPUTED_VALUE"""),"〇")</f>
        <v>〇</v>
      </c>
      <c r="M754" s="1" t="str">
        <f ca="1">IFERROR(__xludf.DUMMYFUNCTION("""COMPUTED_VALUE"""),"〇")</f>
        <v>〇</v>
      </c>
      <c r="N754" s="1"/>
      <c r="O754" s="1"/>
      <c r="P754" s="1"/>
    </row>
    <row r="755" spans="1:16" ht="14.25" customHeight="1" x14ac:dyDescent="0.25">
      <c r="A755" s="1"/>
      <c r="B755" s="1">
        <f ca="1"/>
        <v>743</v>
      </c>
      <c r="C755" s="1">
        <f ca="1">IFERROR(__xludf.DUMMYFUNCTION("""COMPUTED_VALUE"""),2023)</f>
        <v>2023</v>
      </c>
      <c r="D755" s="1">
        <f ca="1">IFERROR(__xludf.DUMMYFUNCTION("""COMPUTED_VALUE"""),12562)</f>
        <v>12562</v>
      </c>
      <c r="E755" s="1" t="str">
        <f ca="1">IFERROR(__xludf.DUMMYFUNCTION("""COMPUTED_VALUE"""),"Fisheries Science")</f>
        <v>Fisheries Science</v>
      </c>
      <c r="F755" s="1" t="str">
        <f ca="1">IFERROR(__xludf.DUMMYFUNCTION("""COMPUTED_VALUE"""),"1444-2906")</f>
        <v>1444-2906</v>
      </c>
      <c r="G755" s="1" t="str">
        <f ca="1">IFERROR(__xludf.DUMMYFUNCTION("""COMPUTED_VALUE"""),"0919-9268")</f>
        <v>0919-9268</v>
      </c>
      <c r="H755" s="27" t="str">
        <f ca="1">IFERROR(__xludf.DUMMYFUNCTION("""COMPUTED_VALUE"""),"https://link.springer.com/journal/12562")</f>
        <v>https://link.springer.com/journal/12562</v>
      </c>
      <c r="I755" s="1" t="str">
        <f ca="1">IFERROR(__xludf.DUMMYFUNCTION("""COMPUTED_VALUE"""),"Springer")</f>
        <v>Springer</v>
      </c>
      <c r="J755" s="1">
        <f ca="1">IFERROR(__xludf.DUMMYFUNCTION("""COMPUTED_VALUE"""),2005)</f>
        <v>2005</v>
      </c>
      <c r="K755" s="1" t="str">
        <f ca="1">IFERROR(__xludf.DUMMYFUNCTION("""COMPUTED_VALUE"""),"Biomedical and Life Sciences")</f>
        <v>Biomedical and Life Sciences</v>
      </c>
      <c r="L755" s="1" t="str">
        <f ca="1">IFERROR(__xludf.DUMMYFUNCTION("""COMPUTED_VALUE"""),"〇")</f>
        <v>〇</v>
      </c>
      <c r="M755" s="1" t="str">
        <f ca="1">IFERROR(__xludf.DUMMYFUNCTION("""COMPUTED_VALUE"""),"〇")</f>
        <v>〇</v>
      </c>
      <c r="N755" s="1" t="str">
        <f ca="1">IFERROR(__xludf.DUMMYFUNCTION("""COMPUTED_VALUE"""),"TO9")</f>
        <v>TO9</v>
      </c>
      <c r="O755" s="1"/>
      <c r="P755" s="1"/>
    </row>
    <row r="756" spans="1:16" ht="14.25" customHeight="1" x14ac:dyDescent="0.25">
      <c r="A756" s="1"/>
      <c r="B756" s="1">
        <f ca="1"/>
        <v>744</v>
      </c>
      <c r="C756" s="1">
        <f ca="1">IFERROR(__xludf.DUMMYFUNCTION("""COMPUTED_VALUE"""),2023)</f>
        <v>2023</v>
      </c>
      <c r="D756" s="1">
        <f ca="1">IFERROR(__xludf.DUMMYFUNCTION("""COMPUTED_VALUE"""),10696)</f>
        <v>10696</v>
      </c>
      <c r="E756" s="1" t="str">
        <f ca="1">IFERROR(__xludf.DUMMYFUNCTION("""COMPUTED_VALUE"""),"Flexible Services and Manufacturing Journal")</f>
        <v>Flexible Services and Manufacturing Journal</v>
      </c>
      <c r="F756" s="1" t="str">
        <f ca="1">IFERROR(__xludf.DUMMYFUNCTION("""COMPUTED_VALUE"""),"1936-6590")</f>
        <v>1936-6590</v>
      </c>
      <c r="G756" s="1" t="str">
        <f ca="1">IFERROR(__xludf.DUMMYFUNCTION("""COMPUTED_VALUE"""),"1936-6582")</f>
        <v>1936-6582</v>
      </c>
      <c r="H756" s="27" t="str">
        <f ca="1">IFERROR(__xludf.DUMMYFUNCTION("""COMPUTED_VALUE"""),"https://link.springer.com/journal/10696")</f>
        <v>https://link.springer.com/journal/10696</v>
      </c>
      <c r="I756" s="1" t="str">
        <f ca="1">IFERROR(__xludf.DUMMYFUNCTION("""COMPUTED_VALUE"""),"Springer")</f>
        <v>Springer</v>
      </c>
      <c r="J756" s="1">
        <f ca="1">IFERROR(__xludf.DUMMYFUNCTION("""COMPUTED_VALUE"""),2000)</f>
        <v>2000</v>
      </c>
      <c r="K756" s="1" t="str">
        <f ca="1">IFERROR(__xludf.DUMMYFUNCTION("""COMPUTED_VALUE"""),"Engineering")</f>
        <v>Engineering</v>
      </c>
      <c r="L756" s="1" t="str">
        <f ca="1">IFERROR(__xludf.DUMMYFUNCTION("""COMPUTED_VALUE"""),"〇")</f>
        <v>〇</v>
      </c>
      <c r="M756" s="1" t="str">
        <f ca="1">IFERROR(__xludf.DUMMYFUNCTION("""COMPUTED_VALUE"""),"〇")</f>
        <v>〇</v>
      </c>
      <c r="N756" s="1"/>
      <c r="O756" s="1"/>
      <c r="P756" s="1"/>
    </row>
    <row r="757" spans="1:16" ht="14.25" customHeight="1" x14ac:dyDescent="0.25">
      <c r="A757" s="1"/>
      <c r="B757" s="1">
        <f ca="1"/>
        <v>745</v>
      </c>
      <c r="C757" s="1">
        <f ca="1">IFERROR(__xludf.DUMMYFUNCTION("""COMPUTED_VALUE"""),2023)</f>
        <v>2023</v>
      </c>
      <c r="D757" s="1">
        <f ca="1">IFERROR(__xludf.DUMMYFUNCTION("""COMPUTED_VALUE"""),10494)</f>
        <v>10494</v>
      </c>
      <c r="E757" s="1" t="str">
        <f ca="1">IFERROR(__xludf.DUMMYFUNCTION("""COMPUTED_VALUE"""),"Flow, Turbulence and Combustion")</f>
        <v>Flow, Turbulence and Combustion</v>
      </c>
      <c r="F757" s="1" t="str">
        <f ca="1">IFERROR(__xludf.DUMMYFUNCTION("""COMPUTED_VALUE"""),"1573-1987")</f>
        <v>1573-1987</v>
      </c>
      <c r="G757" s="1" t="str">
        <f ca="1">IFERROR(__xludf.DUMMYFUNCTION("""COMPUTED_VALUE"""),"1386-6184")</f>
        <v>1386-6184</v>
      </c>
      <c r="H757" s="27" t="str">
        <f ca="1">IFERROR(__xludf.DUMMYFUNCTION("""COMPUTED_VALUE"""),"https://link.springer.com/journal/10494")</f>
        <v>https://link.springer.com/journal/10494</v>
      </c>
      <c r="I757" s="1" t="str">
        <f ca="1">IFERROR(__xludf.DUMMYFUNCTION("""COMPUTED_VALUE"""),"Springer")</f>
        <v>Springer</v>
      </c>
      <c r="J757" s="1">
        <f ca="1">IFERROR(__xludf.DUMMYFUNCTION("""COMPUTED_VALUE"""),2000)</f>
        <v>2000</v>
      </c>
      <c r="K757" s="1" t="str">
        <f ca="1">IFERROR(__xludf.DUMMYFUNCTION("""COMPUTED_VALUE"""),"Engineering")</f>
        <v>Engineering</v>
      </c>
      <c r="L757" s="1" t="str">
        <f ca="1">IFERROR(__xludf.DUMMYFUNCTION("""COMPUTED_VALUE"""),"〇")</f>
        <v>〇</v>
      </c>
      <c r="M757" s="1" t="str">
        <f ca="1">IFERROR(__xludf.DUMMYFUNCTION("""COMPUTED_VALUE"""),"〇")</f>
        <v>〇</v>
      </c>
      <c r="N757" s="1"/>
      <c r="O757" s="1"/>
      <c r="P757" s="1"/>
    </row>
    <row r="758" spans="1:16" ht="14.25" customHeight="1" x14ac:dyDescent="0.25">
      <c r="A758" s="1"/>
      <c r="B758" s="1">
        <f ca="1"/>
        <v>746</v>
      </c>
      <c r="C758" s="1">
        <f ca="1">IFERROR(__xludf.DUMMYFUNCTION("""COMPUTED_VALUE"""),2023)</f>
        <v>2023</v>
      </c>
      <c r="D758" s="1">
        <f ca="1">IFERROR(__xludf.DUMMYFUNCTION("""COMPUTED_VALUE"""),10697)</f>
        <v>10697</v>
      </c>
      <c r="E758" s="1" t="str">
        <f ca="1">IFERROR(__xludf.DUMMYFUNCTION("""COMPUTED_VALUE"""),"Fluid Dynamics")</f>
        <v>Fluid Dynamics</v>
      </c>
      <c r="F758" s="1" t="str">
        <f ca="1">IFERROR(__xludf.DUMMYFUNCTION("""COMPUTED_VALUE"""),"1573-8507")</f>
        <v>1573-8507</v>
      </c>
      <c r="G758" s="1" t="str">
        <f ca="1">IFERROR(__xludf.DUMMYFUNCTION("""COMPUTED_VALUE"""),"0015-4628")</f>
        <v>0015-4628</v>
      </c>
      <c r="H758" s="27" t="str">
        <f ca="1">IFERROR(__xludf.DUMMYFUNCTION("""COMPUTED_VALUE"""),"https://link.springer.com/journal/10697")</f>
        <v>https://link.springer.com/journal/10697</v>
      </c>
      <c r="I758" s="1" t="str">
        <f ca="1">IFERROR(__xludf.DUMMYFUNCTION("""COMPUTED_VALUE"""),"Pleiades Publishing")</f>
        <v>Pleiades Publishing</v>
      </c>
      <c r="J758" s="1">
        <f ca="1">IFERROR(__xludf.DUMMYFUNCTION("""COMPUTED_VALUE"""),2000)</f>
        <v>2000</v>
      </c>
      <c r="K758" s="1" t="str">
        <f ca="1">IFERROR(__xludf.DUMMYFUNCTION("""COMPUTED_VALUE"""),"Physics and Astronomy")</f>
        <v>Physics and Astronomy</v>
      </c>
      <c r="L758" s="1" t="str">
        <f ca="1">IFERROR(__xludf.DUMMYFUNCTION("""COMPUTED_VALUE"""),"〇")</f>
        <v>〇</v>
      </c>
      <c r="M758" s="1" t="str">
        <f ca="1">IFERROR(__xludf.DUMMYFUNCTION("""COMPUTED_VALUE"""),"〇")</f>
        <v>〇</v>
      </c>
      <c r="N758" s="1"/>
      <c r="O758" s="1"/>
      <c r="P758" s="1"/>
    </row>
    <row r="759" spans="1:16" ht="14.25" customHeight="1" x14ac:dyDescent="0.25">
      <c r="A759" s="1"/>
      <c r="B759" s="1">
        <f ca="1"/>
        <v>747</v>
      </c>
      <c r="C759" s="1">
        <f ca="1">IFERROR(__xludf.DUMMYFUNCTION("""COMPUTED_VALUE"""),2023)</f>
        <v>2023</v>
      </c>
      <c r="D759" s="1">
        <f ca="1">IFERROR(__xludf.DUMMYFUNCTION("""COMPUTED_VALUE"""),12224)</f>
        <v>12224</v>
      </c>
      <c r="E759" s="1" t="str">
        <f ca="1">IFERROR(__xludf.DUMMYFUNCTION("""COMPUTED_VALUE"""),"Folia Geobotanica")</f>
        <v>Folia Geobotanica</v>
      </c>
      <c r="F759" s="1" t="str">
        <f ca="1">IFERROR(__xludf.DUMMYFUNCTION("""COMPUTED_VALUE"""),"1874-9348")</f>
        <v>1874-9348</v>
      </c>
      <c r="G759" s="1" t="str">
        <f ca="1">IFERROR(__xludf.DUMMYFUNCTION("""COMPUTED_VALUE"""),"1211-9520")</f>
        <v>1211-9520</v>
      </c>
      <c r="H759" s="27" t="str">
        <f ca="1">IFERROR(__xludf.DUMMYFUNCTION("""COMPUTED_VALUE"""),"https://link.springer.com/journal/12224")</f>
        <v>https://link.springer.com/journal/12224</v>
      </c>
      <c r="I759" s="1" t="str">
        <f ca="1">IFERROR(__xludf.DUMMYFUNCTION("""COMPUTED_VALUE"""),"Springer")</f>
        <v>Springer</v>
      </c>
      <c r="J759" s="1">
        <f ca="1">IFERROR(__xludf.DUMMYFUNCTION("""COMPUTED_VALUE"""),2000)</f>
        <v>2000</v>
      </c>
      <c r="K759" s="1" t="str">
        <f ca="1">IFERROR(__xludf.DUMMYFUNCTION("""COMPUTED_VALUE"""),"Biomedical and Life Sciences")</f>
        <v>Biomedical and Life Sciences</v>
      </c>
      <c r="L759" s="1" t="str">
        <f ca="1">IFERROR(__xludf.DUMMYFUNCTION("""COMPUTED_VALUE"""),"〇")</f>
        <v>〇</v>
      </c>
      <c r="M759" s="1" t="str">
        <f ca="1">IFERROR(__xludf.DUMMYFUNCTION("""COMPUTED_VALUE"""),"〇")</f>
        <v>〇</v>
      </c>
      <c r="N759" s="1" t="str">
        <f ca="1">IFERROR(__xludf.DUMMYFUNCTION("""COMPUTED_VALUE"""),"TO8")</f>
        <v>TO8</v>
      </c>
      <c r="O759" s="1"/>
      <c r="P759" s="1"/>
    </row>
    <row r="760" spans="1:16" ht="14.25" customHeight="1" x14ac:dyDescent="0.25">
      <c r="A760" s="1"/>
      <c r="B760" s="1">
        <f ca="1"/>
        <v>748</v>
      </c>
      <c r="C760" s="1">
        <f ca="1">IFERROR(__xludf.DUMMYFUNCTION("""COMPUTED_VALUE"""),2023)</f>
        <v>2023</v>
      </c>
      <c r="D760" s="1">
        <f ca="1">IFERROR(__xludf.DUMMYFUNCTION("""COMPUTED_VALUE"""),12223)</f>
        <v>12223</v>
      </c>
      <c r="E760" s="1" t="str">
        <f ca="1">IFERROR(__xludf.DUMMYFUNCTION("""COMPUTED_VALUE"""),"Folia Microbiologica")</f>
        <v>Folia Microbiologica</v>
      </c>
      <c r="F760" s="1" t="str">
        <f ca="1">IFERROR(__xludf.DUMMYFUNCTION("""COMPUTED_VALUE"""),"1874-9356")</f>
        <v>1874-9356</v>
      </c>
      <c r="G760" s="1" t="str">
        <f ca="1">IFERROR(__xludf.DUMMYFUNCTION("""COMPUTED_VALUE"""),"0015-5632")</f>
        <v>0015-5632</v>
      </c>
      <c r="H760" s="27" t="str">
        <f ca="1">IFERROR(__xludf.DUMMYFUNCTION("""COMPUTED_VALUE"""),"https://link.springer.com/journal/12223")</f>
        <v>https://link.springer.com/journal/12223</v>
      </c>
      <c r="I760" s="1" t="str">
        <f ca="1">IFERROR(__xludf.DUMMYFUNCTION("""COMPUTED_VALUE"""),"Springer")</f>
        <v>Springer</v>
      </c>
      <c r="J760" s="1">
        <f ca="1">IFERROR(__xludf.DUMMYFUNCTION("""COMPUTED_VALUE"""),2000)</f>
        <v>2000</v>
      </c>
      <c r="K760" s="1" t="str">
        <f ca="1">IFERROR(__xludf.DUMMYFUNCTION("""COMPUTED_VALUE"""),"Biomedical and Life Sciences")</f>
        <v>Biomedical and Life Sciences</v>
      </c>
      <c r="L760" s="1" t="str">
        <f ca="1">IFERROR(__xludf.DUMMYFUNCTION("""COMPUTED_VALUE"""),"〇")</f>
        <v>〇</v>
      </c>
      <c r="M760" s="1" t="str">
        <f ca="1">IFERROR(__xludf.DUMMYFUNCTION("""COMPUTED_VALUE"""),"〇")</f>
        <v>〇</v>
      </c>
      <c r="N760" s="1" t="str">
        <f ca="1">IFERROR(__xludf.DUMMYFUNCTION("""COMPUTED_VALUE"""),"TO8")</f>
        <v>TO8</v>
      </c>
      <c r="O760" s="1"/>
      <c r="P760" s="1"/>
    </row>
    <row r="761" spans="1:16" ht="14.25" customHeight="1" x14ac:dyDescent="0.25">
      <c r="A761" s="1"/>
      <c r="B761" s="1">
        <f ca="1"/>
        <v>749</v>
      </c>
      <c r="C761" s="1">
        <f ca="1">IFERROR(__xludf.DUMMYFUNCTION("""COMPUTED_VALUE"""),2023)</f>
        <v>2023</v>
      </c>
      <c r="D761" s="1">
        <f ca="1">IFERROR(__xludf.DUMMYFUNCTION("""COMPUTED_VALUE"""),12161)</f>
        <v>12161</v>
      </c>
      <c r="E761" s="1" t="str">
        <f ca="1">IFERROR(__xludf.DUMMYFUNCTION("""COMPUTED_VALUE"""),"Food Analytical Methods")</f>
        <v>Food Analytical Methods</v>
      </c>
      <c r="F761" s="1" t="str">
        <f ca="1">IFERROR(__xludf.DUMMYFUNCTION("""COMPUTED_VALUE"""),"1936-976X")</f>
        <v>1936-976X</v>
      </c>
      <c r="G761" s="1"/>
      <c r="H761" s="27" t="str">
        <f ca="1">IFERROR(__xludf.DUMMYFUNCTION("""COMPUTED_VALUE"""),"https://link.springer.com/journal/12161")</f>
        <v>https://link.springer.com/journal/12161</v>
      </c>
      <c r="I761" s="1" t="str">
        <f ca="1">IFERROR(__xludf.DUMMYFUNCTION("""COMPUTED_VALUE"""),"Springer")</f>
        <v>Springer</v>
      </c>
      <c r="J761" s="1">
        <f ca="1">IFERROR(__xludf.DUMMYFUNCTION("""COMPUTED_VALUE"""),2008)</f>
        <v>2008</v>
      </c>
      <c r="K761" s="1" t="str">
        <f ca="1">IFERROR(__xludf.DUMMYFUNCTION("""COMPUTED_VALUE"""),"Chemistry and Materials Science")</f>
        <v>Chemistry and Materials Science</v>
      </c>
      <c r="L761" s="1"/>
      <c r="M761" s="1" t="str">
        <f ca="1">IFERROR(__xludf.DUMMYFUNCTION("""COMPUTED_VALUE"""),"〇")</f>
        <v>〇</v>
      </c>
      <c r="N761" s="1" t="str">
        <f ca="1">IFERROR(__xludf.DUMMYFUNCTION("""COMPUTED_VALUE"""),"SNS8")</f>
        <v>SNS8</v>
      </c>
      <c r="O761" s="1"/>
      <c r="P761" s="1"/>
    </row>
    <row r="762" spans="1:16" ht="14.25" customHeight="1" x14ac:dyDescent="0.25">
      <c r="A762" s="1"/>
      <c r="B762" s="1">
        <f ca="1"/>
        <v>750</v>
      </c>
      <c r="C762" s="1">
        <f ca="1">IFERROR(__xludf.DUMMYFUNCTION("""COMPUTED_VALUE"""),2023)</f>
        <v>2023</v>
      </c>
      <c r="D762" s="1">
        <f ca="1">IFERROR(__xludf.DUMMYFUNCTION("""COMPUTED_VALUE"""),11947)</f>
        <v>11947</v>
      </c>
      <c r="E762" s="1" t="str">
        <f ca="1">IFERROR(__xludf.DUMMYFUNCTION("""COMPUTED_VALUE"""),"Food and Bioprocess Technology")</f>
        <v>Food and Bioprocess Technology</v>
      </c>
      <c r="F762" s="1" t="str">
        <f ca="1">IFERROR(__xludf.DUMMYFUNCTION("""COMPUTED_VALUE"""),"1935-5149")</f>
        <v>1935-5149</v>
      </c>
      <c r="G762" s="1"/>
      <c r="H762" s="27" t="str">
        <f ca="1">IFERROR(__xludf.DUMMYFUNCTION("""COMPUTED_VALUE"""),"https://link.springer.com/journal/11947")</f>
        <v>https://link.springer.com/journal/11947</v>
      </c>
      <c r="I762" s="1" t="str">
        <f ca="1">IFERROR(__xludf.DUMMYFUNCTION("""COMPUTED_VALUE"""),"Springer")</f>
        <v>Springer</v>
      </c>
      <c r="J762" s="1">
        <f ca="1">IFERROR(__xludf.DUMMYFUNCTION("""COMPUTED_VALUE"""),2008)</f>
        <v>2008</v>
      </c>
      <c r="K762" s="1" t="str">
        <f ca="1">IFERROR(__xludf.DUMMYFUNCTION("""COMPUTED_VALUE"""),"Chemistry and Materials Science")</f>
        <v>Chemistry and Materials Science</v>
      </c>
      <c r="L762" s="1"/>
      <c r="M762" s="1" t="str">
        <f ca="1">IFERROR(__xludf.DUMMYFUNCTION("""COMPUTED_VALUE"""),"〇")</f>
        <v>〇</v>
      </c>
      <c r="N762" s="1" t="str">
        <f ca="1">IFERROR(__xludf.DUMMYFUNCTION("""COMPUTED_VALUE"""),"SNS8")</f>
        <v>SNS8</v>
      </c>
      <c r="O762" s="1"/>
      <c r="P762" s="1"/>
    </row>
    <row r="763" spans="1:16" ht="14.25" customHeight="1" x14ac:dyDescent="0.25">
      <c r="A763" s="1"/>
      <c r="B763" s="1">
        <f ca="1"/>
        <v>751</v>
      </c>
      <c r="C763" s="1">
        <f ca="1">IFERROR(__xludf.DUMMYFUNCTION("""COMPUTED_VALUE"""),2023)</f>
        <v>2023</v>
      </c>
      <c r="D763" s="1">
        <f ca="1">IFERROR(__xludf.DUMMYFUNCTION("""COMPUTED_VALUE"""),12560)</f>
        <v>12560</v>
      </c>
      <c r="E763" s="1" t="str">
        <f ca="1">IFERROR(__xludf.DUMMYFUNCTION("""COMPUTED_VALUE"""),"Food and Environmental Virology")</f>
        <v>Food and Environmental Virology</v>
      </c>
      <c r="F763" s="1" t="str">
        <f ca="1">IFERROR(__xludf.DUMMYFUNCTION("""COMPUTED_VALUE"""),"1867-0342")</f>
        <v>1867-0342</v>
      </c>
      <c r="G763" s="1"/>
      <c r="H763" s="27" t="str">
        <f ca="1">IFERROR(__xludf.DUMMYFUNCTION("""COMPUTED_VALUE"""),"https://link.springer.com/journal/12560")</f>
        <v>https://link.springer.com/journal/12560</v>
      </c>
      <c r="I763" s="1" t="str">
        <f ca="1">IFERROR(__xludf.DUMMYFUNCTION("""COMPUTED_VALUE"""),"Springer")</f>
        <v>Springer</v>
      </c>
      <c r="J763" s="1">
        <f ca="1">IFERROR(__xludf.DUMMYFUNCTION("""COMPUTED_VALUE"""),2009)</f>
        <v>2009</v>
      </c>
      <c r="K763" s="1" t="str">
        <f ca="1">IFERROR(__xludf.DUMMYFUNCTION("""COMPUTED_VALUE"""),"Biomedical and Life Sciences")</f>
        <v>Biomedical and Life Sciences</v>
      </c>
      <c r="L763" s="1"/>
      <c r="M763" s="1" t="str">
        <f ca="1">IFERROR(__xludf.DUMMYFUNCTION("""COMPUTED_VALUE"""),"〇")</f>
        <v>〇</v>
      </c>
      <c r="N763" s="1" t="str">
        <f ca="1">IFERROR(__xludf.DUMMYFUNCTION("""COMPUTED_VALUE"""),"SNS9")</f>
        <v>SNS9</v>
      </c>
      <c r="O763" s="1"/>
      <c r="P763" s="1"/>
    </row>
    <row r="764" spans="1:16" ht="14.25" customHeight="1" x14ac:dyDescent="0.25">
      <c r="A764" s="1"/>
      <c r="B764" s="1">
        <f ca="1"/>
        <v>752</v>
      </c>
      <c r="C764" s="1">
        <f ca="1">IFERROR(__xludf.DUMMYFUNCTION("""COMPUTED_VALUE"""),2023)</f>
        <v>2023</v>
      </c>
      <c r="D764" s="1">
        <f ca="1">IFERROR(__xludf.DUMMYFUNCTION("""COMPUTED_VALUE"""),11483)</f>
        <v>11483</v>
      </c>
      <c r="E764" s="1" t="str">
        <f ca="1">IFERROR(__xludf.DUMMYFUNCTION("""COMPUTED_VALUE"""),"Food Biophysics")</f>
        <v>Food Biophysics</v>
      </c>
      <c r="F764" s="1" t="str">
        <f ca="1">IFERROR(__xludf.DUMMYFUNCTION("""COMPUTED_VALUE"""),"1557-1866")</f>
        <v>1557-1866</v>
      </c>
      <c r="G764" s="1" t="str">
        <f ca="1">IFERROR(__xludf.DUMMYFUNCTION("""COMPUTED_VALUE"""),"1557-1858")</f>
        <v>1557-1858</v>
      </c>
      <c r="H764" s="27" t="str">
        <f ca="1">IFERROR(__xludf.DUMMYFUNCTION("""COMPUTED_VALUE"""),"https://link.springer.com/journal/11483")</f>
        <v>https://link.springer.com/journal/11483</v>
      </c>
      <c r="I764" s="1" t="str">
        <f ca="1">IFERROR(__xludf.DUMMYFUNCTION("""COMPUTED_VALUE"""),"Springer")</f>
        <v>Springer</v>
      </c>
      <c r="J764" s="1">
        <f ca="1">IFERROR(__xludf.DUMMYFUNCTION("""COMPUTED_VALUE"""),2006)</f>
        <v>2006</v>
      </c>
      <c r="K764" s="1" t="str">
        <f ca="1">IFERROR(__xludf.DUMMYFUNCTION("""COMPUTED_VALUE"""),"Chemistry and Materials Science")</f>
        <v>Chemistry and Materials Science</v>
      </c>
      <c r="L764" s="1" t="str">
        <f ca="1">IFERROR(__xludf.DUMMYFUNCTION("""COMPUTED_VALUE"""),"〇")</f>
        <v>〇</v>
      </c>
      <c r="M764" s="1" t="str">
        <f ca="1">IFERROR(__xludf.DUMMYFUNCTION("""COMPUTED_VALUE"""),"〇")</f>
        <v>〇</v>
      </c>
      <c r="N764" s="1"/>
      <c r="O764" s="1"/>
      <c r="P764" s="1"/>
    </row>
    <row r="765" spans="1:16" ht="14.25" customHeight="1" x14ac:dyDescent="0.25">
      <c r="A765" s="1"/>
      <c r="B765" s="1">
        <f ca="1"/>
        <v>753</v>
      </c>
      <c r="C765" s="1">
        <f ca="1">IFERROR(__xludf.DUMMYFUNCTION("""COMPUTED_VALUE"""),2023)</f>
        <v>2023</v>
      </c>
      <c r="D765" s="1">
        <f ca="1">IFERROR(__xludf.DUMMYFUNCTION("""COMPUTED_VALUE"""),12393)</f>
        <v>12393</v>
      </c>
      <c r="E765" s="1" t="str">
        <f ca="1">IFERROR(__xludf.DUMMYFUNCTION("""COMPUTED_VALUE"""),"Food Engineering Reviews")</f>
        <v>Food Engineering Reviews</v>
      </c>
      <c r="F765" s="1" t="str">
        <f ca="1">IFERROR(__xludf.DUMMYFUNCTION("""COMPUTED_VALUE"""),"1866-7929")</f>
        <v>1866-7929</v>
      </c>
      <c r="G765" s="1"/>
      <c r="H765" s="27" t="str">
        <f ca="1">IFERROR(__xludf.DUMMYFUNCTION("""COMPUTED_VALUE"""),"https://link.springer.com/journal/12393")</f>
        <v>https://link.springer.com/journal/12393</v>
      </c>
      <c r="I765" s="1" t="str">
        <f ca="1">IFERROR(__xludf.DUMMYFUNCTION("""COMPUTED_VALUE"""),"Springer")</f>
        <v>Springer</v>
      </c>
      <c r="J765" s="1">
        <f ca="1">IFERROR(__xludf.DUMMYFUNCTION("""COMPUTED_VALUE"""),2009)</f>
        <v>2009</v>
      </c>
      <c r="K765" s="1" t="str">
        <f ca="1">IFERROR(__xludf.DUMMYFUNCTION("""COMPUTED_VALUE"""),"Chemistry and Materials Science")</f>
        <v>Chemistry and Materials Science</v>
      </c>
      <c r="L765" s="1"/>
      <c r="M765" s="1" t="str">
        <f ca="1">IFERROR(__xludf.DUMMYFUNCTION("""COMPUTED_VALUE"""),"〇")</f>
        <v>〇</v>
      </c>
      <c r="N765" s="1" t="str">
        <f ca="1">IFERROR(__xludf.DUMMYFUNCTION("""COMPUTED_VALUE"""),"SNS9")</f>
        <v>SNS9</v>
      </c>
      <c r="O765" s="1"/>
      <c r="P765" s="1"/>
    </row>
    <row r="766" spans="1:16" ht="14.25" customHeight="1" x14ac:dyDescent="0.25">
      <c r="A766" s="1"/>
      <c r="B766" s="1">
        <f ca="1"/>
        <v>754</v>
      </c>
      <c r="C766" s="1">
        <f ca="1">IFERROR(__xludf.DUMMYFUNCTION("""COMPUTED_VALUE"""),2023)</f>
        <v>2023</v>
      </c>
      <c r="D766" s="1">
        <f ca="1">IFERROR(__xludf.DUMMYFUNCTION("""COMPUTED_VALUE"""),41055)</f>
        <v>41055</v>
      </c>
      <c r="E766" s="1" t="str">
        <f ca="1">IFERROR(__xludf.DUMMYFUNCTION("""COMPUTED_VALUE"""),"Food Ethics")</f>
        <v>Food Ethics</v>
      </c>
      <c r="F766" s="1" t="str">
        <f ca="1">IFERROR(__xludf.DUMMYFUNCTION("""COMPUTED_VALUE"""),"2364-6861")</f>
        <v>2364-6861</v>
      </c>
      <c r="G766" s="1" t="str">
        <f ca="1">IFERROR(__xludf.DUMMYFUNCTION("""COMPUTED_VALUE"""),"2364-6853")</f>
        <v>2364-6853</v>
      </c>
      <c r="H766" s="27" t="str">
        <f ca="1">IFERROR(__xludf.DUMMYFUNCTION("""COMPUTED_VALUE"""),"https://link.springer.com/journal/41055")</f>
        <v>https://link.springer.com/journal/41055</v>
      </c>
      <c r="I766" s="1" t="str">
        <f ca="1">IFERROR(__xludf.DUMMYFUNCTION("""COMPUTED_VALUE"""),"Springer")</f>
        <v>Springer</v>
      </c>
      <c r="J766" s="1">
        <f ca="1">IFERROR(__xludf.DUMMYFUNCTION("""COMPUTED_VALUE"""),2016)</f>
        <v>2016</v>
      </c>
      <c r="K766" s="1" t="str">
        <f ca="1">IFERROR(__xludf.DUMMYFUNCTION("""COMPUTED_VALUE"""),"Education")</f>
        <v>Education</v>
      </c>
      <c r="L766" s="1" t="str">
        <f ca="1">IFERROR(__xludf.DUMMYFUNCTION("""COMPUTED_VALUE"""),"〇")</f>
        <v>〇</v>
      </c>
      <c r="M766" s="1"/>
      <c r="N766" s="1" t="str">
        <f ca="1">IFERROR(__xludf.DUMMYFUNCTION("""COMPUTED_VALUE"""),"SNS16")</f>
        <v>SNS16</v>
      </c>
      <c r="O766" s="1"/>
      <c r="P766" s="1"/>
    </row>
    <row r="767" spans="1:16" ht="14.25" customHeight="1" x14ac:dyDescent="0.25">
      <c r="A767" s="1"/>
      <c r="B767" s="1">
        <f ca="1"/>
        <v>755</v>
      </c>
      <c r="C767" s="1">
        <f ca="1">IFERROR(__xludf.DUMMYFUNCTION("""COMPUTED_VALUE"""),2023)</f>
        <v>2023</v>
      </c>
      <c r="D767" s="1">
        <f ca="1">IFERROR(__xludf.DUMMYFUNCTION("""COMPUTED_VALUE"""),10068)</f>
        <v>10068</v>
      </c>
      <c r="E767" s="1" t="str">
        <f ca="1">IFERROR(__xludf.DUMMYFUNCTION("""COMPUTED_VALUE"""),"Food Science and Biotechnology")</f>
        <v>Food Science and Biotechnology</v>
      </c>
      <c r="F767" s="1" t="str">
        <f ca="1">IFERROR(__xludf.DUMMYFUNCTION("""COMPUTED_VALUE"""),"2092-6456")</f>
        <v>2092-6456</v>
      </c>
      <c r="G767" s="1" t="str">
        <f ca="1">IFERROR(__xludf.DUMMYFUNCTION("""COMPUTED_VALUE"""),"1226-7708")</f>
        <v>1226-7708</v>
      </c>
      <c r="H767" s="27" t="str">
        <f ca="1">IFERROR(__xludf.DUMMYFUNCTION("""COMPUTED_VALUE"""),"https://link.springer.com/journal/10068")</f>
        <v>https://link.springer.com/journal/10068</v>
      </c>
      <c r="I767" s="1" t="str">
        <f ca="1">IFERROR(__xludf.DUMMYFUNCTION("""COMPUTED_VALUE"""),"The Korean Society of Food Science and Technology, co-published with Springer")</f>
        <v>The Korean Society of Food Science and Technology, co-published with Springer</v>
      </c>
      <c r="J767" s="1">
        <f ca="1">IFERROR(__xludf.DUMMYFUNCTION("""COMPUTED_VALUE"""),2010)</f>
        <v>2010</v>
      </c>
      <c r="K767" s="1" t="str">
        <f ca="1">IFERROR(__xludf.DUMMYFUNCTION("""COMPUTED_VALUE"""),"Chemistry and Materials Science")</f>
        <v>Chemistry and Materials Science</v>
      </c>
      <c r="L767" s="1" t="str">
        <f ca="1">IFERROR(__xludf.DUMMYFUNCTION("""COMPUTED_VALUE"""),"〇")</f>
        <v>〇</v>
      </c>
      <c r="M767" s="1"/>
      <c r="N767" s="1" t="str">
        <f ca="1">IFERROR(__xludf.DUMMYFUNCTION("""COMPUTED_VALUE"""),"TO10")</f>
        <v>TO10</v>
      </c>
      <c r="O767" s="1"/>
      <c r="P767" s="1"/>
    </row>
    <row r="768" spans="1:16" ht="14.25" customHeight="1" x14ac:dyDescent="0.25">
      <c r="A768" s="1"/>
      <c r="B768" s="1">
        <f ca="1"/>
        <v>756</v>
      </c>
      <c r="C768" s="1">
        <f ca="1">IFERROR(__xludf.DUMMYFUNCTION("""COMPUTED_VALUE"""),2023)</f>
        <v>2023</v>
      </c>
      <c r="D768" s="1">
        <f ca="1">IFERROR(__xludf.DUMMYFUNCTION("""COMPUTED_VALUE"""),12571)</f>
        <v>12571</v>
      </c>
      <c r="E768" s="1" t="str">
        <f ca="1">IFERROR(__xludf.DUMMYFUNCTION("""COMPUTED_VALUE"""),"Food Security")</f>
        <v>Food Security</v>
      </c>
      <c r="F768" s="1" t="str">
        <f ca="1">IFERROR(__xludf.DUMMYFUNCTION("""COMPUTED_VALUE"""),"1876-4525")</f>
        <v>1876-4525</v>
      </c>
      <c r="G768" s="1" t="str">
        <f ca="1">IFERROR(__xludf.DUMMYFUNCTION("""COMPUTED_VALUE"""),"1876-4517")</f>
        <v>1876-4517</v>
      </c>
      <c r="H768" s="27" t="str">
        <f ca="1">IFERROR(__xludf.DUMMYFUNCTION("""COMPUTED_VALUE"""),"https://link.springer.com/journal/12571")</f>
        <v>https://link.springer.com/journal/12571</v>
      </c>
      <c r="I768" s="1" t="str">
        <f ca="1">IFERROR(__xludf.DUMMYFUNCTION("""COMPUTED_VALUE"""),"Springer")</f>
        <v>Springer</v>
      </c>
      <c r="J768" s="1">
        <f ca="1">IFERROR(__xludf.DUMMYFUNCTION("""COMPUTED_VALUE"""),2009)</f>
        <v>2009</v>
      </c>
      <c r="K768" s="1" t="str">
        <f ca="1">IFERROR(__xludf.DUMMYFUNCTION("""COMPUTED_VALUE"""),"Biomedical and Life Sciences")</f>
        <v>Biomedical and Life Sciences</v>
      </c>
      <c r="L768" s="1" t="str">
        <f ca="1">IFERROR(__xludf.DUMMYFUNCTION("""COMPUTED_VALUE"""),"〇")</f>
        <v>〇</v>
      </c>
      <c r="M768" s="1" t="str">
        <f ca="1">IFERROR(__xludf.DUMMYFUNCTION("""COMPUTED_VALUE"""),"〇")</f>
        <v>〇</v>
      </c>
      <c r="N768" s="1" t="str">
        <f ca="1">IFERROR(__xludf.DUMMYFUNCTION("""COMPUTED_VALUE"""),"SNS9")</f>
        <v>SNS9</v>
      </c>
      <c r="O768" s="1"/>
      <c r="P768" s="1"/>
    </row>
    <row r="769" spans="1:16" ht="14.25" customHeight="1" x14ac:dyDescent="0.25">
      <c r="A769" s="1"/>
      <c r="B769" s="1">
        <f ca="1"/>
        <v>757</v>
      </c>
      <c r="C769" s="1">
        <f ca="1">IFERROR(__xludf.DUMMYFUNCTION("""COMPUTED_VALUE"""),2023)</f>
        <v>2023</v>
      </c>
      <c r="D769" s="1">
        <f ca="1">IFERROR(__xludf.DUMMYFUNCTION("""COMPUTED_VALUE"""),12024)</f>
        <v>12024</v>
      </c>
      <c r="E769" s="1" t="str">
        <f ca="1">IFERROR(__xludf.DUMMYFUNCTION("""COMPUTED_VALUE"""),"Forensic Science, Medicine and Pathology")</f>
        <v>Forensic Science, Medicine and Pathology</v>
      </c>
      <c r="F769" s="1" t="str">
        <f ca="1">IFERROR(__xludf.DUMMYFUNCTION("""COMPUTED_VALUE"""),"1556-2891")</f>
        <v>1556-2891</v>
      </c>
      <c r="G769" s="1"/>
      <c r="H769" s="27" t="str">
        <f ca="1">IFERROR(__xludf.DUMMYFUNCTION("""COMPUTED_VALUE"""),"https://link.springer.com/journal/12024")</f>
        <v>https://link.springer.com/journal/12024</v>
      </c>
      <c r="I769" s="1" t="str">
        <f ca="1">IFERROR(__xludf.DUMMYFUNCTION("""COMPUTED_VALUE"""),"Springer")</f>
        <v>Springer</v>
      </c>
      <c r="J769" s="1">
        <f ca="1">IFERROR(__xludf.DUMMYFUNCTION("""COMPUTED_VALUE"""),2005)</f>
        <v>2005</v>
      </c>
      <c r="K769" s="1" t="str">
        <f ca="1">IFERROR(__xludf.DUMMYFUNCTION("""COMPUTED_VALUE"""),"Medicine")</f>
        <v>Medicine</v>
      </c>
      <c r="L769" s="1"/>
      <c r="M769" s="1" t="str">
        <f ca="1">IFERROR(__xludf.DUMMYFUNCTION("""COMPUTED_VALUE"""),"〇")</f>
        <v>〇</v>
      </c>
      <c r="N769" s="1" t="str">
        <f ca="1">IFERROR(__xludf.DUMMYFUNCTION("""COMPUTED_VALUE"""),"TO7")</f>
        <v>TO7</v>
      </c>
      <c r="O769" s="1"/>
      <c r="P769" s="1"/>
    </row>
    <row r="770" spans="1:16" ht="14.25" customHeight="1" x14ac:dyDescent="0.25">
      <c r="A770" s="1"/>
      <c r="B770" s="1">
        <f ca="1"/>
        <v>758</v>
      </c>
      <c r="C770" s="1">
        <f ca="1">IFERROR(__xludf.DUMMYFUNCTION("""COMPUTED_VALUE"""),2023)</f>
        <v>2023</v>
      </c>
      <c r="D770" s="1">
        <f ca="1">IFERROR(__xludf.DUMMYFUNCTION("""COMPUTED_VALUE"""),11419)</f>
        <v>11419</v>
      </c>
      <c r="E770" s="1" t="str">
        <f ca="1">IFERROR(__xludf.DUMMYFUNCTION("""COMPUTED_VALUE"""),"Forensic Toxicology")</f>
        <v>Forensic Toxicology</v>
      </c>
      <c r="F770" s="1" t="str">
        <f ca="1">IFERROR(__xludf.DUMMYFUNCTION("""COMPUTED_VALUE"""),"1860-8973")</f>
        <v>1860-8973</v>
      </c>
      <c r="G770" s="1" t="str">
        <f ca="1">IFERROR(__xludf.DUMMYFUNCTION("""COMPUTED_VALUE"""),"1860-8965")</f>
        <v>1860-8965</v>
      </c>
      <c r="H770" s="27" t="str">
        <f ca="1">IFERROR(__xludf.DUMMYFUNCTION("""COMPUTED_VALUE"""),"https://link.springer.com/journal/11419")</f>
        <v>https://link.springer.com/journal/11419</v>
      </c>
      <c r="I770" s="1" t="str">
        <f ca="1">IFERROR(__xludf.DUMMYFUNCTION("""COMPUTED_VALUE"""),"Springer")</f>
        <v>Springer</v>
      </c>
      <c r="J770" s="1">
        <f ca="1">IFERROR(__xludf.DUMMYFUNCTION("""COMPUTED_VALUE"""),2006)</f>
        <v>2006</v>
      </c>
      <c r="K770" s="1" t="str">
        <f ca="1">IFERROR(__xludf.DUMMYFUNCTION("""COMPUTED_VALUE"""),"Medicine")</f>
        <v>Medicine</v>
      </c>
      <c r="L770" s="1" t="str">
        <f ca="1">IFERROR(__xludf.DUMMYFUNCTION("""COMPUTED_VALUE"""),"〇")</f>
        <v>〇</v>
      </c>
      <c r="M770" s="1" t="str">
        <f ca="1">IFERROR(__xludf.DUMMYFUNCTION("""COMPUTED_VALUE"""),"〇")</f>
        <v>〇</v>
      </c>
      <c r="N770" s="1"/>
      <c r="O770" s="1"/>
      <c r="P770" s="1"/>
    </row>
    <row r="771" spans="1:16" ht="14.25" customHeight="1" x14ac:dyDescent="0.25">
      <c r="A771" s="1"/>
      <c r="B771" s="1">
        <f ca="1"/>
        <v>759</v>
      </c>
      <c r="C771" s="1">
        <f ca="1">IFERROR(__xludf.DUMMYFUNCTION("""COMPUTED_VALUE"""),2023)</f>
        <v>2023</v>
      </c>
      <c r="D771" s="1">
        <f ca="1">IFERROR(__xludf.DUMMYFUNCTION("""COMPUTED_VALUE"""),11757)</f>
        <v>11757</v>
      </c>
      <c r="E771" s="1" t="str">
        <f ca="1">IFERROR(__xludf.DUMMYFUNCTION("""COMPUTED_VALUE"""),"Forensische Psychiatrie, Psychologie, Kriminologie")</f>
        <v>Forensische Psychiatrie, Psychologie, Kriminologie</v>
      </c>
      <c r="F771" s="1" t="str">
        <f ca="1">IFERROR(__xludf.DUMMYFUNCTION("""COMPUTED_VALUE"""),"1862-7080")</f>
        <v>1862-7080</v>
      </c>
      <c r="G771" s="1" t="str">
        <f ca="1">IFERROR(__xludf.DUMMYFUNCTION("""COMPUTED_VALUE"""),"1862-7072")</f>
        <v>1862-7072</v>
      </c>
      <c r="H771" s="27" t="str">
        <f ca="1">IFERROR(__xludf.DUMMYFUNCTION("""COMPUTED_VALUE"""),"https://link.springer.com/journal/11757")</f>
        <v>https://link.springer.com/journal/11757</v>
      </c>
      <c r="I771" s="1" t="str">
        <f ca="1">IFERROR(__xludf.DUMMYFUNCTION("""COMPUTED_VALUE"""),"Springer")</f>
        <v>Springer</v>
      </c>
      <c r="J771" s="1">
        <f ca="1">IFERROR(__xludf.DUMMYFUNCTION("""COMPUTED_VALUE"""),2007)</f>
        <v>2007</v>
      </c>
      <c r="K771" s="1" t="str">
        <f ca="1">IFERROR(__xludf.DUMMYFUNCTION("""COMPUTED_VALUE"""),"Medicine")</f>
        <v>Medicine</v>
      </c>
      <c r="L771" s="1" t="str">
        <f ca="1">IFERROR(__xludf.DUMMYFUNCTION("""COMPUTED_VALUE"""),"〇")</f>
        <v>〇</v>
      </c>
      <c r="M771" s="1" t="str">
        <f ca="1">IFERROR(__xludf.DUMMYFUNCTION("""COMPUTED_VALUE"""),"〇")</f>
        <v>〇</v>
      </c>
      <c r="N771" s="1" t="str">
        <f ca="1">IFERROR(__xludf.DUMMYFUNCTION("""COMPUTED_VALUE"""),"SNS7")</f>
        <v>SNS7</v>
      </c>
      <c r="O771" s="1"/>
      <c r="P771" s="1"/>
    </row>
    <row r="772" spans="1:16" ht="14.25" customHeight="1" x14ac:dyDescent="0.25">
      <c r="A772" s="1"/>
      <c r="B772" s="1">
        <f ca="1"/>
        <v>760</v>
      </c>
      <c r="C772" s="1">
        <f ca="1">IFERROR(__xludf.DUMMYFUNCTION("""COMPUTED_VALUE"""),2023)</f>
        <v>2023</v>
      </c>
      <c r="D772" s="1">
        <f ca="1">IFERROR(__xludf.DUMMYFUNCTION("""COMPUTED_VALUE"""),10703)</f>
        <v>10703</v>
      </c>
      <c r="E772" s="1" t="str">
        <f ca="1">IFERROR(__xludf.DUMMYFUNCTION("""COMPUTED_VALUE"""),"Formal Methods in System Design")</f>
        <v>Formal Methods in System Design</v>
      </c>
      <c r="F772" s="1" t="str">
        <f ca="1">IFERROR(__xludf.DUMMYFUNCTION("""COMPUTED_VALUE"""),"1572-8102")</f>
        <v>1572-8102</v>
      </c>
      <c r="G772" s="1" t="str">
        <f ca="1">IFERROR(__xludf.DUMMYFUNCTION("""COMPUTED_VALUE"""),"0925-9856")</f>
        <v>0925-9856</v>
      </c>
      <c r="H772" s="27" t="str">
        <f ca="1">IFERROR(__xludf.DUMMYFUNCTION("""COMPUTED_VALUE"""),"https://link.springer.com/journal/10703")</f>
        <v>https://link.springer.com/journal/10703</v>
      </c>
      <c r="I772" s="1" t="str">
        <f ca="1">IFERROR(__xludf.DUMMYFUNCTION("""COMPUTED_VALUE"""),"Springer")</f>
        <v>Springer</v>
      </c>
      <c r="J772" s="1">
        <f ca="1">IFERROR(__xludf.DUMMYFUNCTION("""COMPUTED_VALUE"""),2000)</f>
        <v>2000</v>
      </c>
      <c r="K772" s="1" t="str">
        <f ca="1">IFERROR(__xludf.DUMMYFUNCTION("""COMPUTED_VALUE"""),"Engineering")</f>
        <v>Engineering</v>
      </c>
      <c r="L772" s="1" t="str">
        <f ca="1">IFERROR(__xludf.DUMMYFUNCTION("""COMPUTED_VALUE"""),"〇")</f>
        <v>〇</v>
      </c>
      <c r="M772" s="1" t="str">
        <f ca="1">IFERROR(__xludf.DUMMYFUNCTION("""COMPUTED_VALUE"""),"〇")</f>
        <v>〇</v>
      </c>
      <c r="N772" s="1"/>
      <c r="O772" s="1"/>
      <c r="P772" s="1"/>
    </row>
    <row r="773" spans="1:16" ht="14.25" customHeight="1" x14ac:dyDescent="0.25">
      <c r="A773" s="1"/>
      <c r="B773" s="1">
        <f ca="1"/>
        <v>761</v>
      </c>
      <c r="C773" s="1">
        <f ca="1">IFERROR(__xludf.DUMMYFUNCTION("""COMPUTED_VALUE"""),2023)</f>
        <v>2023</v>
      </c>
      <c r="D773" s="1">
        <f ca="1">IFERROR(__xludf.DUMMYFUNCTION("""COMPUTED_VALUE"""),10010)</f>
        <v>10010</v>
      </c>
      <c r="E773" s="1" t="str">
        <f ca="1">IFERROR(__xludf.DUMMYFUNCTION("""COMPUTED_VALUE"""),"Forschung im Ingenieurwesen")</f>
        <v>Forschung im Ingenieurwesen</v>
      </c>
      <c r="F773" s="1" t="str">
        <f ca="1">IFERROR(__xludf.DUMMYFUNCTION("""COMPUTED_VALUE"""),"1434-0860")</f>
        <v>1434-0860</v>
      </c>
      <c r="G773" s="1" t="str">
        <f ca="1">IFERROR(__xludf.DUMMYFUNCTION("""COMPUTED_VALUE"""),"0015-7899")</f>
        <v>0015-7899</v>
      </c>
      <c r="H773" s="27" t="str">
        <f ca="1">IFERROR(__xludf.DUMMYFUNCTION("""COMPUTED_VALUE"""),"https://link.springer.com/journal/10010")</f>
        <v>https://link.springer.com/journal/10010</v>
      </c>
      <c r="I773" s="1" t="str">
        <f ca="1">IFERROR(__xludf.DUMMYFUNCTION("""COMPUTED_VALUE"""),"Springer Vieweg")</f>
        <v>Springer Vieweg</v>
      </c>
      <c r="J773" s="1">
        <f ca="1">IFERROR(__xludf.DUMMYFUNCTION("""COMPUTED_VALUE"""),2000)</f>
        <v>2000</v>
      </c>
      <c r="K773" s="1" t="str">
        <f ca="1">IFERROR(__xludf.DUMMYFUNCTION("""COMPUTED_VALUE"""),"Engineering")</f>
        <v>Engineering</v>
      </c>
      <c r="L773" s="1" t="str">
        <f ca="1">IFERROR(__xludf.DUMMYFUNCTION("""COMPUTED_VALUE"""),"〇")</f>
        <v>〇</v>
      </c>
      <c r="M773" s="1" t="str">
        <f ca="1">IFERROR(__xludf.DUMMYFUNCTION("""COMPUTED_VALUE"""),"〇")</f>
        <v>〇</v>
      </c>
      <c r="N773" s="1"/>
      <c r="O773" s="1"/>
      <c r="P773" s="1"/>
    </row>
    <row r="774" spans="1:16" ht="14.25" customHeight="1" x14ac:dyDescent="0.25">
      <c r="A774" s="1"/>
      <c r="B774" s="1">
        <f ca="1"/>
        <v>762</v>
      </c>
      <c r="C774" s="1">
        <f ca="1">IFERROR(__xludf.DUMMYFUNCTION("""COMPUTED_VALUE"""),2023)</f>
        <v>2023</v>
      </c>
      <c r="D774" s="1">
        <f ca="1">IFERROR(__xludf.DUMMYFUNCTION("""COMPUTED_VALUE"""),12312)</f>
        <v>12312</v>
      </c>
      <c r="E774" s="1" t="str">
        <f ca="1">IFERROR(__xludf.DUMMYFUNCTION("""COMPUTED_VALUE"""),"Forum")</f>
        <v>Forum</v>
      </c>
      <c r="F774" s="1" t="str">
        <f ca="1">IFERROR(__xludf.DUMMYFUNCTION("""COMPUTED_VALUE"""),"2190-9784")</f>
        <v>2190-9784</v>
      </c>
      <c r="G774" s="1" t="str">
        <f ca="1">IFERROR(__xludf.DUMMYFUNCTION("""COMPUTED_VALUE"""),"0947-0255")</f>
        <v>0947-0255</v>
      </c>
      <c r="H774" s="27" t="str">
        <f ca="1">IFERROR(__xludf.DUMMYFUNCTION("""COMPUTED_VALUE"""),"https://link.springer.com/journal/12312")</f>
        <v>https://link.springer.com/journal/12312</v>
      </c>
      <c r="I774" s="1" t="str">
        <f ca="1">IFERROR(__xludf.DUMMYFUNCTION("""COMPUTED_VALUE"""),"SpringerMedizin")</f>
        <v>SpringerMedizin</v>
      </c>
      <c r="J774" s="1">
        <f ca="1">IFERROR(__xludf.DUMMYFUNCTION("""COMPUTED_VALUE"""),2011)</f>
        <v>2011</v>
      </c>
      <c r="K774" s="1" t="str">
        <f ca="1">IFERROR(__xludf.DUMMYFUNCTION("""COMPUTED_VALUE"""),"Medicine")</f>
        <v>Medicine</v>
      </c>
      <c r="L774" s="1" t="str">
        <f ca="1">IFERROR(__xludf.DUMMYFUNCTION("""COMPUTED_VALUE"""),"〇")</f>
        <v>〇</v>
      </c>
      <c r="M774" s="1" t="str">
        <f ca="1">IFERROR(__xludf.DUMMYFUNCTION("""COMPUTED_VALUE"""),"〇")</f>
        <v>〇</v>
      </c>
      <c r="N774" s="1"/>
      <c r="O774" s="1"/>
      <c r="P774" s="1"/>
    </row>
    <row r="775" spans="1:16" ht="14.25" customHeight="1" x14ac:dyDescent="0.25">
      <c r="A775" s="1"/>
      <c r="B775" s="1">
        <f ca="1"/>
        <v>763</v>
      </c>
      <c r="C775" s="1">
        <f ca="1">IFERROR(__xludf.DUMMYFUNCTION("""COMPUTED_VALUE"""),2023)</f>
        <v>2023</v>
      </c>
      <c r="D775" s="1">
        <f ca="1">IFERROR(__xludf.DUMMYFUNCTION("""COMPUTED_VALUE"""),451)</f>
        <v>451</v>
      </c>
      <c r="E775" s="1" t="str">
        <f ca="1">IFERROR(__xludf.DUMMYFUNCTION("""COMPUTED_VALUE"""),"Forum der Psychoanalyse")</f>
        <v>Forum der Psychoanalyse</v>
      </c>
      <c r="F775" s="1" t="str">
        <f ca="1">IFERROR(__xludf.DUMMYFUNCTION("""COMPUTED_VALUE"""),"1437-0751")</f>
        <v>1437-0751</v>
      </c>
      <c r="G775" s="1" t="str">
        <f ca="1">IFERROR(__xludf.DUMMYFUNCTION("""COMPUTED_VALUE"""),"0178-7667")</f>
        <v>0178-7667</v>
      </c>
      <c r="H775" s="27" t="str">
        <f ca="1">IFERROR(__xludf.DUMMYFUNCTION("""COMPUTED_VALUE"""),"https://link.springer.com/journal/451")</f>
        <v>https://link.springer.com/journal/451</v>
      </c>
      <c r="I775" s="1" t="str">
        <f ca="1">IFERROR(__xludf.DUMMYFUNCTION("""COMPUTED_VALUE"""),"SpringerMedizin")</f>
        <v>SpringerMedizin</v>
      </c>
      <c r="J775" s="1">
        <f ca="1">IFERROR(__xludf.DUMMYFUNCTION("""COMPUTED_VALUE"""),2000)</f>
        <v>2000</v>
      </c>
      <c r="K775" s="1" t="str">
        <f ca="1">IFERROR(__xludf.DUMMYFUNCTION("""COMPUTED_VALUE"""),"Medicine")</f>
        <v>Medicine</v>
      </c>
      <c r="L775" s="1" t="str">
        <f ca="1">IFERROR(__xludf.DUMMYFUNCTION("""COMPUTED_VALUE"""),"〇")</f>
        <v>〇</v>
      </c>
      <c r="M775" s="1" t="str">
        <f ca="1">IFERROR(__xludf.DUMMYFUNCTION("""COMPUTED_VALUE"""),"〇")</f>
        <v>〇</v>
      </c>
      <c r="N775" s="1"/>
      <c r="O775" s="1"/>
      <c r="P775" s="1"/>
    </row>
    <row r="776" spans="1:16" ht="14.25" customHeight="1" x14ac:dyDescent="0.25">
      <c r="A776" s="1"/>
      <c r="B776" s="1">
        <f ca="1"/>
        <v>764</v>
      </c>
      <c r="C776" s="1">
        <f ca="1">IFERROR(__xludf.DUMMYFUNCTION("""COMPUTED_VALUE"""),2023)</f>
        <v>2023</v>
      </c>
      <c r="D776" s="1">
        <f ca="1">IFERROR(__xludf.DUMMYFUNCTION("""COMPUTED_VALUE"""),10698)</f>
        <v>10698</v>
      </c>
      <c r="E776" s="1" t="str">
        <f ca="1">IFERROR(__xludf.DUMMYFUNCTION("""COMPUTED_VALUE"""),"Foundations of Chemistry")</f>
        <v>Foundations of Chemistry</v>
      </c>
      <c r="F776" s="1" t="str">
        <f ca="1">IFERROR(__xludf.DUMMYFUNCTION("""COMPUTED_VALUE"""),"1572-8463")</f>
        <v>1572-8463</v>
      </c>
      <c r="G776" s="1" t="str">
        <f ca="1">IFERROR(__xludf.DUMMYFUNCTION("""COMPUTED_VALUE"""),"1386-4238")</f>
        <v>1386-4238</v>
      </c>
      <c r="H776" s="27" t="str">
        <f ca="1">IFERROR(__xludf.DUMMYFUNCTION("""COMPUTED_VALUE"""),"https://link.springer.com/journal/10698")</f>
        <v>https://link.springer.com/journal/10698</v>
      </c>
      <c r="I776" s="1" t="str">
        <f ca="1">IFERROR(__xludf.DUMMYFUNCTION("""COMPUTED_VALUE"""),"Springer")</f>
        <v>Springer</v>
      </c>
      <c r="J776" s="1">
        <f ca="1">IFERROR(__xludf.DUMMYFUNCTION("""COMPUTED_VALUE"""),2000)</f>
        <v>2000</v>
      </c>
      <c r="K776" s="1" t="str">
        <f ca="1">IFERROR(__xludf.DUMMYFUNCTION("""COMPUTED_VALUE"""),"Education")</f>
        <v>Education</v>
      </c>
      <c r="L776" s="1" t="str">
        <f ca="1">IFERROR(__xludf.DUMMYFUNCTION("""COMPUTED_VALUE"""),"〇")</f>
        <v>〇</v>
      </c>
      <c r="M776" s="1" t="str">
        <f ca="1">IFERROR(__xludf.DUMMYFUNCTION("""COMPUTED_VALUE"""),"〇")</f>
        <v>〇</v>
      </c>
      <c r="N776" s="1"/>
      <c r="O776" s="1"/>
      <c r="P776" s="1"/>
    </row>
    <row r="777" spans="1:16" ht="14.25" customHeight="1" x14ac:dyDescent="0.25">
      <c r="A777" s="1"/>
      <c r="B777" s="1">
        <f ca="1"/>
        <v>765</v>
      </c>
      <c r="C777" s="1">
        <f ca="1">IFERROR(__xludf.DUMMYFUNCTION("""COMPUTED_VALUE"""),2023)</f>
        <v>2023</v>
      </c>
      <c r="D777" s="1">
        <f ca="1">IFERROR(__xludf.DUMMYFUNCTION("""COMPUTED_VALUE"""),10208)</f>
        <v>10208</v>
      </c>
      <c r="E777" s="1" t="str">
        <f ca="1">IFERROR(__xludf.DUMMYFUNCTION("""COMPUTED_VALUE"""),"Foundations of Computational Mathematics")</f>
        <v>Foundations of Computational Mathematics</v>
      </c>
      <c r="F777" s="1" t="str">
        <f ca="1">IFERROR(__xludf.DUMMYFUNCTION("""COMPUTED_VALUE"""),"1615-3383")</f>
        <v>1615-3383</v>
      </c>
      <c r="G777" s="1" t="str">
        <f ca="1">IFERROR(__xludf.DUMMYFUNCTION("""COMPUTED_VALUE"""),"1615-3375")</f>
        <v>1615-3375</v>
      </c>
      <c r="H777" s="27" t="str">
        <f ca="1">IFERROR(__xludf.DUMMYFUNCTION("""COMPUTED_VALUE"""),"https://link.springer.com/journal/10208")</f>
        <v>https://link.springer.com/journal/10208</v>
      </c>
      <c r="I777" s="1" t="str">
        <f ca="1">IFERROR(__xludf.DUMMYFUNCTION("""COMPUTED_VALUE"""),"Springer")</f>
        <v>Springer</v>
      </c>
      <c r="J777" s="1">
        <f ca="1">IFERROR(__xludf.DUMMYFUNCTION("""COMPUTED_VALUE"""),2001)</f>
        <v>2001</v>
      </c>
      <c r="K777" s="1" t="str">
        <f ca="1">IFERROR(__xludf.DUMMYFUNCTION("""COMPUTED_VALUE"""),"Mathematics and Statistics")</f>
        <v>Mathematics and Statistics</v>
      </c>
      <c r="L777" s="1" t="str">
        <f ca="1">IFERROR(__xludf.DUMMYFUNCTION("""COMPUTED_VALUE"""),"〇")</f>
        <v>〇</v>
      </c>
      <c r="M777" s="1" t="str">
        <f ca="1">IFERROR(__xludf.DUMMYFUNCTION("""COMPUTED_VALUE"""),"〇")</f>
        <v>〇</v>
      </c>
      <c r="N777" s="1"/>
      <c r="O777" s="1"/>
      <c r="P777" s="1"/>
    </row>
    <row r="778" spans="1:16" ht="14.25" customHeight="1" x14ac:dyDescent="0.25">
      <c r="A778" s="1"/>
      <c r="B778" s="1">
        <f ca="1"/>
        <v>766</v>
      </c>
      <c r="C778" s="1">
        <f ca="1">IFERROR(__xludf.DUMMYFUNCTION("""COMPUTED_VALUE"""),2023)</f>
        <v>2023</v>
      </c>
      <c r="D778" s="1">
        <f ca="1">IFERROR(__xludf.DUMMYFUNCTION("""COMPUTED_VALUE"""),10701)</f>
        <v>10701</v>
      </c>
      <c r="E778" s="1" t="str">
        <f ca="1">IFERROR(__xludf.DUMMYFUNCTION("""COMPUTED_VALUE"""),"Foundations of Physics")</f>
        <v>Foundations of Physics</v>
      </c>
      <c r="F778" s="1" t="str">
        <f ca="1">IFERROR(__xludf.DUMMYFUNCTION("""COMPUTED_VALUE"""),"1572-9516")</f>
        <v>1572-9516</v>
      </c>
      <c r="G778" s="1"/>
      <c r="H778" s="27" t="str">
        <f ca="1">IFERROR(__xludf.DUMMYFUNCTION("""COMPUTED_VALUE"""),"https://link.springer.com/journal/10701")</f>
        <v>https://link.springer.com/journal/10701</v>
      </c>
      <c r="I778" s="1" t="str">
        <f ca="1">IFERROR(__xludf.DUMMYFUNCTION("""COMPUTED_VALUE"""),"Springer")</f>
        <v>Springer</v>
      </c>
      <c r="J778" s="1">
        <f ca="1">IFERROR(__xludf.DUMMYFUNCTION("""COMPUTED_VALUE"""),2000)</f>
        <v>2000</v>
      </c>
      <c r="K778" s="1" t="str">
        <f ca="1">IFERROR(__xludf.DUMMYFUNCTION("""COMPUTED_VALUE"""),"Physics and Astronomy")</f>
        <v>Physics and Astronomy</v>
      </c>
      <c r="L778" s="1"/>
      <c r="M778" s="1" t="str">
        <f ca="1">IFERROR(__xludf.DUMMYFUNCTION("""COMPUTED_VALUE"""),"〇")</f>
        <v>〇</v>
      </c>
      <c r="N778" s="1"/>
      <c r="O778" s="1"/>
      <c r="P778" s="1"/>
    </row>
    <row r="779" spans="1:16" ht="14.25" customHeight="1" x14ac:dyDescent="0.25">
      <c r="A779" s="1"/>
      <c r="B779" s="1">
        <f ca="1"/>
        <v>767</v>
      </c>
      <c r="C779" s="1">
        <f ca="1">IFERROR(__xludf.DUMMYFUNCTION("""COMPUTED_VALUE"""),2023)</f>
        <v>2023</v>
      </c>
      <c r="D779" s="1">
        <f ca="1">IFERROR(__xludf.DUMMYFUNCTION("""COMPUTED_VALUE"""),10699)</f>
        <v>10699</v>
      </c>
      <c r="E779" s="1" t="str">
        <f ca="1">IFERROR(__xludf.DUMMYFUNCTION("""COMPUTED_VALUE"""),"Foundations of Science")</f>
        <v>Foundations of Science</v>
      </c>
      <c r="F779" s="1" t="str">
        <f ca="1">IFERROR(__xludf.DUMMYFUNCTION("""COMPUTED_VALUE"""),"1572-8471")</f>
        <v>1572-8471</v>
      </c>
      <c r="G779" s="1" t="str">
        <f ca="1">IFERROR(__xludf.DUMMYFUNCTION("""COMPUTED_VALUE"""),"1233-1821")</f>
        <v>1233-1821</v>
      </c>
      <c r="H779" s="27" t="str">
        <f ca="1">IFERROR(__xludf.DUMMYFUNCTION("""COMPUTED_VALUE"""),"https://link.springer.com/journal/10699")</f>
        <v>https://link.springer.com/journal/10699</v>
      </c>
      <c r="I779" s="1" t="str">
        <f ca="1">IFERROR(__xludf.DUMMYFUNCTION("""COMPUTED_VALUE"""),"Springer")</f>
        <v>Springer</v>
      </c>
      <c r="J779" s="1">
        <f ca="1">IFERROR(__xludf.DUMMYFUNCTION("""COMPUTED_VALUE"""),2000)</f>
        <v>2000</v>
      </c>
      <c r="K779" s="1" t="str">
        <f ca="1">IFERROR(__xludf.DUMMYFUNCTION("""COMPUTED_VALUE"""),"Education")</f>
        <v>Education</v>
      </c>
      <c r="L779" s="1" t="str">
        <f ca="1">IFERROR(__xludf.DUMMYFUNCTION("""COMPUTED_VALUE"""),"〇")</f>
        <v>〇</v>
      </c>
      <c r="M779" s="1" t="str">
        <f ca="1">IFERROR(__xludf.DUMMYFUNCTION("""COMPUTED_VALUE"""),"〇")</f>
        <v>〇</v>
      </c>
      <c r="N779" s="1"/>
      <c r="O779" s="1"/>
      <c r="P779" s="1"/>
    </row>
    <row r="780" spans="1:16" ht="14.25" customHeight="1" x14ac:dyDescent="0.25">
      <c r="A780" s="1"/>
      <c r="B780" s="1">
        <f ca="1"/>
        <v>768</v>
      </c>
      <c r="C780" s="1">
        <f ca="1">IFERROR(__xludf.DUMMYFUNCTION("""COMPUTED_VALUE"""),2023)</f>
        <v>2023</v>
      </c>
      <c r="D780" s="1">
        <f ca="1">IFERROR(__xludf.DUMMYFUNCTION("""COMPUTED_VALUE"""),11708)</f>
        <v>11708</v>
      </c>
      <c r="E780" s="1" t="str">
        <f ca="1">IFERROR(__xludf.DUMMYFUNCTION("""COMPUTED_VALUE"""),"Frontiers in Energy")</f>
        <v>Frontiers in Energy</v>
      </c>
      <c r="F780" s="1" t="str">
        <f ca="1">IFERROR(__xludf.DUMMYFUNCTION("""COMPUTED_VALUE"""),"2095-1698")</f>
        <v>2095-1698</v>
      </c>
      <c r="G780" s="1" t="str">
        <f ca="1">IFERROR(__xludf.DUMMYFUNCTION("""COMPUTED_VALUE"""),"2095-1701")</f>
        <v>2095-1701</v>
      </c>
      <c r="H780" s="27" t="str">
        <f ca="1">IFERROR(__xludf.DUMMYFUNCTION("""COMPUTED_VALUE"""),"https://link.springer.com/journal/11708")</f>
        <v>https://link.springer.com/journal/11708</v>
      </c>
      <c r="I780" s="1" t="str">
        <f ca="1">IFERROR(__xludf.DUMMYFUNCTION("""COMPUTED_VALUE"""),"Higher Education Press, co-published with Springer")</f>
        <v>Higher Education Press, co-published with Springer</v>
      </c>
      <c r="J780" s="1">
        <f ca="1">IFERROR(__xludf.DUMMYFUNCTION("""COMPUTED_VALUE"""),2007)</f>
        <v>2007</v>
      </c>
      <c r="K780" s="1" t="str">
        <f ca="1">IFERROR(__xludf.DUMMYFUNCTION("""COMPUTED_VALUE"""),"Energy")</f>
        <v>Energy</v>
      </c>
      <c r="L780" s="1" t="str">
        <f ca="1">IFERROR(__xludf.DUMMYFUNCTION("""COMPUTED_VALUE"""),"〇")</f>
        <v>〇</v>
      </c>
      <c r="M780" s="1" t="str">
        <f ca="1">IFERROR(__xludf.DUMMYFUNCTION("""COMPUTED_VALUE"""),"〇")</f>
        <v>〇</v>
      </c>
      <c r="N780" s="1" t="str">
        <f ca="1">IFERROR(__xludf.DUMMYFUNCTION("""COMPUTED_VALUE"""),"SNS7")</f>
        <v>SNS7</v>
      </c>
      <c r="O780" s="1"/>
      <c r="P780" s="1"/>
    </row>
    <row r="781" spans="1:16" ht="14.25" customHeight="1" x14ac:dyDescent="0.25">
      <c r="A781" s="1"/>
      <c r="B781" s="1">
        <f ca="1"/>
        <v>769</v>
      </c>
      <c r="C781" s="1">
        <f ca="1">IFERROR(__xludf.DUMMYFUNCTION("""COMPUTED_VALUE"""),2023)</f>
        <v>2023</v>
      </c>
      <c r="D781" s="1">
        <f ca="1">IFERROR(__xludf.DUMMYFUNCTION("""COMPUTED_VALUE"""),11705)</f>
        <v>11705</v>
      </c>
      <c r="E781" s="1" t="str">
        <f ca="1">IFERROR(__xludf.DUMMYFUNCTION("""COMPUTED_VALUE"""),"Frontiers of Chemical Science and Engineering")</f>
        <v>Frontiers of Chemical Science and Engineering</v>
      </c>
      <c r="F781" s="1" t="str">
        <f ca="1">IFERROR(__xludf.DUMMYFUNCTION("""COMPUTED_VALUE"""),"2095-0187")</f>
        <v>2095-0187</v>
      </c>
      <c r="G781" s="1" t="str">
        <f ca="1">IFERROR(__xludf.DUMMYFUNCTION("""COMPUTED_VALUE"""),"2095-0179")</f>
        <v>2095-0179</v>
      </c>
      <c r="H781" s="27" t="str">
        <f ca="1">IFERROR(__xludf.DUMMYFUNCTION("""COMPUTED_VALUE"""),"https://link.springer.com/journal/11705")</f>
        <v>https://link.springer.com/journal/11705</v>
      </c>
      <c r="I781" s="1" t="str">
        <f ca="1">IFERROR(__xludf.DUMMYFUNCTION("""COMPUTED_VALUE"""),"Higher Education Press, co-published with Springer")</f>
        <v>Higher Education Press, co-published with Springer</v>
      </c>
      <c r="J781" s="1">
        <f ca="1">IFERROR(__xludf.DUMMYFUNCTION("""COMPUTED_VALUE"""),2007)</f>
        <v>2007</v>
      </c>
      <c r="K781" s="1" t="str">
        <f ca="1">IFERROR(__xludf.DUMMYFUNCTION("""COMPUTED_VALUE"""),"Chemistry and Materials Science")</f>
        <v>Chemistry and Materials Science</v>
      </c>
      <c r="L781" s="1" t="str">
        <f ca="1">IFERROR(__xludf.DUMMYFUNCTION("""COMPUTED_VALUE"""),"〇")</f>
        <v>〇</v>
      </c>
      <c r="M781" s="1" t="str">
        <f ca="1">IFERROR(__xludf.DUMMYFUNCTION("""COMPUTED_VALUE"""),"〇")</f>
        <v>〇</v>
      </c>
      <c r="N781" s="1" t="str">
        <f ca="1">IFERROR(__xludf.DUMMYFUNCTION("""COMPUTED_VALUE"""),"SNS7")</f>
        <v>SNS7</v>
      </c>
      <c r="O781" s="1"/>
      <c r="P781" s="1"/>
    </row>
    <row r="782" spans="1:16" ht="14.25" customHeight="1" x14ac:dyDescent="0.25">
      <c r="A782" s="1"/>
      <c r="B782" s="1">
        <f ca="1"/>
        <v>770</v>
      </c>
      <c r="C782" s="1">
        <f ca="1">IFERROR(__xludf.DUMMYFUNCTION("""COMPUTED_VALUE"""),2023)</f>
        <v>2023</v>
      </c>
      <c r="D782" s="1">
        <f ca="1">IFERROR(__xludf.DUMMYFUNCTION("""COMPUTED_VALUE"""),11704)</f>
        <v>11704</v>
      </c>
      <c r="E782" s="1" t="str">
        <f ca="1">IFERROR(__xludf.DUMMYFUNCTION("""COMPUTED_VALUE"""),"Frontiers of Computer Science")</f>
        <v>Frontiers of Computer Science</v>
      </c>
      <c r="F782" s="1" t="str">
        <f ca="1">IFERROR(__xludf.DUMMYFUNCTION("""COMPUTED_VALUE"""),"2095-2236")</f>
        <v>2095-2236</v>
      </c>
      <c r="G782" s="1" t="str">
        <f ca="1">IFERROR(__xludf.DUMMYFUNCTION("""COMPUTED_VALUE"""),"2095-2228")</f>
        <v>2095-2228</v>
      </c>
      <c r="H782" s="27" t="str">
        <f ca="1">IFERROR(__xludf.DUMMYFUNCTION("""COMPUTED_VALUE"""),"https://link.springer.com/journal/11704")</f>
        <v>https://link.springer.com/journal/11704</v>
      </c>
      <c r="I782" s="1" t="str">
        <f ca="1">IFERROR(__xludf.DUMMYFUNCTION("""COMPUTED_VALUE"""),"Higher Education Press, co-published with Springer")</f>
        <v>Higher Education Press, co-published with Springer</v>
      </c>
      <c r="J782" s="1">
        <f ca="1">IFERROR(__xludf.DUMMYFUNCTION("""COMPUTED_VALUE"""),2007)</f>
        <v>2007</v>
      </c>
      <c r="K782" s="1" t="str">
        <f ca="1">IFERROR(__xludf.DUMMYFUNCTION("""COMPUTED_VALUE"""),"Computer Science")</f>
        <v>Computer Science</v>
      </c>
      <c r="L782" s="1" t="str">
        <f ca="1">IFERROR(__xludf.DUMMYFUNCTION("""COMPUTED_VALUE"""),"〇")</f>
        <v>〇</v>
      </c>
      <c r="M782" s="1" t="str">
        <f ca="1">IFERROR(__xludf.DUMMYFUNCTION("""COMPUTED_VALUE"""),"〇")</f>
        <v>〇</v>
      </c>
      <c r="N782" s="1" t="str">
        <f ca="1">IFERROR(__xludf.DUMMYFUNCTION("""COMPUTED_VALUE"""),"SNS7")</f>
        <v>SNS7</v>
      </c>
      <c r="O782" s="1"/>
      <c r="P782" s="1"/>
    </row>
    <row r="783" spans="1:16" ht="14.25" customHeight="1" x14ac:dyDescent="0.25">
      <c r="A783" s="1"/>
      <c r="B783" s="1">
        <f ca="1"/>
        <v>771</v>
      </c>
      <c r="C783" s="1">
        <f ca="1">IFERROR(__xludf.DUMMYFUNCTION("""COMPUTED_VALUE"""),2023)</f>
        <v>2023</v>
      </c>
      <c r="D783" s="1">
        <f ca="1">IFERROR(__xludf.DUMMYFUNCTION("""COMPUTED_VALUE"""),11707)</f>
        <v>11707</v>
      </c>
      <c r="E783" s="1" t="str">
        <f ca="1">IFERROR(__xludf.DUMMYFUNCTION("""COMPUTED_VALUE"""),"Frontiers of Earth Science")</f>
        <v>Frontiers of Earth Science</v>
      </c>
      <c r="F783" s="1" t="str">
        <f ca="1">IFERROR(__xludf.DUMMYFUNCTION("""COMPUTED_VALUE"""),"2095-0209")</f>
        <v>2095-0209</v>
      </c>
      <c r="G783" s="1" t="str">
        <f ca="1">IFERROR(__xludf.DUMMYFUNCTION("""COMPUTED_VALUE"""),"2095-0195")</f>
        <v>2095-0195</v>
      </c>
      <c r="H783" s="27" t="str">
        <f ca="1">IFERROR(__xludf.DUMMYFUNCTION("""COMPUTED_VALUE"""),"https://link.springer.com/journal/11707")</f>
        <v>https://link.springer.com/journal/11707</v>
      </c>
      <c r="I783" s="1" t="str">
        <f ca="1">IFERROR(__xludf.DUMMYFUNCTION("""COMPUTED_VALUE"""),"Higher Education Press, co-published with Springer")</f>
        <v>Higher Education Press, co-published with Springer</v>
      </c>
      <c r="J783" s="1">
        <f ca="1">IFERROR(__xludf.DUMMYFUNCTION("""COMPUTED_VALUE"""),2007)</f>
        <v>2007</v>
      </c>
      <c r="K783" s="1" t="str">
        <f ca="1">IFERROR(__xludf.DUMMYFUNCTION("""COMPUTED_VALUE"""),"Earth and Environmental Science")</f>
        <v>Earth and Environmental Science</v>
      </c>
      <c r="L783" s="1" t="str">
        <f ca="1">IFERROR(__xludf.DUMMYFUNCTION("""COMPUTED_VALUE"""),"〇")</f>
        <v>〇</v>
      </c>
      <c r="M783" s="1" t="str">
        <f ca="1">IFERROR(__xludf.DUMMYFUNCTION("""COMPUTED_VALUE"""),"〇")</f>
        <v>〇</v>
      </c>
      <c r="N783" s="1" t="str">
        <f ca="1">IFERROR(__xludf.DUMMYFUNCTION("""COMPUTED_VALUE"""),"SNS7")</f>
        <v>SNS7</v>
      </c>
      <c r="O783" s="1"/>
      <c r="P783" s="1"/>
    </row>
    <row r="784" spans="1:16" ht="14.25" customHeight="1" x14ac:dyDescent="0.25">
      <c r="A784" s="1"/>
      <c r="B784" s="1">
        <f ca="1"/>
        <v>772</v>
      </c>
      <c r="C784" s="1">
        <f ca="1">IFERROR(__xludf.DUMMYFUNCTION("""COMPUTED_VALUE"""),2023)</f>
        <v>2023</v>
      </c>
      <c r="D784" s="1">
        <f ca="1">IFERROR(__xludf.DUMMYFUNCTION("""COMPUTED_VALUE"""),42524)</f>
        <v>42524</v>
      </c>
      <c r="E784" s="1" t="str">
        <f ca="1">IFERROR(__xludf.DUMMYFUNCTION("""COMPUTED_VALUE"""),"Frontiers of Engineering Management")</f>
        <v>Frontiers of Engineering Management</v>
      </c>
      <c r="F784" s="1" t="str">
        <f ca="1">IFERROR(__xludf.DUMMYFUNCTION("""COMPUTED_VALUE"""),"2096-0255")</f>
        <v>2096-0255</v>
      </c>
      <c r="G784" s="1" t="str">
        <f ca="1">IFERROR(__xludf.DUMMYFUNCTION("""COMPUTED_VALUE"""),"2095-7513")</f>
        <v>2095-7513</v>
      </c>
      <c r="H784" s="27" t="str">
        <f ca="1">IFERROR(__xludf.DUMMYFUNCTION("""COMPUTED_VALUE"""),"https://link.springer.com/journal/42524")</f>
        <v>https://link.springer.com/journal/42524</v>
      </c>
      <c r="I784" s="1" t="str">
        <f ca="1">IFERROR(__xludf.DUMMYFUNCTION("""COMPUTED_VALUE"""),"Higher Education Press, co-published with Springer")</f>
        <v>Higher Education Press, co-published with Springer</v>
      </c>
      <c r="J784" s="1">
        <f ca="1">IFERROR(__xludf.DUMMYFUNCTION("""COMPUTED_VALUE"""),2019)</f>
        <v>2019</v>
      </c>
      <c r="K784" s="1" t="str">
        <f ca="1">IFERROR(__xludf.DUMMYFUNCTION("""COMPUTED_VALUE"""),"Engineering")</f>
        <v>Engineering</v>
      </c>
      <c r="L784" s="1" t="str">
        <f ca="1">IFERROR(__xludf.DUMMYFUNCTION("""COMPUTED_VALUE"""),"〇")</f>
        <v>〇</v>
      </c>
      <c r="M784" s="1"/>
      <c r="N784" s="1" t="str">
        <f ca="1">IFERROR(__xludf.DUMMYFUNCTION("""COMPUTED_VALUE"""),"TO19")</f>
        <v>TO19</v>
      </c>
      <c r="O784" s="1"/>
      <c r="P784" s="1"/>
    </row>
    <row r="785" spans="1:16" ht="14.25" customHeight="1" x14ac:dyDescent="0.25">
      <c r="A785" s="1"/>
      <c r="B785" s="1">
        <f ca="1"/>
        <v>773</v>
      </c>
      <c r="C785" s="1">
        <f ca="1">IFERROR(__xludf.DUMMYFUNCTION("""COMPUTED_VALUE"""),2023)</f>
        <v>2023</v>
      </c>
      <c r="D785" s="1">
        <f ca="1">IFERROR(__xludf.DUMMYFUNCTION("""COMPUTED_VALUE"""),11783)</f>
        <v>11783</v>
      </c>
      <c r="E785" s="1" t="str">
        <f ca="1">IFERROR(__xludf.DUMMYFUNCTION("""COMPUTED_VALUE"""),"Frontiers of Environmental Science &amp; Engineering")</f>
        <v>Frontiers of Environmental Science &amp; Engineering</v>
      </c>
      <c r="F785" s="1" t="str">
        <f ca="1">IFERROR(__xludf.DUMMYFUNCTION("""COMPUTED_VALUE"""),"2095-221X")</f>
        <v>2095-221X</v>
      </c>
      <c r="G785" s="1" t="str">
        <f ca="1">IFERROR(__xludf.DUMMYFUNCTION("""COMPUTED_VALUE"""),"2095-2201")</f>
        <v>2095-2201</v>
      </c>
      <c r="H785" s="27" t="str">
        <f ca="1">IFERROR(__xludf.DUMMYFUNCTION("""COMPUTED_VALUE"""),"https://link.springer.com/journal/11783")</f>
        <v>https://link.springer.com/journal/11783</v>
      </c>
      <c r="I785" s="1" t="str">
        <f ca="1">IFERROR(__xludf.DUMMYFUNCTION("""COMPUTED_VALUE"""),"Higher Education Press, co-published with Springer")</f>
        <v>Higher Education Press, co-published with Springer</v>
      </c>
      <c r="J785" s="1">
        <f ca="1">IFERROR(__xludf.DUMMYFUNCTION("""COMPUTED_VALUE"""),2007)</f>
        <v>2007</v>
      </c>
      <c r="K785" s="1" t="str">
        <f ca="1">IFERROR(__xludf.DUMMYFUNCTION("""COMPUTED_VALUE"""),"Earth and Environmental Science")</f>
        <v>Earth and Environmental Science</v>
      </c>
      <c r="L785" s="1" t="str">
        <f ca="1">IFERROR(__xludf.DUMMYFUNCTION("""COMPUTED_VALUE"""),"〇")</f>
        <v>〇</v>
      </c>
      <c r="M785" s="1" t="str">
        <f ca="1">IFERROR(__xludf.DUMMYFUNCTION("""COMPUTED_VALUE"""),"〇")</f>
        <v>〇</v>
      </c>
      <c r="N785" s="1" t="str">
        <f ca="1">IFERROR(__xludf.DUMMYFUNCTION("""COMPUTED_VALUE"""),"SNS7")</f>
        <v>SNS7</v>
      </c>
      <c r="O785" s="1"/>
      <c r="P785" s="1"/>
    </row>
    <row r="786" spans="1:16" ht="14.25" customHeight="1" x14ac:dyDescent="0.25">
      <c r="A786" s="1"/>
      <c r="B786" s="1">
        <f ca="1"/>
        <v>774</v>
      </c>
      <c r="C786" s="1">
        <f ca="1">IFERROR(__xludf.DUMMYFUNCTION("""COMPUTED_VALUE"""),2023)</f>
        <v>2023</v>
      </c>
      <c r="D786" s="1">
        <f ca="1">IFERROR(__xludf.DUMMYFUNCTION("""COMPUTED_VALUE"""),11714)</f>
        <v>11714</v>
      </c>
      <c r="E786" s="1" t="str">
        <f ca="1">IFERROR(__xludf.DUMMYFUNCTION("""COMPUTED_VALUE"""),"Frontiers of Information Technology &amp; Electronic Engineering")</f>
        <v>Frontiers of Information Technology &amp; Electronic Engineering</v>
      </c>
      <c r="F786" s="1" t="str">
        <f ca="1">IFERROR(__xludf.DUMMYFUNCTION("""COMPUTED_VALUE"""),"2095-9230")</f>
        <v>2095-9230</v>
      </c>
      <c r="G786" s="1" t="str">
        <f ca="1">IFERROR(__xludf.DUMMYFUNCTION("""COMPUTED_VALUE"""),"2095-9184")</f>
        <v>2095-9184</v>
      </c>
      <c r="H786" s="27" t="str">
        <f ca="1">IFERROR(__xludf.DUMMYFUNCTION("""COMPUTED_VALUE"""),"https://link.springer.com/journal/11714")</f>
        <v>https://link.springer.com/journal/11714</v>
      </c>
      <c r="I786" s="1" t="str">
        <f ca="1">IFERROR(__xludf.DUMMYFUNCTION("""COMPUTED_VALUE"""),"Zhejiang University Press, co-published with Springer")</f>
        <v>Zhejiang University Press, co-published with Springer</v>
      </c>
      <c r="J786" s="1">
        <f ca="1">IFERROR(__xludf.DUMMYFUNCTION("""COMPUTED_VALUE"""),2010)</f>
        <v>2010</v>
      </c>
      <c r="K786" s="1" t="str">
        <f ca="1">IFERROR(__xludf.DUMMYFUNCTION("""COMPUTED_VALUE"""),"Computer Science")</f>
        <v>Computer Science</v>
      </c>
      <c r="L786" s="1" t="str">
        <f ca="1">IFERROR(__xludf.DUMMYFUNCTION("""COMPUTED_VALUE"""),"〇")</f>
        <v>〇</v>
      </c>
      <c r="M786" s="1"/>
      <c r="N786" s="1" t="str">
        <f ca="1">IFERROR(__xludf.DUMMYFUNCTION("""COMPUTED_VALUE"""),"TO10")</f>
        <v>TO10</v>
      </c>
      <c r="O786" s="1"/>
      <c r="P786" s="1"/>
    </row>
    <row r="787" spans="1:16" ht="14.25" customHeight="1" x14ac:dyDescent="0.25">
      <c r="A787" s="1"/>
      <c r="B787" s="1">
        <f ca="1"/>
        <v>775</v>
      </c>
      <c r="C787" s="1">
        <f ca="1">IFERROR(__xludf.DUMMYFUNCTION("""COMPUTED_VALUE"""),2023)</f>
        <v>2023</v>
      </c>
      <c r="D787" s="1">
        <f ca="1">IFERROR(__xludf.DUMMYFUNCTION("""COMPUTED_VALUE"""),11706)</f>
        <v>11706</v>
      </c>
      <c r="E787" s="1" t="str">
        <f ca="1">IFERROR(__xludf.DUMMYFUNCTION("""COMPUTED_VALUE"""),"Frontiers of Materials Science")</f>
        <v>Frontiers of Materials Science</v>
      </c>
      <c r="F787" s="1" t="str">
        <f ca="1">IFERROR(__xludf.DUMMYFUNCTION("""COMPUTED_VALUE"""),"2095-0268")</f>
        <v>2095-0268</v>
      </c>
      <c r="G787" s="1" t="str">
        <f ca="1">IFERROR(__xludf.DUMMYFUNCTION("""COMPUTED_VALUE"""),"2095-025X")</f>
        <v>2095-025X</v>
      </c>
      <c r="H787" s="27" t="str">
        <f ca="1">IFERROR(__xludf.DUMMYFUNCTION("""COMPUTED_VALUE"""),"https://link.springer.com/journal/11706")</f>
        <v>https://link.springer.com/journal/11706</v>
      </c>
      <c r="I787" s="1" t="str">
        <f ca="1">IFERROR(__xludf.DUMMYFUNCTION("""COMPUTED_VALUE"""),"Higher Education Press, co-published with Springer")</f>
        <v>Higher Education Press, co-published with Springer</v>
      </c>
      <c r="J787" s="1">
        <f ca="1">IFERROR(__xludf.DUMMYFUNCTION("""COMPUTED_VALUE"""),2007)</f>
        <v>2007</v>
      </c>
      <c r="K787" s="1" t="str">
        <f ca="1">IFERROR(__xludf.DUMMYFUNCTION("""COMPUTED_VALUE"""),"Chemistry and Materials Science")</f>
        <v>Chemistry and Materials Science</v>
      </c>
      <c r="L787" s="1" t="str">
        <f ca="1">IFERROR(__xludf.DUMMYFUNCTION("""COMPUTED_VALUE"""),"〇")</f>
        <v>〇</v>
      </c>
      <c r="M787" s="1" t="str">
        <f ca="1">IFERROR(__xludf.DUMMYFUNCTION("""COMPUTED_VALUE"""),"〇")</f>
        <v>〇</v>
      </c>
      <c r="N787" s="1" t="str">
        <f ca="1">IFERROR(__xludf.DUMMYFUNCTION("""COMPUTED_VALUE"""),"SNS7")</f>
        <v>SNS7</v>
      </c>
      <c r="O787" s="1"/>
      <c r="P787" s="1"/>
    </row>
    <row r="788" spans="1:16" ht="14.25" customHeight="1" x14ac:dyDescent="0.25">
      <c r="A788" s="1"/>
      <c r="B788" s="1">
        <f ca="1"/>
        <v>776</v>
      </c>
      <c r="C788" s="1">
        <f ca="1">IFERROR(__xludf.DUMMYFUNCTION("""COMPUTED_VALUE"""),2023)</f>
        <v>2023</v>
      </c>
      <c r="D788" s="1">
        <f ca="1">IFERROR(__xludf.DUMMYFUNCTION("""COMPUTED_VALUE"""),11464)</f>
        <v>11464</v>
      </c>
      <c r="E788" s="1" t="str">
        <f ca="1">IFERROR(__xludf.DUMMYFUNCTION("""COMPUTED_VALUE"""),"Frontiers of Mathematics in China")</f>
        <v>Frontiers of Mathematics in China</v>
      </c>
      <c r="F788" s="1" t="str">
        <f ca="1">IFERROR(__xludf.DUMMYFUNCTION("""COMPUTED_VALUE"""),"1673-3576")</f>
        <v>1673-3576</v>
      </c>
      <c r="G788" s="1" t="str">
        <f ca="1">IFERROR(__xludf.DUMMYFUNCTION("""COMPUTED_VALUE"""),"1673-3452")</f>
        <v>1673-3452</v>
      </c>
      <c r="H788" s="27" t="str">
        <f ca="1">IFERROR(__xludf.DUMMYFUNCTION("""COMPUTED_VALUE"""),"https://link.springer.com/journal/11464")</f>
        <v>https://link.springer.com/journal/11464</v>
      </c>
      <c r="I788" s="1" t="str">
        <f ca="1">IFERROR(__xludf.DUMMYFUNCTION("""COMPUTED_VALUE"""),"Higher Education Press, co-published with Springer")</f>
        <v>Higher Education Press, co-published with Springer</v>
      </c>
      <c r="J788" s="1">
        <f ca="1">IFERROR(__xludf.DUMMYFUNCTION("""COMPUTED_VALUE"""),2006)</f>
        <v>2006</v>
      </c>
      <c r="K788" s="1" t="str">
        <f ca="1">IFERROR(__xludf.DUMMYFUNCTION("""COMPUTED_VALUE"""),"Mathematics and Statistics")</f>
        <v>Mathematics and Statistics</v>
      </c>
      <c r="L788" s="1" t="str">
        <f ca="1">IFERROR(__xludf.DUMMYFUNCTION("""COMPUTED_VALUE"""),"〇")</f>
        <v>〇</v>
      </c>
      <c r="M788" s="1" t="str">
        <f ca="1">IFERROR(__xludf.DUMMYFUNCTION("""COMPUTED_VALUE"""),"〇")</f>
        <v>〇</v>
      </c>
      <c r="N788" s="1"/>
      <c r="O788" s="1"/>
      <c r="P788" s="1"/>
    </row>
    <row r="789" spans="1:16" ht="14.25" customHeight="1" x14ac:dyDescent="0.25">
      <c r="A789" s="1"/>
      <c r="B789" s="1">
        <f ca="1"/>
        <v>777</v>
      </c>
      <c r="C789" s="1">
        <f ca="1">IFERROR(__xludf.DUMMYFUNCTION("""COMPUTED_VALUE"""),2023)</f>
        <v>2023</v>
      </c>
      <c r="D789" s="1">
        <f ca="1">IFERROR(__xludf.DUMMYFUNCTION("""COMPUTED_VALUE"""),11465)</f>
        <v>11465</v>
      </c>
      <c r="E789" s="1" t="str">
        <f ca="1">IFERROR(__xludf.DUMMYFUNCTION("""COMPUTED_VALUE"""),"Frontiers of Mechanical Engineering")</f>
        <v>Frontiers of Mechanical Engineering</v>
      </c>
      <c r="F789" s="1" t="str">
        <f ca="1">IFERROR(__xludf.DUMMYFUNCTION("""COMPUTED_VALUE"""),"2095-0241")</f>
        <v>2095-0241</v>
      </c>
      <c r="G789" s="1" t="str">
        <f ca="1">IFERROR(__xludf.DUMMYFUNCTION("""COMPUTED_VALUE"""),"2095-0233")</f>
        <v>2095-0233</v>
      </c>
      <c r="H789" s="27" t="str">
        <f ca="1">IFERROR(__xludf.DUMMYFUNCTION("""COMPUTED_VALUE"""),"https://link.springer.com/journal/11465")</f>
        <v>https://link.springer.com/journal/11465</v>
      </c>
      <c r="I789" s="1" t="str">
        <f ca="1">IFERROR(__xludf.DUMMYFUNCTION("""COMPUTED_VALUE"""),"Higher Education Press, co-published with Springer")</f>
        <v>Higher Education Press, co-published with Springer</v>
      </c>
      <c r="J789" s="1">
        <f ca="1">IFERROR(__xludf.DUMMYFUNCTION("""COMPUTED_VALUE"""),2006)</f>
        <v>2006</v>
      </c>
      <c r="K789" s="1" t="str">
        <f ca="1">IFERROR(__xludf.DUMMYFUNCTION("""COMPUTED_VALUE"""),"Engineering")</f>
        <v>Engineering</v>
      </c>
      <c r="L789" s="1" t="str">
        <f ca="1">IFERROR(__xludf.DUMMYFUNCTION("""COMPUTED_VALUE"""),"〇")</f>
        <v>〇</v>
      </c>
      <c r="M789" s="1" t="str">
        <f ca="1">IFERROR(__xludf.DUMMYFUNCTION("""COMPUTED_VALUE"""),"〇")</f>
        <v>〇</v>
      </c>
      <c r="N789" s="1"/>
      <c r="O789" s="1"/>
      <c r="P789" s="1"/>
    </row>
    <row r="790" spans="1:16" ht="14.25" customHeight="1" x14ac:dyDescent="0.25">
      <c r="A790" s="1"/>
      <c r="B790" s="1">
        <f ca="1"/>
        <v>778</v>
      </c>
      <c r="C790" s="1">
        <f ca="1">IFERROR(__xludf.DUMMYFUNCTION("""COMPUTED_VALUE"""),2023)</f>
        <v>2023</v>
      </c>
      <c r="D790" s="1">
        <f ca="1">IFERROR(__xludf.DUMMYFUNCTION("""COMPUTED_VALUE"""),11684)</f>
        <v>11684</v>
      </c>
      <c r="E790" s="1" t="str">
        <f ca="1">IFERROR(__xludf.DUMMYFUNCTION("""COMPUTED_VALUE"""),"Frontiers of Medicine")</f>
        <v>Frontiers of Medicine</v>
      </c>
      <c r="F790" s="1" t="str">
        <f ca="1">IFERROR(__xludf.DUMMYFUNCTION("""COMPUTED_VALUE"""),"2095-0225")</f>
        <v>2095-0225</v>
      </c>
      <c r="G790" s="1" t="str">
        <f ca="1">IFERROR(__xludf.DUMMYFUNCTION("""COMPUTED_VALUE"""),"2095-0217")</f>
        <v>2095-0217</v>
      </c>
      <c r="H790" s="27" t="str">
        <f ca="1">IFERROR(__xludf.DUMMYFUNCTION("""COMPUTED_VALUE"""),"https://link.springer.com/journal/11684")</f>
        <v>https://link.springer.com/journal/11684</v>
      </c>
      <c r="I790" s="1" t="str">
        <f ca="1">IFERROR(__xludf.DUMMYFUNCTION("""COMPUTED_VALUE"""),"Higher Education Press, co-published with Springer")</f>
        <v>Higher Education Press, co-published with Springer</v>
      </c>
      <c r="J790" s="1">
        <f ca="1">IFERROR(__xludf.DUMMYFUNCTION("""COMPUTED_VALUE"""),2007)</f>
        <v>2007</v>
      </c>
      <c r="K790" s="1" t="str">
        <f ca="1">IFERROR(__xludf.DUMMYFUNCTION("""COMPUTED_VALUE"""),"Medicine")</f>
        <v>Medicine</v>
      </c>
      <c r="L790" s="1" t="str">
        <f ca="1">IFERROR(__xludf.DUMMYFUNCTION("""COMPUTED_VALUE"""),"〇")</f>
        <v>〇</v>
      </c>
      <c r="M790" s="1" t="str">
        <f ca="1">IFERROR(__xludf.DUMMYFUNCTION("""COMPUTED_VALUE"""),"〇")</f>
        <v>〇</v>
      </c>
      <c r="N790" s="1" t="str">
        <f ca="1">IFERROR(__xludf.DUMMYFUNCTION("""COMPUTED_VALUE"""),"SNS7")</f>
        <v>SNS7</v>
      </c>
      <c r="O790" s="1"/>
      <c r="P790" s="1"/>
    </row>
    <row r="791" spans="1:16" ht="14.25" customHeight="1" x14ac:dyDescent="0.25">
      <c r="A791" s="1"/>
      <c r="B791" s="1">
        <f ca="1"/>
        <v>779</v>
      </c>
      <c r="C791" s="1">
        <f ca="1">IFERROR(__xludf.DUMMYFUNCTION("""COMPUTED_VALUE"""),2023)</f>
        <v>2023</v>
      </c>
      <c r="D791" s="1">
        <f ca="1">IFERROR(__xludf.DUMMYFUNCTION("""COMPUTED_VALUE"""),11467)</f>
        <v>11467</v>
      </c>
      <c r="E791" s="1" t="str">
        <f ca="1">IFERROR(__xludf.DUMMYFUNCTION("""COMPUTED_VALUE"""),"Frontiers of Physics")</f>
        <v>Frontiers of Physics</v>
      </c>
      <c r="F791" s="1" t="str">
        <f ca="1">IFERROR(__xludf.DUMMYFUNCTION("""COMPUTED_VALUE"""),"2095-0470")</f>
        <v>2095-0470</v>
      </c>
      <c r="G791" s="1" t="str">
        <f ca="1">IFERROR(__xludf.DUMMYFUNCTION("""COMPUTED_VALUE"""),"2095-0462")</f>
        <v>2095-0462</v>
      </c>
      <c r="H791" s="27" t="str">
        <f ca="1">IFERROR(__xludf.DUMMYFUNCTION("""COMPUTED_VALUE"""),"https://link.springer.com/journal/11467")</f>
        <v>https://link.springer.com/journal/11467</v>
      </c>
      <c r="I791" s="1" t="str">
        <f ca="1">IFERROR(__xludf.DUMMYFUNCTION("""COMPUTED_VALUE"""),"Higher Education Press, co-published with Springer")</f>
        <v>Higher Education Press, co-published with Springer</v>
      </c>
      <c r="J791" s="1">
        <f ca="1">IFERROR(__xludf.DUMMYFUNCTION("""COMPUTED_VALUE"""),2006)</f>
        <v>2006</v>
      </c>
      <c r="K791" s="1" t="str">
        <f ca="1">IFERROR(__xludf.DUMMYFUNCTION("""COMPUTED_VALUE"""),"Physics and Astronomy")</f>
        <v>Physics and Astronomy</v>
      </c>
      <c r="L791" s="1" t="str">
        <f ca="1">IFERROR(__xludf.DUMMYFUNCTION("""COMPUTED_VALUE"""),"〇")</f>
        <v>〇</v>
      </c>
      <c r="M791" s="1" t="str">
        <f ca="1">IFERROR(__xludf.DUMMYFUNCTION("""COMPUTED_VALUE"""),"〇")</f>
        <v>〇</v>
      </c>
      <c r="N791" s="1"/>
      <c r="O791" s="1"/>
      <c r="P791" s="1"/>
    </row>
    <row r="792" spans="1:16" ht="14.25" customHeight="1" x14ac:dyDescent="0.25">
      <c r="A792" s="1"/>
      <c r="B792" s="1">
        <f ca="1"/>
        <v>780</v>
      </c>
      <c r="C792" s="1">
        <f ca="1">IFERROR(__xludf.DUMMYFUNCTION("""COMPUTED_VALUE"""),2023)</f>
        <v>2023</v>
      </c>
      <c r="D792" s="1">
        <f ca="1">IFERROR(__xludf.DUMMYFUNCTION("""COMPUTED_VALUE"""),11709)</f>
        <v>11709</v>
      </c>
      <c r="E792" s="1" t="str">
        <f ca="1">IFERROR(__xludf.DUMMYFUNCTION("""COMPUTED_VALUE"""),"Frontiers of Structural and Civil Engineering")</f>
        <v>Frontiers of Structural and Civil Engineering</v>
      </c>
      <c r="F792" s="1" t="str">
        <f ca="1">IFERROR(__xludf.DUMMYFUNCTION("""COMPUTED_VALUE"""),"2095-2449")</f>
        <v>2095-2449</v>
      </c>
      <c r="G792" s="1" t="str">
        <f ca="1">IFERROR(__xludf.DUMMYFUNCTION("""COMPUTED_VALUE"""),"2095-2430")</f>
        <v>2095-2430</v>
      </c>
      <c r="H792" s="27" t="str">
        <f ca="1">IFERROR(__xludf.DUMMYFUNCTION("""COMPUTED_VALUE"""),"https://link.springer.com/journal/11709")</f>
        <v>https://link.springer.com/journal/11709</v>
      </c>
      <c r="I792" s="1" t="str">
        <f ca="1">IFERROR(__xludf.DUMMYFUNCTION("""COMPUTED_VALUE"""),"Higher Education Press, co-published with Springer")</f>
        <v>Higher Education Press, co-published with Springer</v>
      </c>
      <c r="J792" s="1">
        <f ca="1">IFERROR(__xludf.DUMMYFUNCTION("""COMPUTED_VALUE"""),2007)</f>
        <v>2007</v>
      </c>
      <c r="K792" s="1" t="str">
        <f ca="1">IFERROR(__xludf.DUMMYFUNCTION("""COMPUTED_VALUE"""),"Engineering")</f>
        <v>Engineering</v>
      </c>
      <c r="L792" s="1" t="str">
        <f ca="1">IFERROR(__xludf.DUMMYFUNCTION("""COMPUTED_VALUE"""),"〇")</f>
        <v>〇</v>
      </c>
      <c r="M792" s="1" t="str">
        <f ca="1">IFERROR(__xludf.DUMMYFUNCTION("""COMPUTED_VALUE"""),"〇")</f>
        <v>〇</v>
      </c>
      <c r="N792" s="1" t="str">
        <f ca="1">IFERROR(__xludf.DUMMYFUNCTION("""COMPUTED_VALUE"""),"SNS7")</f>
        <v>SNS7</v>
      </c>
      <c r="O792" s="1"/>
      <c r="P792" s="1"/>
    </row>
    <row r="793" spans="1:16" ht="14.25" customHeight="1" x14ac:dyDescent="0.25">
      <c r="A793" s="1"/>
      <c r="B793" s="1">
        <f ca="1"/>
        <v>781</v>
      </c>
      <c r="C793" s="1">
        <f ca="1">IFERROR(__xludf.DUMMYFUNCTION("""COMPUTED_VALUE"""),2023)</f>
        <v>2023</v>
      </c>
      <c r="D793" s="1">
        <f ca="1">IFERROR(__xludf.DUMMYFUNCTION("""COMPUTED_VALUE"""),40647)</f>
        <v>40647</v>
      </c>
      <c r="E793" s="1" t="str">
        <f ca="1">IFERROR(__xludf.DUMMYFUNCTION("""COMPUTED_VALUE"""),"Fudan Journal of the Humanities and Social Sciences")</f>
        <v>Fudan Journal of the Humanities and Social Sciences</v>
      </c>
      <c r="F793" s="1" t="str">
        <f ca="1">IFERROR(__xludf.DUMMYFUNCTION("""COMPUTED_VALUE"""),"2198-2600")</f>
        <v>2198-2600</v>
      </c>
      <c r="G793" s="1" t="str">
        <f ca="1">IFERROR(__xludf.DUMMYFUNCTION("""COMPUTED_VALUE"""),"1674-0750")</f>
        <v>1674-0750</v>
      </c>
      <c r="H793" s="27" t="str">
        <f ca="1">IFERROR(__xludf.DUMMYFUNCTION("""COMPUTED_VALUE"""),"https://link.springer.com/journal/40647")</f>
        <v>https://link.springer.com/journal/40647</v>
      </c>
      <c r="I793" s="1" t="str">
        <f ca="1">IFERROR(__xludf.DUMMYFUNCTION("""COMPUTED_VALUE"""),"Springer")</f>
        <v>Springer</v>
      </c>
      <c r="J793" s="1">
        <f ca="1">IFERROR(__xludf.DUMMYFUNCTION("""COMPUTED_VALUE"""),2014)</f>
        <v>2014</v>
      </c>
      <c r="K793" s="1" t="str">
        <f ca="1">IFERROR(__xludf.DUMMYFUNCTION("""COMPUTED_VALUE"""),"Social Sciences")</f>
        <v>Social Sciences</v>
      </c>
      <c r="L793" s="1" t="str">
        <f ca="1">IFERROR(__xludf.DUMMYFUNCTION("""COMPUTED_VALUE"""),"〇")</f>
        <v>〇</v>
      </c>
      <c r="M793" s="1"/>
      <c r="N793" s="1" t="str">
        <f ca="1">IFERROR(__xludf.DUMMYFUNCTION("""COMPUTED_VALUE"""),"TO14")</f>
        <v>TO14</v>
      </c>
      <c r="O793" s="1"/>
      <c r="P793" s="1"/>
    </row>
    <row r="794" spans="1:16" ht="14.25" customHeight="1" x14ac:dyDescent="0.25">
      <c r="A794" s="1"/>
      <c r="B794" s="1">
        <f ca="1"/>
        <v>782</v>
      </c>
      <c r="C794" s="1">
        <f ca="1">IFERROR(__xludf.DUMMYFUNCTION("""COMPUTED_VALUE"""),2023)</f>
        <v>2023</v>
      </c>
      <c r="D794" s="1">
        <f ca="1">IFERROR(__xludf.DUMMYFUNCTION("""COMPUTED_VALUE"""),10142)</f>
        <v>10142</v>
      </c>
      <c r="E794" s="1" t="str">
        <f ca="1">IFERROR(__xludf.DUMMYFUNCTION("""COMPUTED_VALUE"""),"Functional &amp; Integrative Genomics")</f>
        <v>Functional &amp; Integrative Genomics</v>
      </c>
      <c r="F794" s="1" t="str">
        <f ca="1">IFERROR(__xludf.DUMMYFUNCTION("""COMPUTED_VALUE"""),"1438-7948")</f>
        <v>1438-7948</v>
      </c>
      <c r="G794" s="1"/>
      <c r="H794" s="27" t="str">
        <f ca="1">IFERROR(__xludf.DUMMYFUNCTION("""COMPUTED_VALUE"""),"https://link.springer.com/journal/10142")</f>
        <v>https://link.springer.com/journal/10142</v>
      </c>
      <c r="I794" s="1" t="str">
        <f ca="1">IFERROR(__xludf.DUMMYFUNCTION("""COMPUTED_VALUE"""),"Springer")</f>
        <v>Springer</v>
      </c>
      <c r="J794" s="1">
        <f ca="1">IFERROR(__xludf.DUMMYFUNCTION("""COMPUTED_VALUE"""),2000)</f>
        <v>2000</v>
      </c>
      <c r="K794" s="1" t="str">
        <f ca="1">IFERROR(__xludf.DUMMYFUNCTION("""COMPUTED_VALUE"""),"Biomedical and Life Sciences")</f>
        <v>Biomedical and Life Sciences</v>
      </c>
      <c r="L794" s="1"/>
      <c r="M794" s="1" t="str">
        <f ca="1">IFERROR(__xludf.DUMMYFUNCTION("""COMPUTED_VALUE"""),"〇")</f>
        <v>〇</v>
      </c>
      <c r="N794" s="1"/>
      <c r="O794" s="1"/>
      <c r="P794" s="1"/>
    </row>
    <row r="795" spans="1:16" ht="14.25" customHeight="1" x14ac:dyDescent="0.25">
      <c r="A795" s="1"/>
      <c r="B795" s="1">
        <f ca="1"/>
        <v>783</v>
      </c>
      <c r="C795" s="1">
        <f ca="1">IFERROR(__xludf.DUMMYFUNCTION("""COMPUTED_VALUE"""),2023)</f>
        <v>2023</v>
      </c>
      <c r="D795" s="1">
        <f ca="1">IFERROR(__xludf.DUMMYFUNCTION("""COMPUTED_VALUE"""),10688)</f>
        <v>10688</v>
      </c>
      <c r="E795" s="1" t="str">
        <f ca="1">IFERROR(__xludf.DUMMYFUNCTION("""COMPUTED_VALUE"""),"Functional Analysis and Its Applications")</f>
        <v>Functional Analysis and Its Applications</v>
      </c>
      <c r="F795" s="1" t="str">
        <f ca="1">IFERROR(__xludf.DUMMYFUNCTION("""COMPUTED_VALUE"""),"1573-8485")</f>
        <v>1573-8485</v>
      </c>
      <c r="G795" s="1" t="str">
        <f ca="1">IFERROR(__xludf.DUMMYFUNCTION("""COMPUTED_VALUE"""),"0016-2663")</f>
        <v>0016-2663</v>
      </c>
      <c r="H795" s="27" t="str">
        <f ca="1">IFERROR(__xludf.DUMMYFUNCTION("""COMPUTED_VALUE"""),"https://link.springer.com/journal/10688")</f>
        <v>https://link.springer.com/journal/10688</v>
      </c>
      <c r="I795" s="1" t="str">
        <f ca="1">IFERROR(__xludf.DUMMYFUNCTION("""COMPUTED_VALUE"""),"Pleiades Publishing")</f>
        <v>Pleiades Publishing</v>
      </c>
      <c r="J795" s="1">
        <f ca="1">IFERROR(__xludf.DUMMYFUNCTION("""COMPUTED_VALUE"""),2000)</f>
        <v>2000</v>
      </c>
      <c r="K795" s="1" t="str">
        <f ca="1">IFERROR(__xludf.DUMMYFUNCTION("""COMPUTED_VALUE"""),"Mathematics and Statistics")</f>
        <v>Mathematics and Statistics</v>
      </c>
      <c r="L795" s="1" t="str">
        <f ca="1">IFERROR(__xludf.DUMMYFUNCTION("""COMPUTED_VALUE"""),"〇")</f>
        <v>〇</v>
      </c>
      <c r="M795" s="1" t="str">
        <f ca="1">IFERROR(__xludf.DUMMYFUNCTION("""COMPUTED_VALUE"""),"〇")</f>
        <v>〇</v>
      </c>
      <c r="N795" s="1"/>
      <c r="O795" s="1"/>
      <c r="P795" s="1"/>
    </row>
    <row r="796" spans="1:16" ht="14.25" customHeight="1" x14ac:dyDescent="0.25">
      <c r="A796" s="1"/>
      <c r="B796" s="1">
        <f ca="1"/>
        <v>784</v>
      </c>
      <c r="C796" s="1">
        <f ca="1">IFERROR(__xludf.DUMMYFUNCTION("""COMPUTED_VALUE"""),2023)</f>
        <v>2023</v>
      </c>
      <c r="D796" s="1">
        <f ca="1">IFERROR(__xludf.DUMMYFUNCTION("""COMPUTED_VALUE"""),13225)</f>
        <v>13225</v>
      </c>
      <c r="E796" s="1" t="str">
        <f ca="1">IFERROR(__xludf.DUMMYFUNCTION("""COMPUTED_VALUE"""),"Fungal Diversity")</f>
        <v>Fungal Diversity</v>
      </c>
      <c r="F796" s="1" t="str">
        <f ca="1">IFERROR(__xludf.DUMMYFUNCTION("""COMPUTED_VALUE"""),"1878-9129")</f>
        <v>1878-9129</v>
      </c>
      <c r="G796" s="1" t="str">
        <f ca="1">IFERROR(__xludf.DUMMYFUNCTION("""COMPUTED_VALUE"""),"1560-2745")</f>
        <v>1560-2745</v>
      </c>
      <c r="H796" s="27" t="str">
        <f ca="1">IFERROR(__xludf.DUMMYFUNCTION("""COMPUTED_VALUE"""),"https://link.springer.com/journal/13225")</f>
        <v>https://link.springer.com/journal/13225</v>
      </c>
      <c r="I796" s="1" t="str">
        <f ca="1">IFERROR(__xludf.DUMMYFUNCTION("""COMPUTED_VALUE"""),"Springer")</f>
        <v>Springer</v>
      </c>
      <c r="J796" s="1">
        <f ca="1">IFERROR(__xludf.DUMMYFUNCTION("""COMPUTED_VALUE"""),2010)</f>
        <v>2010</v>
      </c>
      <c r="K796" s="1" t="str">
        <f ca="1">IFERROR(__xludf.DUMMYFUNCTION("""COMPUTED_VALUE"""),"Biomedical and Life Sciences")</f>
        <v>Biomedical and Life Sciences</v>
      </c>
      <c r="L796" s="1" t="str">
        <f ca="1">IFERROR(__xludf.DUMMYFUNCTION("""COMPUTED_VALUE"""),"〇")</f>
        <v>〇</v>
      </c>
      <c r="M796" s="1"/>
      <c r="N796" s="1" t="str">
        <f ca="1">IFERROR(__xludf.DUMMYFUNCTION("""COMPUTED_VALUE"""),"TO10")</f>
        <v>TO10</v>
      </c>
      <c r="O796" s="1"/>
      <c r="P796" s="1"/>
    </row>
    <row r="797" spans="1:16" ht="14.25" customHeight="1" x14ac:dyDescent="0.25">
      <c r="A797" s="1"/>
      <c r="B797" s="1">
        <f ca="1"/>
        <v>785</v>
      </c>
      <c r="C797" s="1">
        <f ca="1">IFERROR(__xludf.DUMMYFUNCTION("""COMPUTED_VALUE"""),2023)</f>
        <v>2023</v>
      </c>
      <c r="D797" s="1">
        <f ca="1">IFERROR(__xludf.DUMMYFUNCTION("""COMPUTED_VALUE"""),10700)</f>
        <v>10700</v>
      </c>
      <c r="E797" s="1" t="str">
        <f ca="1">IFERROR(__xludf.DUMMYFUNCTION("""COMPUTED_VALUE"""),"Fuzzy Optimization and Decision Making")</f>
        <v>Fuzzy Optimization and Decision Making</v>
      </c>
      <c r="F797" s="1" t="str">
        <f ca="1">IFERROR(__xludf.DUMMYFUNCTION("""COMPUTED_VALUE"""),"1573-2908")</f>
        <v>1573-2908</v>
      </c>
      <c r="G797" s="1" t="str">
        <f ca="1">IFERROR(__xludf.DUMMYFUNCTION("""COMPUTED_VALUE"""),"1568-4539")</f>
        <v>1568-4539</v>
      </c>
      <c r="H797" s="27" t="str">
        <f ca="1">IFERROR(__xludf.DUMMYFUNCTION("""COMPUTED_VALUE"""),"https://link.springer.com/journal/10700")</f>
        <v>https://link.springer.com/journal/10700</v>
      </c>
      <c r="I797" s="1" t="str">
        <f ca="1">IFERROR(__xludf.DUMMYFUNCTION("""COMPUTED_VALUE"""),"Springer")</f>
        <v>Springer</v>
      </c>
      <c r="J797" s="1">
        <f ca="1">IFERROR(__xludf.DUMMYFUNCTION("""COMPUTED_VALUE"""),2002)</f>
        <v>2002</v>
      </c>
      <c r="K797" s="1" t="str">
        <f ca="1">IFERROR(__xludf.DUMMYFUNCTION("""COMPUTED_VALUE"""),"Mathematics and Statistics")</f>
        <v>Mathematics and Statistics</v>
      </c>
      <c r="L797" s="1" t="str">
        <f ca="1">IFERROR(__xludf.DUMMYFUNCTION("""COMPUTED_VALUE"""),"〇")</f>
        <v>〇</v>
      </c>
      <c r="M797" s="1" t="str">
        <f ca="1">IFERROR(__xludf.DUMMYFUNCTION("""COMPUTED_VALUE"""),"〇")</f>
        <v>〇</v>
      </c>
      <c r="N797" s="1"/>
      <c r="O797" s="1"/>
      <c r="P797" s="1"/>
    </row>
    <row r="798" spans="1:16" ht="14.25" customHeight="1" x14ac:dyDescent="0.25">
      <c r="A798" s="1"/>
      <c r="B798" s="1">
        <f ca="1"/>
        <v>786</v>
      </c>
      <c r="C798" s="1">
        <f ca="1">IFERROR(__xludf.DUMMYFUNCTION("""COMPUTED_VALUE"""),2023)</f>
        <v>2023</v>
      </c>
      <c r="D798" s="1">
        <f ca="1">IFERROR(__xludf.DUMMYFUNCTION("""COMPUTED_VALUE"""),10120)</f>
        <v>10120</v>
      </c>
      <c r="E798" s="1" t="str">
        <f ca="1">IFERROR(__xludf.DUMMYFUNCTION("""COMPUTED_VALUE"""),"Gastric Cancer")</f>
        <v>Gastric Cancer</v>
      </c>
      <c r="F798" s="1" t="str">
        <f ca="1">IFERROR(__xludf.DUMMYFUNCTION("""COMPUTED_VALUE"""),"1436-3305")</f>
        <v>1436-3305</v>
      </c>
      <c r="G798" s="1" t="str">
        <f ca="1">IFERROR(__xludf.DUMMYFUNCTION("""COMPUTED_VALUE"""),"1436-3291")</f>
        <v>1436-3291</v>
      </c>
      <c r="H798" s="27" t="str">
        <f ca="1">IFERROR(__xludf.DUMMYFUNCTION("""COMPUTED_VALUE"""),"https://link.springer.com/journal/10120")</f>
        <v>https://link.springer.com/journal/10120</v>
      </c>
      <c r="I798" s="1" t="str">
        <f ca="1">IFERROR(__xludf.DUMMYFUNCTION("""COMPUTED_VALUE"""),"Springer")</f>
        <v>Springer</v>
      </c>
      <c r="J798" s="1">
        <f ca="1">IFERROR(__xludf.DUMMYFUNCTION("""COMPUTED_VALUE"""),2000)</f>
        <v>2000</v>
      </c>
      <c r="K798" s="1" t="str">
        <f ca="1">IFERROR(__xludf.DUMMYFUNCTION("""COMPUTED_VALUE"""),"Medicine")</f>
        <v>Medicine</v>
      </c>
      <c r="L798" s="1" t="str">
        <f ca="1">IFERROR(__xludf.DUMMYFUNCTION("""COMPUTED_VALUE"""),"〇")</f>
        <v>〇</v>
      </c>
      <c r="M798" s="1" t="str">
        <f ca="1">IFERROR(__xludf.DUMMYFUNCTION("""COMPUTED_VALUE"""),"〇")</f>
        <v>〇</v>
      </c>
      <c r="N798" s="1"/>
      <c r="O798" s="1"/>
      <c r="P798" s="1"/>
    </row>
    <row r="799" spans="1:16" ht="14.25" customHeight="1" x14ac:dyDescent="0.25">
      <c r="A799" s="1"/>
      <c r="B799" s="1">
        <f ca="1"/>
        <v>787</v>
      </c>
      <c r="C799" s="1">
        <f ca="1">IFERROR(__xludf.DUMMYFUNCTION("""COMPUTED_VALUE"""),2023)</f>
        <v>2023</v>
      </c>
      <c r="D799" s="1">
        <f ca="1">IFERROR(__xludf.DUMMYFUNCTION("""COMPUTED_VALUE"""),15036)</f>
        <v>15036</v>
      </c>
      <c r="E799" s="1" t="str">
        <f ca="1">IFERROR(__xludf.DUMMYFUNCTION("""COMPUTED_VALUE"""),"Gastro-News")</f>
        <v>Gastro-News</v>
      </c>
      <c r="F799" s="1" t="str">
        <f ca="1">IFERROR(__xludf.DUMMYFUNCTION("""COMPUTED_VALUE"""),"2520-8667")</f>
        <v>2520-8667</v>
      </c>
      <c r="G799" s="1" t="str">
        <f ca="1">IFERROR(__xludf.DUMMYFUNCTION("""COMPUTED_VALUE"""),"1869-1005")</f>
        <v>1869-1005</v>
      </c>
      <c r="H799" s="27" t="str">
        <f ca="1">IFERROR(__xludf.DUMMYFUNCTION("""COMPUTED_VALUE"""),"https://link.springer.com/journal/15036")</f>
        <v>https://link.springer.com/journal/15036</v>
      </c>
      <c r="I799" s="1" t="str">
        <f ca="1">IFERROR(__xludf.DUMMYFUNCTION("""COMPUTED_VALUE"""),"SpringerMedizin")</f>
        <v>SpringerMedizin</v>
      </c>
      <c r="J799" s="1">
        <f ca="1">IFERROR(__xludf.DUMMYFUNCTION("""COMPUTED_VALUE"""),2017)</f>
        <v>2017</v>
      </c>
      <c r="K799" s="1" t="str">
        <f ca="1">IFERROR(__xludf.DUMMYFUNCTION("""COMPUTED_VALUE"""),"Medicine")</f>
        <v>Medicine</v>
      </c>
      <c r="L799" s="1" t="str">
        <f ca="1">IFERROR(__xludf.DUMMYFUNCTION("""COMPUTED_VALUE"""),"〇")</f>
        <v>〇</v>
      </c>
      <c r="M799" s="1"/>
      <c r="N799" s="1"/>
      <c r="O799" s="1"/>
      <c r="P799" s="1"/>
    </row>
    <row r="800" spans="1:16" ht="14.25" customHeight="1" x14ac:dyDescent="0.25">
      <c r="A800" s="1"/>
      <c r="B800" s="1">
        <f ca="1"/>
        <v>788</v>
      </c>
      <c r="C800" s="1">
        <f ca="1">IFERROR(__xludf.DUMMYFUNCTION("""COMPUTED_VALUE"""),2023)</f>
        <v>2023</v>
      </c>
      <c r="D800" s="1">
        <f ca="1">IFERROR(__xludf.DUMMYFUNCTION("""COMPUTED_VALUE"""),772)</f>
        <v>772</v>
      </c>
      <c r="E800" s="1" t="str">
        <f ca="1">IFERROR(__xludf.DUMMYFUNCTION("""COMPUTED_VALUE"""),"Gefässchirurgie")</f>
        <v>Gefässchirurgie</v>
      </c>
      <c r="F800" s="1" t="str">
        <f ca="1">IFERROR(__xludf.DUMMYFUNCTION("""COMPUTED_VALUE"""),"1434-3932")</f>
        <v>1434-3932</v>
      </c>
      <c r="G800" s="1" t="str">
        <f ca="1">IFERROR(__xludf.DUMMYFUNCTION("""COMPUTED_VALUE"""),"0948-7034")</f>
        <v>0948-7034</v>
      </c>
      <c r="H800" s="27" t="str">
        <f ca="1">IFERROR(__xludf.DUMMYFUNCTION("""COMPUTED_VALUE"""),"https://link.springer.com/journal/772")</f>
        <v>https://link.springer.com/journal/772</v>
      </c>
      <c r="I800" s="1" t="str">
        <f ca="1">IFERROR(__xludf.DUMMYFUNCTION("""COMPUTED_VALUE"""),"SpringerMedizin")</f>
        <v>SpringerMedizin</v>
      </c>
      <c r="J800" s="1">
        <f ca="1">IFERROR(__xludf.DUMMYFUNCTION("""COMPUTED_VALUE"""),2000)</f>
        <v>2000</v>
      </c>
      <c r="K800" s="1" t="str">
        <f ca="1">IFERROR(__xludf.DUMMYFUNCTION("""COMPUTED_VALUE"""),"Medicine")</f>
        <v>Medicine</v>
      </c>
      <c r="L800" s="1" t="str">
        <f ca="1">IFERROR(__xludf.DUMMYFUNCTION("""COMPUTED_VALUE"""),"〇")</f>
        <v>〇</v>
      </c>
      <c r="M800" s="1" t="str">
        <f ca="1">IFERROR(__xludf.DUMMYFUNCTION("""COMPUTED_VALUE"""),"〇")</f>
        <v>〇</v>
      </c>
      <c r="N800" s="1"/>
      <c r="O800" s="1"/>
      <c r="P800" s="1"/>
    </row>
    <row r="801" spans="1:16" ht="14.25" customHeight="1" x14ac:dyDescent="0.25">
      <c r="A801" s="1"/>
      <c r="B801" s="1">
        <f ca="1"/>
        <v>789</v>
      </c>
      <c r="C801" s="1">
        <f ca="1">IFERROR(__xludf.DUMMYFUNCTION("""COMPUTED_VALUE"""),2023)</f>
        <v>2023</v>
      </c>
      <c r="D801" s="1">
        <f ca="1">IFERROR(__xludf.DUMMYFUNCTION("""COMPUTED_VALUE"""),13137)</f>
        <v>13137</v>
      </c>
      <c r="E801" s="1" t="str">
        <f ca="1">IFERROR(__xludf.DUMMYFUNCTION("""COMPUTED_VALUE"""),"GEM - International Journal on Geomathematics")</f>
        <v>GEM - International Journal on Geomathematics</v>
      </c>
      <c r="F801" s="1" t="str">
        <f ca="1">IFERROR(__xludf.DUMMYFUNCTION("""COMPUTED_VALUE"""),"1869-2680")</f>
        <v>1869-2680</v>
      </c>
      <c r="G801" s="1" t="str">
        <f ca="1">IFERROR(__xludf.DUMMYFUNCTION("""COMPUTED_VALUE"""),"1869-2672")</f>
        <v>1869-2672</v>
      </c>
      <c r="H801" s="27" t="str">
        <f ca="1">IFERROR(__xludf.DUMMYFUNCTION("""COMPUTED_VALUE"""),"https://link.springer.com/journal/13137")</f>
        <v>https://link.springer.com/journal/13137</v>
      </c>
      <c r="I801" s="1" t="str">
        <f ca="1">IFERROR(__xludf.DUMMYFUNCTION("""COMPUTED_VALUE"""),"Springer")</f>
        <v>Springer</v>
      </c>
      <c r="J801" s="1">
        <f ca="1">IFERROR(__xludf.DUMMYFUNCTION("""COMPUTED_VALUE"""),2010)</f>
        <v>2010</v>
      </c>
      <c r="K801" s="1" t="str">
        <f ca="1">IFERROR(__xludf.DUMMYFUNCTION("""COMPUTED_VALUE"""),"Mathematics and Statistics")</f>
        <v>Mathematics and Statistics</v>
      </c>
      <c r="L801" s="1" t="str">
        <f ca="1">IFERROR(__xludf.DUMMYFUNCTION("""COMPUTED_VALUE"""),"〇")</f>
        <v>〇</v>
      </c>
      <c r="M801" s="1" t="str">
        <f ca="1">IFERROR(__xludf.DUMMYFUNCTION("""COMPUTED_VALUE"""),"〇")</f>
        <v>〇</v>
      </c>
      <c r="N801" s="1" t="str">
        <f ca="1">IFERROR(__xludf.DUMMYFUNCTION("""COMPUTED_VALUE"""),"SNS10")</f>
        <v>SNS10</v>
      </c>
      <c r="O801" s="1"/>
      <c r="P801" s="1"/>
    </row>
    <row r="802" spans="1:16" ht="14.25" customHeight="1" x14ac:dyDescent="0.25">
      <c r="A802" s="1"/>
      <c r="B802" s="1">
        <f ca="1"/>
        <v>790</v>
      </c>
      <c r="C802" s="1">
        <f ca="1">IFERROR(__xludf.DUMMYFUNCTION("""COMPUTED_VALUE"""),2023)</f>
        <v>2023</v>
      </c>
      <c r="D802" s="1">
        <f ca="1">IFERROR(__xludf.DUMMYFUNCTION("""COMPUTED_VALUE"""),12147)</f>
        <v>12147</v>
      </c>
      <c r="E802" s="1" t="str">
        <f ca="1">IFERROR(__xludf.DUMMYFUNCTION("""COMPUTED_VALUE"""),"Gender Issues")</f>
        <v>Gender Issues</v>
      </c>
      <c r="F802" s="1" t="str">
        <f ca="1">IFERROR(__xludf.DUMMYFUNCTION("""COMPUTED_VALUE"""),"1936-4717")</f>
        <v>1936-4717</v>
      </c>
      <c r="G802" s="1" t="str">
        <f ca="1">IFERROR(__xludf.DUMMYFUNCTION("""COMPUTED_VALUE"""),"1098-092X")</f>
        <v>1098-092X</v>
      </c>
      <c r="H802" s="27" t="str">
        <f ca="1">IFERROR(__xludf.DUMMYFUNCTION("""COMPUTED_VALUE"""),"https://link.springer.com/journal/12147")</f>
        <v>https://link.springer.com/journal/12147</v>
      </c>
      <c r="I802" s="1" t="str">
        <f ca="1">IFERROR(__xludf.DUMMYFUNCTION("""COMPUTED_VALUE"""),"Springer")</f>
        <v>Springer</v>
      </c>
      <c r="J802" s="1">
        <f ca="1">IFERROR(__xludf.DUMMYFUNCTION("""COMPUTED_VALUE"""),2000)</f>
        <v>2000</v>
      </c>
      <c r="K802" s="1" t="str">
        <f ca="1">IFERROR(__xludf.DUMMYFUNCTION("""COMPUTED_VALUE"""),"Social Sciences")</f>
        <v>Social Sciences</v>
      </c>
      <c r="L802" s="1" t="str">
        <f ca="1">IFERROR(__xludf.DUMMYFUNCTION("""COMPUTED_VALUE"""),"〇")</f>
        <v>〇</v>
      </c>
      <c r="M802" s="1" t="str">
        <f ca="1">IFERROR(__xludf.DUMMYFUNCTION("""COMPUTED_VALUE"""),"〇")</f>
        <v>〇</v>
      </c>
      <c r="N802" s="1" t="str">
        <f ca="1">IFERROR(__xludf.DUMMYFUNCTION("""COMPUTED_VALUE"""),"TO7")</f>
        <v>TO7</v>
      </c>
      <c r="O802" s="1"/>
      <c r="P802" s="1"/>
    </row>
    <row r="803" spans="1:16" ht="14.25" customHeight="1" x14ac:dyDescent="0.25">
      <c r="A803" s="1"/>
      <c r="B803" s="1">
        <f ca="1"/>
        <v>791</v>
      </c>
      <c r="C803" s="1">
        <f ca="1">IFERROR(__xludf.DUMMYFUNCTION("""COMPUTED_VALUE"""),2023)</f>
        <v>2023</v>
      </c>
      <c r="D803" s="1">
        <f ca="1">IFERROR(__xludf.DUMMYFUNCTION("""COMPUTED_VALUE"""),10714)</f>
        <v>10714</v>
      </c>
      <c r="E803" s="1" t="str">
        <f ca="1">IFERROR(__xludf.DUMMYFUNCTION("""COMPUTED_VALUE"""),"General Relativity and Gravitation")</f>
        <v>General Relativity and Gravitation</v>
      </c>
      <c r="F803" s="1" t="str">
        <f ca="1">IFERROR(__xludf.DUMMYFUNCTION("""COMPUTED_VALUE"""),"1572-9532")</f>
        <v>1572-9532</v>
      </c>
      <c r="G803" s="1"/>
      <c r="H803" s="27" t="str">
        <f ca="1">IFERROR(__xludf.DUMMYFUNCTION("""COMPUTED_VALUE"""),"https://link.springer.com/journal/10714")</f>
        <v>https://link.springer.com/journal/10714</v>
      </c>
      <c r="I803" s="1" t="str">
        <f ca="1">IFERROR(__xludf.DUMMYFUNCTION("""COMPUTED_VALUE"""),"Springer")</f>
        <v>Springer</v>
      </c>
      <c r="J803" s="1">
        <f ca="1">IFERROR(__xludf.DUMMYFUNCTION("""COMPUTED_VALUE"""),2000)</f>
        <v>2000</v>
      </c>
      <c r="K803" s="1" t="str">
        <f ca="1">IFERROR(__xludf.DUMMYFUNCTION("""COMPUTED_VALUE"""),"Physics and Astronomy")</f>
        <v>Physics and Astronomy</v>
      </c>
      <c r="L803" s="1"/>
      <c r="M803" s="1" t="str">
        <f ca="1">IFERROR(__xludf.DUMMYFUNCTION("""COMPUTED_VALUE"""),"〇")</f>
        <v>〇</v>
      </c>
      <c r="N803" s="1"/>
      <c r="O803" s="1"/>
      <c r="P803" s="1"/>
    </row>
    <row r="804" spans="1:16" ht="14.25" customHeight="1" x14ac:dyDescent="0.25">
      <c r="A804" s="1"/>
      <c r="B804" s="1">
        <f ca="1"/>
        <v>792</v>
      </c>
      <c r="C804" s="1">
        <f ca="1">IFERROR(__xludf.DUMMYFUNCTION("""COMPUTED_VALUE"""),2023)</f>
        <v>2023</v>
      </c>
      <c r="D804" s="1">
        <f ca="1">IFERROR(__xludf.DUMMYFUNCTION("""COMPUTED_VALUE"""),11748)</f>
        <v>11748</v>
      </c>
      <c r="E804" s="1" t="str">
        <f ca="1">IFERROR(__xludf.DUMMYFUNCTION("""COMPUTED_VALUE"""),"General Thoracic and Cardiovascular Surgery")</f>
        <v>General Thoracic and Cardiovascular Surgery</v>
      </c>
      <c r="F804" s="1" t="str">
        <f ca="1">IFERROR(__xludf.DUMMYFUNCTION("""COMPUTED_VALUE"""),"1863-6713")</f>
        <v>1863-6713</v>
      </c>
      <c r="G804" s="1" t="str">
        <f ca="1">IFERROR(__xludf.DUMMYFUNCTION("""COMPUTED_VALUE"""),"1863-6705")</f>
        <v>1863-6705</v>
      </c>
      <c r="H804" s="27" t="str">
        <f ca="1">IFERROR(__xludf.DUMMYFUNCTION("""COMPUTED_VALUE"""),"https://link.springer.com/journal/11748")</f>
        <v>https://link.springer.com/journal/11748</v>
      </c>
      <c r="I804" s="1" t="str">
        <f ca="1">IFERROR(__xludf.DUMMYFUNCTION("""COMPUTED_VALUE"""),"Springer")</f>
        <v>Springer</v>
      </c>
      <c r="J804" s="1">
        <f ca="1">IFERROR(__xludf.DUMMYFUNCTION("""COMPUTED_VALUE"""),2000)</f>
        <v>2000</v>
      </c>
      <c r="K804" s="1" t="str">
        <f ca="1">IFERROR(__xludf.DUMMYFUNCTION("""COMPUTED_VALUE"""),"Medicine")</f>
        <v>Medicine</v>
      </c>
      <c r="L804" s="1" t="str">
        <f ca="1">IFERROR(__xludf.DUMMYFUNCTION("""COMPUTED_VALUE"""),"〇")</f>
        <v>〇</v>
      </c>
      <c r="M804" s="1" t="str">
        <f ca="1">IFERROR(__xludf.DUMMYFUNCTION("""COMPUTED_VALUE"""),"〇")</f>
        <v>〇</v>
      </c>
      <c r="N804" s="1" t="str">
        <f ca="1">IFERROR(__xludf.DUMMYFUNCTION("""COMPUTED_VALUE"""),"TO7")</f>
        <v>TO7</v>
      </c>
      <c r="O804" s="1"/>
      <c r="P804" s="1"/>
    </row>
    <row r="805" spans="1:16" ht="14.25" customHeight="1" x14ac:dyDescent="0.25">
      <c r="A805" s="1"/>
      <c r="B805" s="1">
        <f ca="1"/>
        <v>793</v>
      </c>
      <c r="C805" s="1">
        <f ca="1">IFERROR(__xludf.DUMMYFUNCTION("""COMPUTED_VALUE"""),2023)</f>
        <v>2023</v>
      </c>
      <c r="D805" s="1">
        <f ca="1">IFERROR(__xludf.DUMMYFUNCTION("""COMPUTED_VALUE"""),13258)</f>
        <v>13258</v>
      </c>
      <c r="E805" s="1" t="str">
        <f ca="1">IFERROR(__xludf.DUMMYFUNCTION("""COMPUTED_VALUE"""),"Genes &amp; Genomics")</f>
        <v>Genes &amp; Genomics</v>
      </c>
      <c r="F805" s="1" t="str">
        <f ca="1">IFERROR(__xludf.DUMMYFUNCTION("""COMPUTED_VALUE"""),"2092-9293")</f>
        <v>2092-9293</v>
      </c>
      <c r="G805" s="1"/>
      <c r="H805" s="27" t="str">
        <f ca="1">IFERROR(__xludf.DUMMYFUNCTION("""COMPUTED_VALUE"""),"https://link.springer.com/journal/13258")</f>
        <v>https://link.springer.com/journal/13258</v>
      </c>
      <c r="I805" s="1" t="str">
        <f ca="1">IFERROR(__xludf.DUMMYFUNCTION("""COMPUTED_VALUE"""),"The Genetics Society of Korea, co-published with Springer")</f>
        <v>The Genetics Society of Korea, co-published with Springer</v>
      </c>
      <c r="J805" s="1">
        <f ca="1">IFERROR(__xludf.DUMMYFUNCTION("""COMPUTED_VALUE"""),2009)</f>
        <v>2009</v>
      </c>
      <c r="K805" s="1" t="str">
        <f ca="1">IFERROR(__xludf.DUMMYFUNCTION("""COMPUTED_VALUE"""),"Biomedical and Life Sciences")</f>
        <v>Biomedical and Life Sciences</v>
      </c>
      <c r="L805" s="1"/>
      <c r="M805" s="1"/>
      <c r="N805" s="1" t="str">
        <f ca="1">IFERROR(__xludf.DUMMYFUNCTION("""COMPUTED_VALUE"""),"TO10")</f>
        <v>TO10</v>
      </c>
      <c r="O805" s="1"/>
      <c r="P805" s="1"/>
    </row>
    <row r="806" spans="1:16" ht="14.25" customHeight="1" x14ac:dyDescent="0.25">
      <c r="A806" s="1"/>
      <c r="B806" s="1">
        <f ca="1"/>
        <v>794</v>
      </c>
      <c r="C806" s="1">
        <f ca="1">IFERROR(__xludf.DUMMYFUNCTION("""COMPUTED_VALUE"""),2023)</f>
        <v>2023</v>
      </c>
      <c r="D806" s="1">
        <f ca="1">IFERROR(__xludf.DUMMYFUNCTION("""COMPUTED_VALUE"""),10710)</f>
        <v>10710</v>
      </c>
      <c r="E806" s="1" t="str">
        <f ca="1">IFERROR(__xludf.DUMMYFUNCTION("""COMPUTED_VALUE"""),"Genetic Programming and Evolvable Machines")</f>
        <v>Genetic Programming and Evolvable Machines</v>
      </c>
      <c r="F806" s="1" t="str">
        <f ca="1">IFERROR(__xludf.DUMMYFUNCTION("""COMPUTED_VALUE"""),"1573-7632")</f>
        <v>1573-7632</v>
      </c>
      <c r="G806" s="1" t="str">
        <f ca="1">IFERROR(__xludf.DUMMYFUNCTION("""COMPUTED_VALUE"""),"1389-2576")</f>
        <v>1389-2576</v>
      </c>
      <c r="H806" s="27" t="str">
        <f ca="1">IFERROR(__xludf.DUMMYFUNCTION("""COMPUTED_VALUE"""),"https://link.springer.com/journal/10710")</f>
        <v>https://link.springer.com/journal/10710</v>
      </c>
      <c r="I806" s="1" t="str">
        <f ca="1">IFERROR(__xludf.DUMMYFUNCTION("""COMPUTED_VALUE"""),"Springer")</f>
        <v>Springer</v>
      </c>
      <c r="J806" s="1">
        <f ca="1">IFERROR(__xludf.DUMMYFUNCTION("""COMPUTED_VALUE"""),2000)</f>
        <v>2000</v>
      </c>
      <c r="K806" s="1" t="str">
        <f ca="1">IFERROR(__xludf.DUMMYFUNCTION("""COMPUTED_VALUE"""),"Computer Science")</f>
        <v>Computer Science</v>
      </c>
      <c r="L806" s="1" t="str">
        <f ca="1">IFERROR(__xludf.DUMMYFUNCTION("""COMPUTED_VALUE"""),"〇")</f>
        <v>〇</v>
      </c>
      <c r="M806" s="1" t="str">
        <f ca="1">IFERROR(__xludf.DUMMYFUNCTION("""COMPUTED_VALUE"""),"〇")</f>
        <v>〇</v>
      </c>
      <c r="N806" s="1"/>
      <c r="O806" s="1"/>
      <c r="P806" s="1"/>
    </row>
    <row r="807" spans="1:16" ht="14.25" customHeight="1" x14ac:dyDescent="0.25">
      <c r="A807" s="1"/>
      <c r="B807" s="1">
        <f ca="1"/>
        <v>795</v>
      </c>
      <c r="C807" s="1">
        <f ca="1">IFERROR(__xludf.DUMMYFUNCTION("""COMPUTED_VALUE"""),2023)</f>
        <v>2023</v>
      </c>
      <c r="D807" s="1">
        <f ca="1">IFERROR(__xludf.DUMMYFUNCTION("""COMPUTED_VALUE"""),10722)</f>
        <v>10722</v>
      </c>
      <c r="E807" s="1" t="str">
        <f ca="1">IFERROR(__xludf.DUMMYFUNCTION("""COMPUTED_VALUE"""),"Genetic Resources and Crop Evolution")</f>
        <v>Genetic Resources and Crop Evolution</v>
      </c>
      <c r="F807" s="1" t="str">
        <f ca="1">IFERROR(__xludf.DUMMYFUNCTION("""COMPUTED_VALUE"""),"1573-5109")</f>
        <v>1573-5109</v>
      </c>
      <c r="G807" s="1" t="str">
        <f ca="1">IFERROR(__xludf.DUMMYFUNCTION("""COMPUTED_VALUE"""),"0925-9864")</f>
        <v>0925-9864</v>
      </c>
      <c r="H807" s="27" t="str">
        <f ca="1">IFERROR(__xludf.DUMMYFUNCTION("""COMPUTED_VALUE"""),"https://link.springer.com/journal/10722")</f>
        <v>https://link.springer.com/journal/10722</v>
      </c>
      <c r="I807" s="1" t="str">
        <f ca="1">IFERROR(__xludf.DUMMYFUNCTION("""COMPUTED_VALUE"""),"Springer")</f>
        <v>Springer</v>
      </c>
      <c r="J807" s="1">
        <f ca="1">IFERROR(__xludf.DUMMYFUNCTION("""COMPUTED_VALUE"""),2000)</f>
        <v>2000</v>
      </c>
      <c r="K807" s="1" t="str">
        <f ca="1">IFERROR(__xludf.DUMMYFUNCTION("""COMPUTED_VALUE"""),"Biomedical and Life Sciences")</f>
        <v>Biomedical and Life Sciences</v>
      </c>
      <c r="L807" s="1" t="str">
        <f ca="1">IFERROR(__xludf.DUMMYFUNCTION("""COMPUTED_VALUE"""),"〇")</f>
        <v>〇</v>
      </c>
      <c r="M807" s="1" t="str">
        <f ca="1">IFERROR(__xludf.DUMMYFUNCTION("""COMPUTED_VALUE"""),"〇")</f>
        <v>〇</v>
      </c>
      <c r="N807" s="1"/>
      <c r="O807" s="1"/>
      <c r="P807" s="1"/>
    </row>
    <row r="808" spans="1:16" ht="14.25" customHeight="1" x14ac:dyDescent="0.25">
      <c r="A808" s="1"/>
      <c r="B808" s="1">
        <f ca="1"/>
        <v>796</v>
      </c>
      <c r="C808" s="1">
        <f ca="1">IFERROR(__xludf.DUMMYFUNCTION("""COMPUTED_VALUE"""),2023)</f>
        <v>2023</v>
      </c>
      <c r="D808" s="1">
        <f ca="1">IFERROR(__xludf.DUMMYFUNCTION("""COMPUTED_VALUE"""),10709)</f>
        <v>10709</v>
      </c>
      <c r="E808" s="1" t="str">
        <f ca="1">IFERROR(__xludf.DUMMYFUNCTION("""COMPUTED_VALUE"""),"Genetica")</f>
        <v>Genetica</v>
      </c>
      <c r="F808" s="1" t="str">
        <f ca="1">IFERROR(__xludf.DUMMYFUNCTION("""COMPUTED_VALUE"""),"1573-6857")</f>
        <v>1573-6857</v>
      </c>
      <c r="G808" s="1" t="str">
        <f ca="1">IFERROR(__xludf.DUMMYFUNCTION("""COMPUTED_VALUE"""),"0016-6707")</f>
        <v>0016-6707</v>
      </c>
      <c r="H808" s="27" t="str">
        <f ca="1">IFERROR(__xludf.DUMMYFUNCTION("""COMPUTED_VALUE"""),"https://link.springer.com/journal/10709")</f>
        <v>https://link.springer.com/journal/10709</v>
      </c>
      <c r="I808" s="1" t="str">
        <f ca="1">IFERROR(__xludf.DUMMYFUNCTION("""COMPUTED_VALUE"""),"Springer")</f>
        <v>Springer</v>
      </c>
      <c r="J808" s="1">
        <f ca="1">IFERROR(__xludf.DUMMYFUNCTION("""COMPUTED_VALUE"""),2000)</f>
        <v>2000</v>
      </c>
      <c r="K808" s="1" t="str">
        <f ca="1">IFERROR(__xludf.DUMMYFUNCTION("""COMPUTED_VALUE"""),"Biomedical and Life Sciences")</f>
        <v>Biomedical and Life Sciences</v>
      </c>
      <c r="L808" s="1" t="str">
        <f ca="1">IFERROR(__xludf.DUMMYFUNCTION("""COMPUTED_VALUE"""),"〇")</f>
        <v>〇</v>
      </c>
      <c r="M808" s="1" t="str">
        <f ca="1">IFERROR(__xludf.DUMMYFUNCTION("""COMPUTED_VALUE"""),"〇")</f>
        <v>〇</v>
      </c>
      <c r="N808" s="1"/>
      <c r="O808" s="1"/>
      <c r="P808" s="1"/>
    </row>
    <row r="809" spans="1:16" ht="14.25" customHeight="1" x14ac:dyDescent="0.25">
      <c r="A809" s="1"/>
      <c r="B809" s="1">
        <f ca="1"/>
        <v>797</v>
      </c>
      <c r="C809" s="1">
        <f ca="1">IFERROR(__xludf.DUMMYFUNCTION("""COMPUTED_VALUE"""),2023)</f>
        <v>2023</v>
      </c>
      <c r="D809" s="1">
        <f ca="1">IFERROR(__xludf.DUMMYFUNCTION("""COMPUTED_VALUE"""),42764)</f>
        <v>42764</v>
      </c>
      <c r="E809" s="1" t="str">
        <f ca="1">IFERROR(__xludf.DUMMYFUNCTION("""COMPUTED_VALUE"""),"Genome Instability &amp; Disease")</f>
        <v>Genome Instability &amp; Disease</v>
      </c>
      <c r="F809" s="1" t="str">
        <f ca="1">IFERROR(__xludf.DUMMYFUNCTION("""COMPUTED_VALUE"""),"2524-7662")</f>
        <v>2524-7662</v>
      </c>
      <c r="G809" s="1"/>
      <c r="H809" s="27" t="str">
        <f ca="1">IFERROR(__xludf.DUMMYFUNCTION("""COMPUTED_VALUE"""),"https://link.springer.com/journal/42764")</f>
        <v>https://link.springer.com/journal/42764</v>
      </c>
      <c r="I809" s="1" t="str">
        <f ca="1">IFERROR(__xludf.DUMMYFUNCTION("""COMPUTED_VALUE"""),"Springer")</f>
        <v>Springer</v>
      </c>
      <c r="J809" s="1">
        <f ca="1">IFERROR(__xludf.DUMMYFUNCTION("""COMPUTED_VALUE"""),2020)</f>
        <v>2020</v>
      </c>
      <c r="K809" s="1" t="str">
        <f ca="1">IFERROR(__xludf.DUMMYFUNCTION("""COMPUTED_VALUE"""),"Biomedical and Life Sciences")</f>
        <v>Biomedical and Life Sciences</v>
      </c>
      <c r="L809" s="1"/>
      <c r="M809" s="1"/>
      <c r="N809" s="1" t="str">
        <f ca="1">IFERROR(__xludf.DUMMYFUNCTION("""COMPUTED_VALUE"""),"SNS20")</f>
        <v>SNS20</v>
      </c>
      <c r="O809" s="1"/>
      <c r="P809" s="1"/>
    </row>
    <row r="810" spans="1:16" ht="14.25" customHeight="1" x14ac:dyDescent="0.25">
      <c r="A810" s="1"/>
      <c r="B810" s="1">
        <f ca="1"/>
        <v>798</v>
      </c>
      <c r="C810" s="1">
        <f ca="1">IFERROR(__xludf.DUMMYFUNCTION("""COMPUTED_VALUE"""),2023)</f>
        <v>2023</v>
      </c>
      <c r="D810" s="1">
        <f ca="1">IFERROR(__xludf.DUMMYFUNCTION("""COMPUTED_VALUE"""),11476)</f>
        <v>11476</v>
      </c>
      <c r="E810" s="1" t="str">
        <f ca="1">IFERROR(__xludf.DUMMYFUNCTION("""COMPUTED_VALUE"""),"Geochemistry International")</f>
        <v>Geochemistry International</v>
      </c>
      <c r="F810" s="1" t="str">
        <f ca="1">IFERROR(__xludf.DUMMYFUNCTION("""COMPUTED_VALUE"""),"1556-1968")</f>
        <v>1556-1968</v>
      </c>
      <c r="G810" s="1" t="str">
        <f ca="1">IFERROR(__xludf.DUMMYFUNCTION("""COMPUTED_VALUE"""),"0016-7029")</f>
        <v>0016-7029</v>
      </c>
      <c r="H810" s="27" t="str">
        <f ca="1">IFERROR(__xludf.DUMMYFUNCTION("""COMPUTED_VALUE"""),"https://link.springer.com/journal/11476")</f>
        <v>https://link.springer.com/journal/11476</v>
      </c>
      <c r="I810" s="1" t="str">
        <f ca="1">IFERROR(__xludf.DUMMYFUNCTION("""COMPUTED_VALUE"""),"Pleiades Publishing")</f>
        <v>Pleiades Publishing</v>
      </c>
      <c r="J810" s="1">
        <f ca="1">IFERROR(__xludf.DUMMYFUNCTION("""COMPUTED_VALUE"""),2006)</f>
        <v>2006</v>
      </c>
      <c r="K810" s="1" t="str">
        <f ca="1">IFERROR(__xludf.DUMMYFUNCTION("""COMPUTED_VALUE"""),"Earth and Environmental Science")</f>
        <v>Earth and Environmental Science</v>
      </c>
      <c r="L810" s="1" t="str">
        <f ca="1">IFERROR(__xludf.DUMMYFUNCTION("""COMPUTED_VALUE"""),"〇")</f>
        <v>〇</v>
      </c>
      <c r="M810" s="1" t="str">
        <f ca="1">IFERROR(__xludf.DUMMYFUNCTION("""COMPUTED_VALUE"""),"〇")</f>
        <v>〇</v>
      </c>
      <c r="N810" s="1"/>
      <c r="O810" s="1"/>
      <c r="P810" s="1"/>
    </row>
    <row r="811" spans="1:16" ht="14.25" customHeight="1" x14ac:dyDescent="0.25">
      <c r="A811" s="1"/>
      <c r="B811" s="1">
        <f ca="1"/>
        <v>799</v>
      </c>
      <c r="C811" s="1">
        <f ca="1">IFERROR(__xludf.DUMMYFUNCTION("""COMPUTED_VALUE"""),2023)</f>
        <v>2023</v>
      </c>
      <c r="D811" s="1">
        <f ca="1">IFERROR(__xludf.DUMMYFUNCTION("""COMPUTED_VALUE"""),13541)</f>
        <v>13541</v>
      </c>
      <c r="E811" s="1" t="str">
        <f ca="1">IFERROR(__xludf.DUMMYFUNCTION("""COMPUTED_VALUE"""),"Geography and Natural Resources")</f>
        <v>Geography and Natural Resources</v>
      </c>
      <c r="F811" s="1" t="str">
        <f ca="1">IFERROR(__xludf.DUMMYFUNCTION("""COMPUTED_VALUE"""),"1875-371X")</f>
        <v>1875-371X</v>
      </c>
      <c r="G811" s="1" t="str">
        <f ca="1">IFERROR(__xludf.DUMMYFUNCTION("""COMPUTED_VALUE"""),"1875-3728")</f>
        <v>1875-3728</v>
      </c>
      <c r="H811" s="27" t="str">
        <f ca="1">IFERROR(__xludf.DUMMYFUNCTION("""COMPUTED_VALUE"""),"https://link.springer.com/journal/13541")</f>
        <v>https://link.springer.com/journal/13541</v>
      </c>
      <c r="I811" s="1" t="str">
        <f ca="1">IFERROR(__xludf.DUMMYFUNCTION("""COMPUTED_VALUE"""),"Pleiades Publishing")</f>
        <v>Pleiades Publishing</v>
      </c>
      <c r="J811" s="1">
        <f ca="1">IFERROR(__xludf.DUMMYFUNCTION("""COMPUTED_VALUE"""),2011)</f>
        <v>2011</v>
      </c>
      <c r="K811" s="1" t="str">
        <f ca="1">IFERROR(__xludf.DUMMYFUNCTION("""COMPUTED_VALUE"""),"Earth and Environmental Science")</f>
        <v>Earth and Environmental Science</v>
      </c>
      <c r="L811" s="1" t="str">
        <f ca="1">IFERROR(__xludf.DUMMYFUNCTION("""COMPUTED_VALUE"""),"〇")</f>
        <v>〇</v>
      </c>
      <c r="M811" s="1"/>
      <c r="N811" s="1" t="str">
        <f ca="1">IFERROR(__xludf.DUMMYFUNCTION("""COMPUTED_VALUE"""),"TO11")</f>
        <v>TO11</v>
      </c>
      <c r="O811" s="1"/>
      <c r="P811" s="1"/>
    </row>
    <row r="812" spans="1:16" ht="14.25" customHeight="1" x14ac:dyDescent="0.25">
      <c r="A812" s="1"/>
      <c r="B812" s="1">
        <f ca="1"/>
        <v>800</v>
      </c>
      <c r="C812" s="1">
        <f ca="1">IFERROR(__xludf.DUMMYFUNCTION("""COMPUTED_VALUE"""),2023)</f>
        <v>2023</v>
      </c>
      <c r="D812" s="1">
        <f ca="1">IFERROR(__xludf.DUMMYFUNCTION("""COMPUTED_VALUE"""),12371)</f>
        <v>12371</v>
      </c>
      <c r="E812" s="1" t="str">
        <f ca="1">IFERROR(__xludf.DUMMYFUNCTION("""COMPUTED_VALUE"""),"Geoheritage")</f>
        <v>Geoheritage</v>
      </c>
      <c r="F812" s="1" t="str">
        <f ca="1">IFERROR(__xludf.DUMMYFUNCTION("""COMPUTED_VALUE"""),"1867-2485")</f>
        <v>1867-2485</v>
      </c>
      <c r="G812" s="1" t="str">
        <f ca="1">IFERROR(__xludf.DUMMYFUNCTION("""COMPUTED_VALUE"""),"1867-2477")</f>
        <v>1867-2477</v>
      </c>
      <c r="H812" s="27" t="str">
        <f ca="1">IFERROR(__xludf.DUMMYFUNCTION("""COMPUTED_VALUE"""),"https://link.springer.com/journal/12371")</f>
        <v>https://link.springer.com/journal/12371</v>
      </c>
      <c r="I812" s="1" t="str">
        <f ca="1">IFERROR(__xludf.DUMMYFUNCTION("""COMPUTED_VALUE"""),"Springer")</f>
        <v>Springer</v>
      </c>
      <c r="J812" s="1">
        <f ca="1">IFERROR(__xludf.DUMMYFUNCTION("""COMPUTED_VALUE"""),2009)</f>
        <v>2009</v>
      </c>
      <c r="K812" s="1" t="str">
        <f ca="1">IFERROR(__xludf.DUMMYFUNCTION("""COMPUTED_VALUE"""),"Earth and Environmental Science")</f>
        <v>Earth and Environmental Science</v>
      </c>
      <c r="L812" s="1" t="str">
        <f ca="1">IFERROR(__xludf.DUMMYFUNCTION("""COMPUTED_VALUE"""),"〇")</f>
        <v>〇</v>
      </c>
      <c r="M812" s="1" t="str">
        <f ca="1">IFERROR(__xludf.DUMMYFUNCTION("""COMPUTED_VALUE"""),"〇")</f>
        <v>〇</v>
      </c>
      <c r="N812" s="1" t="str">
        <f ca="1">IFERROR(__xludf.DUMMYFUNCTION("""COMPUTED_VALUE"""),"SNS9")</f>
        <v>SNS9</v>
      </c>
      <c r="O812" s="1"/>
      <c r="P812" s="1"/>
    </row>
    <row r="813" spans="1:16" ht="14.25" customHeight="1" x14ac:dyDescent="0.25">
      <c r="A813" s="1"/>
      <c r="B813" s="1">
        <f ca="1"/>
        <v>801</v>
      </c>
      <c r="C813" s="1">
        <f ca="1">IFERROR(__xludf.DUMMYFUNCTION("""COMPUTED_VALUE"""),2023)</f>
        <v>2023</v>
      </c>
      <c r="D813" s="1">
        <f ca="1">IFERROR(__xludf.DUMMYFUNCTION("""COMPUTED_VALUE"""),10707)</f>
        <v>10707</v>
      </c>
      <c r="E813" s="1" t="str">
        <f ca="1">IFERROR(__xludf.DUMMYFUNCTION("""COMPUTED_VALUE"""),"GeoInformatica")</f>
        <v>GeoInformatica</v>
      </c>
      <c r="F813" s="1" t="str">
        <f ca="1">IFERROR(__xludf.DUMMYFUNCTION("""COMPUTED_VALUE"""),"1573-7624")</f>
        <v>1573-7624</v>
      </c>
      <c r="G813" s="1" t="str">
        <f ca="1">IFERROR(__xludf.DUMMYFUNCTION("""COMPUTED_VALUE"""),"1384-6175")</f>
        <v>1384-6175</v>
      </c>
      <c r="H813" s="27" t="str">
        <f ca="1">IFERROR(__xludf.DUMMYFUNCTION("""COMPUTED_VALUE"""),"https://link.springer.com/journal/10707")</f>
        <v>https://link.springer.com/journal/10707</v>
      </c>
      <c r="I813" s="1" t="str">
        <f ca="1">IFERROR(__xludf.DUMMYFUNCTION("""COMPUTED_VALUE"""),"Springer")</f>
        <v>Springer</v>
      </c>
      <c r="J813" s="1">
        <f ca="1">IFERROR(__xludf.DUMMYFUNCTION("""COMPUTED_VALUE"""),2000)</f>
        <v>2000</v>
      </c>
      <c r="K813" s="1" t="str">
        <f ca="1">IFERROR(__xludf.DUMMYFUNCTION("""COMPUTED_VALUE"""),"Computer Science")</f>
        <v>Computer Science</v>
      </c>
      <c r="L813" s="1" t="str">
        <f ca="1">IFERROR(__xludf.DUMMYFUNCTION("""COMPUTED_VALUE"""),"〇")</f>
        <v>〇</v>
      </c>
      <c r="M813" s="1" t="str">
        <f ca="1">IFERROR(__xludf.DUMMYFUNCTION("""COMPUTED_VALUE"""),"〇")</f>
        <v>〇</v>
      </c>
      <c r="N813" s="1"/>
      <c r="O813" s="1"/>
      <c r="P813" s="1"/>
    </row>
    <row r="814" spans="1:16" ht="14.25" customHeight="1" x14ac:dyDescent="0.25">
      <c r="A814" s="1"/>
      <c r="B814" s="1">
        <f ca="1"/>
        <v>802</v>
      </c>
      <c r="C814" s="1">
        <f ca="1">IFERROR(__xludf.DUMMYFUNCTION("""COMPUTED_VALUE"""),2023)</f>
        <v>2023</v>
      </c>
      <c r="D814" s="1">
        <f ca="1">IFERROR(__xludf.DUMMYFUNCTION("""COMPUTED_VALUE"""),10708)</f>
        <v>10708</v>
      </c>
      <c r="E814" s="1" t="str">
        <f ca="1">IFERROR(__xludf.DUMMYFUNCTION("""COMPUTED_VALUE"""),"GeoJournal")</f>
        <v>GeoJournal</v>
      </c>
      <c r="F814" s="1" t="str">
        <f ca="1">IFERROR(__xludf.DUMMYFUNCTION("""COMPUTED_VALUE"""),"1572-9893")</f>
        <v>1572-9893</v>
      </c>
      <c r="G814" s="1" t="str">
        <f ca="1">IFERROR(__xludf.DUMMYFUNCTION("""COMPUTED_VALUE"""),"0343-2521")</f>
        <v>0343-2521</v>
      </c>
      <c r="H814" s="27" t="str">
        <f ca="1">IFERROR(__xludf.DUMMYFUNCTION("""COMPUTED_VALUE"""),"https://link.springer.com/journal/10708")</f>
        <v>https://link.springer.com/journal/10708</v>
      </c>
      <c r="I814" s="1" t="str">
        <f ca="1">IFERROR(__xludf.DUMMYFUNCTION("""COMPUTED_VALUE"""),"Springer")</f>
        <v>Springer</v>
      </c>
      <c r="J814" s="1">
        <f ca="1">IFERROR(__xludf.DUMMYFUNCTION("""COMPUTED_VALUE"""),2000)</f>
        <v>2000</v>
      </c>
      <c r="K814" s="1" t="str">
        <f ca="1">IFERROR(__xludf.DUMMYFUNCTION("""COMPUTED_VALUE"""),"Social Sciences")</f>
        <v>Social Sciences</v>
      </c>
      <c r="L814" s="1" t="str">
        <f ca="1">IFERROR(__xludf.DUMMYFUNCTION("""COMPUTED_VALUE"""),"〇")</f>
        <v>〇</v>
      </c>
      <c r="M814" s="1" t="str">
        <f ca="1">IFERROR(__xludf.DUMMYFUNCTION("""COMPUTED_VALUE"""),"〇")</f>
        <v>〇</v>
      </c>
      <c r="N814" s="1"/>
      <c r="O814" s="1"/>
      <c r="P814" s="1"/>
    </row>
    <row r="815" spans="1:16" ht="14.25" customHeight="1" x14ac:dyDescent="0.25">
      <c r="A815" s="1"/>
      <c r="B815" s="1">
        <f ca="1"/>
        <v>803</v>
      </c>
      <c r="C815" s="1">
        <f ca="1">IFERROR(__xludf.DUMMYFUNCTION("""COMPUTED_VALUE"""),2023)</f>
        <v>2023</v>
      </c>
      <c r="D815" s="1">
        <f ca="1">IFERROR(__xludf.DUMMYFUNCTION("""COMPUTED_VALUE"""),11477)</f>
        <v>11477</v>
      </c>
      <c r="E815" s="1" t="str">
        <f ca="1">IFERROR(__xludf.DUMMYFUNCTION("""COMPUTED_VALUE"""),"Geology of Ore Deposits")</f>
        <v>Geology of Ore Deposits</v>
      </c>
      <c r="F815" s="1" t="str">
        <f ca="1">IFERROR(__xludf.DUMMYFUNCTION("""COMPUTED_VALUE"""),"1555-6476")</f>
        <v>1555-6476</v>
      </c>
      <c r="G815" s="1" t="str">
        <f ca="1">IFERROR(__xludf.DUMMYFUNCTION("""COMPUTED_VALUE"""),"1075-7015")</f>
        <v>1075-7015</v>
      </c>
      <c r="H815" s="27" t="str">
        <f ca="1">IFERROR(__xludf.DUMMYFUNCTION("""COMPUTED_VALUE"""),"https://link.springer.com/journal/11477")</f>
        <v>https://link.springer.com/journal/11477</v>
      </c>
      <c r="I815" s="1" t="str">
        <f ca="1">IFERROR(__xludf.DUMMYFUNCTION("""COMPUTED_VALUE"""),"Pleiades Publishing")</f>
        <v>Pleiades Publishing</v>
      </c>
      <c r="J815" s="1">
        <f ca="1">IFERROR(__xludf.DUMMYFUNCTION("""COMPUTED_VALUE"""),2006)</f>
        <v>2006</v>
      </c>
      <c r="K815" s="1" t="str">
        <f ca="1">IFERROR(__xludf.DUMMYFUNCTION("""COMPUTED_VALUE"""),"Earth and Environmental Science")</f>
        <v>Earth and Environmental Science</v>
      </c>
      <c r="L815" s="1" t="str">
        <f ca="1">IFERROR(__xludf.DUMMYFUNCTION("""COMPUTED_VALUE"""),"〇")</f>
        <v>〇</v>
      </c>
      <c r="M815" s="1" t="str">
        <f ca="1">IFERROR(__xludf.DUMMYFUNCTION("""COMPUTED_VALUE"""),"〇")</f>
        <v>〇</v>
      </c>
      <c r="N815" s="1"/>
      <c r="O815" s="1"/>
      <c r="P815" s="1"/>
    </row>
    <row r="816" spans="1:16" ht="14.25" customHeight="1" x14ac:dyDescent="0.25">
      <c r="A816" s="1"/>
      <c r="B816" s="1">
        <f ca="1"/>
        <v>804</v>
      </c>
      <c r="C816" s="1">
        <f ca="1">IFERROR(__xludf.DUMMYFUNCTION("""COMPUTED_VALUE"""),2023)</f>
        <v>2023</v>
      </c>
      <c r="D816" s="1">
        <f ca="1">IFERROR(__xludf.DUMMYFUNCTION("""COMPUTED_VALUE"""),11478)</f>
        <v>11478</v>
      </c>
      <c r="E816" s="1" t="str">
        <f ca="1">IFERROR(__xludf.DUMMYFUNCTION("""COMPUTED_VALUE"""),"Geomagnetism and Aeronomy")</f>
        <v>Geomagnetism and Aeronomy</v>
      </c>
      <c r="F816" s="1" t="str">
        <f ca="1">IFERROR(__xludf.DUMMYFUNCTION("""COMPUTED_VALUE"""),"1555-645X")</f>
        <v>1555-645X</v>
      </c>
      <c r="G816" s="1" t="str">
        <f ca="1">IFERROR(__xludf.DUMMYFUNCTION("""COMPUTED_VALUE"""),"0016-7932")</f>
        <v>0016-7932</v>
      </c>
      <c r="H816" s="27" t="str">
        <f ca="1">IFERROR(__xludf.DUMMYFUNCTION("""COMPUTED_VALUE"""),"https://link.springer.com/journal/11478")</f>
        <v>https://link.springer.com/journal/11478</v>
      </c>
      <c r="I816" s="1" t="str">
        <f ca="1">IFERROR(__xludf.DUMMYFUNCTION("""COMPUTED_VALUE"""),"Pleiades Publishing")</f>
        <v>Pleiades Publishing</v>
      </c>
      <c r="J816" s="1">
        <f ca="1">IFERROR(__xludf.DUMMYFUNCTION("""COMPUTED_VALUE"""),2006)</f>
        <v>2006</v>
      </c>
      <c r="K816" s="1" t="str">
        <f ca="1">IFERROR(__xludf.DUMMYFUNCTION("""COMPUTED_VALUE"""),"Earth and Environmental Science")</f>
        <v>Earth and Environmental Science</v>
      </c>
      <c r="L816" s="1" t="str">
        <f ca="1">IFERROR(__xludf.DUMMYFUNCTION("""COMPUTED_VALUE"""),"〇")</f>
        <v>〇</v>
      </c>
      <c r="M816" s="1" t="str">
        <f ca="1">IFERROR(__xludf.DUMMYFUNCTION("""COMPUTED_VALUE"""),"〇")</f>
        <v>〇</v>
      </c>
      <c r="N816" s="1"/>
      <c r="O816" s="1"/>
      <c r="P816" s="1"/>
    </row>
    <row r="817" spans="1:16" ht="14.25" customHeight="1" x14ac:dyDescent="0.25">
      <c r="A817" s="1"/>
      <c r="B817" s="1">
        <f ca="1"/>
        <v>805</v>
      </c>
      <c r="C817" s="1">
        <f ca="1">IFERROR(__xludf.DUMMYFUNCTION("""COMPUTED_VALUE"""),2023)</f>
        <v>2023</v>
      </c>
      <c r="D817" s="1">
        <f ca="1">IFERROR(__xludf.DUMMYFUNCTION("""COMPUTED_VALUE"""),367)</f>
        <v>367</v>
      </c>
      <c r="E817" s="1" t="str">
        <f ca="1">IFERROR(__xludf.DUMMYFUNCTION("""COMPUTED_VALUE"""),"Geo-Marine Letters")</f>
        <v>Geo-Marine Letters</v>
      </c>
      <c r="F817" s="1" t="str">
        <f ca="1">IFERROR(__xludf.DUMMYFUNCTION("""COMPUTED_VALUE"""),"1432-1157")</f>
        <v>1432-1157</v>
      </c>
      <c r="G817" s="1" t="str">
        <f ca="1">IFERROR(__xludf.DUMMYFUNCTION("""COMPUTED_VALUE"""),"0276-0460")</f>
        <v>0276-0460</v>
      </c>
      <c r="H817" s="27" t="str">
        <f ca="1">IFERROR(__xludf.DUMMYFUNCTION("""COMPUTED_VALUE"""),"https://link.springer.com/journal/367")</f>
        <v>https://link.springer.com/journal/367</v>
      </c>
      <c r="I817" s="1" t="str">
        <f ca="1">IFERROR(__xludf.DUMMYFUNCTION("""COMPUTED_VALUE"""),"Springer")</f>
        <v>Springer</v>
      </c>
      <c r="J817" s="1">
        <f ca="1">IFERROR(__xludf.DUMMYFUNCTION("""COMPUTED_VALUE"""),2000)</f>
        <v>2000</v>
      </c>
      <c r="K817" s="1" t="str">
        <f ca="1">IFERROR(__xludf.DUMMYFUNCTION("""COMPUTED_VALUE"""),"Earth and Environmental Science")</f>
        <v>Earth and Environmental Science</v>
      </c>
      <c r="L817" s="1" t="str">
        <f ca="1">IFERROR(__xludf.DUMMYFUNCTION("""COMPUTED_VALUE"""),"〇")</f>
        <v>〇</v>
      </c>
      <c r="M817" s="1" t="str">
        <f ca="1">IFERROR(__xludf.DUMMYFUNCTION("""COMPUTED_VALUE"""),"〇")</f>
        <v>〇</v>
      </c>
      <c r="N817" s="1"/>
      <c r="O817" s="1"/>
      <c r="P817" s="1"/>
    </row>
    <row r="818" spans="1:16" ht="14.25" customHeight="1" x14ac:dyDescent="0.25">
      <c r="A818" s="1"/>
      <c r="B818" s="1">
        <f ca="1"/>
        <v>806</v>
      </c>
      <c r="C818" s="1">
        <f ca="1">IFERROR(__xludf.DUMMYFUNCTION("""COMPUTED_VALUE"""),2023)</f>
        <v>2023</v>
      </c>
      <c r="D818" s="1">
        <f ca="1">IFERROR(__xludf.DUMMYFUNCTION("""COMPUTED_VALUE"""),10711)</f>
        <v>10711</v>
      </c>
      <c r="E818" s="1" t="str">
        <f ca="1">IFERROR(__xludf.DUMMYFUNCTION("""COMPUTED_VALUE"""),"Geometriae Dedicata")</f>
        <v>Geometriae Dedicata</v>
      </c>
      <c r="F818" s="1" t="str">
        <f ca="1">IFERROR(__xludf.DUMMYFUNCTION("""COMPUTED_VALUE"""),"1572-9168")</f>
        <v>1572-9168</v>
      </c>
      <c r="G818" s="1" t="str">
        <f ca="1">IFERROR(__xludf.DUMMYFUNCTION("""COMPUTED_VALUE"""),"0046-5755")</f>
        <v>0046-5755</v>
      </c>
      <c r="H818" s="27" t="str">
        <f ca="1">IFERROR(__xludf.DUMMYFUNCTION("""COMPUTED_VALUE"""),"https://link.springer.com/journal/10711")</f>
        <v>https://link.springer.com/journal/10711</v>
      </c>
      <c r="I818" s="1" t="str">
        <f ca="1">IFERROR(__xludf.DUMMYFUNCTION("""COMPUTED_VALUE"""),"Springer")</f>
        <v>Springer</v>
      </c>
      <c r="J818" s="1">
        <f ca="1">IFERROR(__xludf.DUMMYFUNCTION("""COMPUTED_VALUE"""),2000)</f>
        <v>2000</v>
      </c>
      <c r="K818" s="1" t="str">
        <f ca="1">IFERROR(__xludf.DUMMYFUNCTION("""COMPUTED_VALUE"""),"Mathematics and Statistics")</f>
        <v>Mathematics and Statistics</v>
      </c>
      <c r="L818" s="1" t="str">
        <f ca="1">IFERROR(__xludf.DUMMYFUNCTION("""COMPUTED_VALUE"""),"〇")</f>
        <v>〇</v>
      </c>
      <c r="M818" s="1" t="str">
        <f ca="1">IFERROR(__xludf.DUMMYFUNCTION("""COMPUTED_VALUE"""),"〇")</f>
        <v>〇</v>
      </c>
      <c r="N818" s="1"/>
      <c r="O818" s="1"/>
      <c r="P818" s="1"/>
    </row>
    <row r="819" spans="1:16" ht="14.25" customHeight="1" x14ac:dyDescent="0.25">
      <c r="A819" s="1"/>
      <c r="B819" s="1">
        <f ca="1"/>
        <v>807</v>
      </c>
      <c r="C819" s="1">
        <f ca="1">IFERROR(__xludf.DUMMYFUNCTION("""COMPUTED_VALUE"""),2023)</f>
        <v>2023</v>
      </c>
      <c r="D819" s="1">
        <f ca="1">IFERROR(__xludf.DUMMYFUNCTION("""COMPUTED_VALUE"""),39)</f>
        <v>39</v>
      </c>
      <c r="E819" s="1" t="str">
        <f ca="1">IFERROR(__xludf.DUMMYFUNCTION("""COMPUTED_VALUE"""),"Geometric and Functional Analysis")</f>
        <v>Geometric and Functional Analysis</v>
      </c>
      <c r="F819" s="1" t="str">
        <f ca="1">IFERROR(__xludf.DUMMYFUNCTION("""COMPUTED_VALUE"""),"1420-8970")</f>
        <v>1420-8970</v>
      </c>
      <c r="G819" s="1" t="str">
        <f ca="1">IFERROR(__xludf.DUMMYFUNCTION("""COMPUTED_VALUE"""),"1016-443X")</f>
        <v>1016-443X</v>
      </c>
      <c r="H819" s="27" t="str">
        <f ca="1">IFERROR(__xludf.DUMMYFUNCTION("""COMPUTED_VALUE"""),"https://link.springer.com/journal/39")</f>
        <v>https://link.springer.com/journal/39</v>
      </c>
      <c r="I819" s="1" t="str">
        <f ca="1">IFERROR(__xludf.DUMMYFUNCTION("""COMPUTED_VALUE"""),"Birkhäuser")</f>
        <v>Birkhäuser</v>
      </c>
      <c r="J819" s="1">
        <f ca="1">IFERROR(__xludf.DUMMYFUNCTION("""COMPUTED_VALUE"""),2000)</f>
        <v>2000</v>
      </c>
      <c r="K819" s="1" t="str">
        <f ca="1">IFERROR(__xludf.DUMMYFUNCTION("""COMPUTED_VALUE"""),"Mathematics and Statistics")</f>
        <v>Mathematics and Statistics</v>
      </c>
      <c r="L819" s="1" t="str">
        <f ca="1">IFERROR(__xludf.DUMMYFUNCTION("""COMPUTED_VALUE"""),"〇")</f>
        <v>〇</v>
      </c>
      <c r="M819" s="1" t="str">
        <f ca="1">IFERROR(__xludf.DUMMYFUNCTION("""COMPUTED_VALUE"""),"〇")</f>
        <v>〇</v>
      </c>
      <c r="N819" s="1"/>
      <c r="O819" s="1"/>
      <c r="P819" s="1"/>
    </row>
    <row r="820" spans="1:16" ht="14.25" customHeight="1" x14ac:dyDescent="0.25">
      <c r="A820" s="1"/>
      <c r="B820" s="1">
        <f ca="1"/>
        <v>808</v>
      </c>
      <c r="C820" s="1">
        <f ca="1">IFERROR(__xludf.DUMMYFUNCTION("""COMPUTED_VALUE"""),2023)</f>
        <v>2023</v>
      </c>
      <c r="D820" s="1">
        <f ca="1">IFERROR(__xludf.DUMMYFUNCTION("""COMPUTED_VALUE"""),12303)</f>
        <v>12303</v>
      </c>
      <c r="E820" s="1" t="str">
        <f ca="1">IFERROR(__xludf.DUMMYFUNCTION("""COMPUTED_VALUE"""),"Geosciences Journal")</f>
        <v>Geosciences Journal</v>
      </c>
      <c r="F820" s="1" t="str">
        <f ca="1">IFERROR(__xludf.DUMMYFUNCTION("""COMPUTED_VALUE"""),"1598-7477")</f>
        <v>1598-7477</v>
      </c>
      <c r="G820" s="1" t="str">
        <f ca="1">IFERROR(__xludf.DUMMYFUNCTION("""COMPUTED_VALUE"""),"1226-4806")</f>
        <v>1226-4806</v>
      </c>
      <c r="H820" s="27" t="str">
        <f ca="1">IFERROR(__xludf.DUMMYFUNCTION("""COMPUTED_VALUE"""),"https://link.springer.com/journal/12303")</f>
        <v>https://link.springer.com/journal/12303</v>
      </c>
      <c r="I820" s="1" t="str">
        <f ca="1">IFERROR(__xludf.DUMMYFUNCTION("""COMPUTED_VALUE"""),"The Geological Society of Korea, co-published with Springer")</f>
        <v>The Geological Society of Korea, co-published with Springer</v>
      </c>
      <c r="J820" s="1">
        <f ca="1">IFERROR(__xludf.DUMMYFUNCTION("""COMPUTED_VALUE"""),2000)</f>
        <v>2000</v>
      </c>
      <c r="K820" s="1" t="str">
        <f ca="1">IFERROR(__xludf.DUMMYFUNCTION("""COMPUTED_VALUE"""),"Earth and Environmental Science")</f>
        <v>Earth and Environmental Science</v>
      </c>
      <c r="L820" s="1" t="str">
        <f ca="1">IFERROR(__xludf.DUMMYFUNCTION("""COMPUTED_VALUE"""),"〇")</f>
        <v>〇</v>
      </c>
      <c r="M820" s="1" t="str">
        <f ca="1">IFERROR(__xludf.DUMMYFUNCTION("""COMPUTED_VALUE"""),"〇")</f>
        <v>〇</v>
      </c>
      <c r="N820" s="1" t="str">
        <f ca="1">IFERROR(__xludf.DUMMYFUNCTION("""COMPUTED_VALUE"""),"TO8")</f>
        <v>TO8</v>
      </c>
      <c r="O820" s="1"/>
      <c r="P820" s="1"/>
    </row>
    <row r="821" spans="1:16" ht="14.25" customHeight="1" x14ac:dyDescent="0.25">
      <c r="A821" s="1"/>
      <c r="B821" s="1">
        <f ca="1"/>
        <v>809</v>
      </c>
      <c r="C821" s="1">
        <f ca="1">IFERROR(__xludf.DUMMYFUNCTION("""COMPUTED_VALUE"""),2023)</f>
        <v>2023</v>
      </c>
      <c r="D821" s="1">
        <f ca="1">IFERROR(__xludf.DUMMYFUNCTION("""COMPUTED_VALUE"""),10706)</f>
        <v>10706</v>
      </c>
      <c r="E821" s="1" t="str">
        <f ca="1">IFERROR(__xludf.DUMMYFUNCTION("""COMPUTED_VALUE"""),"Geotechnical and Geological Engineering")</f>
        <v>Geotechnical and Geological Engineering</v>
      </c>
      <c r="F821" s="1" t="str">
        <f ca="1">IFERROR(__xludf.DUMMYFUNCTION("""COMPUTED_VALUE"""),"1573-1529")</f>
        <v>1573-1529</v>
      </c>
      <c r="G821" s="1" t="str">
        <f ca="1">IFERROR(__xludf.DUMMYFUNCTION("""COMPUTED_VALUE"""),"0960-3182")</f>
        <v>0960-3182</v>
      </c>
      <c r="H821" s="27" t="str">
        <f ca="1">IFERROR(__xludf.DUMMYFUNCTION("""COMPUTED_VALUE"""),"https://link.springer.com/journal/10706")</f>
        <v>https://link.springer.com/journal/10706</v>
      </c>
      <c r="I821" s="1" t="str">
        <f ca="1">IFERROR(__xludf.DUMMYFUNCTION("""COMPUTED_VALUE"""),"Springer")</f>
        <v>Springer</v>
      </c>
      <c r="J821" s="1">
        <f ca="1">IFERROR(__xludf.DUMMYFUNCTION("""COMPUTED_VALUE"""),2000)</f>
        <v>2000</v>
      </c>
      <c r="K821" s="1" t="str">
        <f ca="1">IFERROR(__xludf.DUMMYFUNCTION("""COMPUTED_VALUE"""),"Earth and Environmental Science")</f>
        <v>Earth and Environmental Science</v>
      </c>
      <c r="L821" s="1" t="str">
        <f ca="1">IFERROR(__xludf.DUMMYFUNCTION("""COMPUTED_VALUE"""),"〇")</f>
        <v>〇</v>
      </c>
      <c r="M821" s="1" t="str">
        <f ca="1">IFERROR(__xludf.DUMMYFUNCTION("""COMPUTED_VALUE"""),"〇")</f>
        <v>〇</v>
      </c>
      <c r="N821" s="1"/>
      <c r="O821" s="1"/>
      <c r="P821" s="1"/>
    </row>
    <row r="822" spans="1:16" ht="14.25" customHeight="1" x14ac:dyDescent="0.25">
      <c r="A822" s="1"/>
      <c r="B822" s="1">
        <f ca="1"/>
        <v>810</v>
      </c>
      <c r="C822" s="1">
        <f ca="1">IFERROR(__xludf.DUMMYFUNCTION("""COMPUTED_VALUE"""),2023)</f>
        <v>2023</v>
      </c>
      <c r="D822" s="1">
        <f ca="1">IFERROR(__xludf.DUMMYFUNCTION("""COMPUTED_VALUE"""),11479)</f>
        <v>11479</v>
      </c>
      <c r="E822" s="1" t="str">
        <f ca="1">IFERROR(__xludf.DUMMYFUNCTION("""COMPUTED_VALUE"""),"Geotectonics")</f>
        <v>Geotectonics</v>
      </c>
      <c r="F822" s="1" t="str">
        <f ca="1">IFERROR(__xludf.DUMMYFUNCTION("""COMPUTED_VALUE"""),"1556-1976")</f>
        <v>1556-1976</v>
      </c>
      <c r="G822" s="1" t="str">
        <f ca="1">IFERROR(__xludf.DUMMYFUNCTION("""COMPUTED_VALUE"""),"0016-8521")</f>
        <v>0016-8521</v>
      </c>
      <c r="H822" s="27" t="str">
        <f ca="1">IFERROR(__xludf.DUMMYFUNCTION("""COMPUTED_VALUE"""),"https://link.springer.com/journal/11479")</f>
        <v>https://link.springer.com/journal/11479</v>
      </c>
      <c r="I822" s="1" t="str">
        <f ca="1">IFERROR(__xludf.DUMMYFUNCTION("""COMPUTED_VALUE"""),"Pleiades Publishing")</f>
        <v>Pleiades Publishing</v>
      </c>
      <c r="J822" s="1">
        <f ca="1">IFERROR(__xludf.DUMMYFUNCTION("""COMPUTED_VALUE"""),2006)</f>
        <v>2006</v>
      </c>
      <c r="K822" s="1" t="str">
        <f ca="1">IFERROR(__xludf.DUMMYFUNCTION("""COMPUTED_VALUE"""),"Earth and Environmental Science")</f>
        <v>Earth and Environmental Science</v>
      </c>
      <c r="L822" s="1" t="str">
        <f ca="1">IFERROR(__xludf.DUMMYFUNCTION("""COMPUTED_VALUE"""),"〇")</f>
        <v>〇</v>
      </c>
      <c r="M822" s="1" t="str">
        <f ca="1">IFERROR(__xludf.DUMMYFUNCTION("""COMPUTED_VALUE"""),"〇")</f>
        <v>〇</v>
      </c>
      <c r="N822" s="1"/>
      <c r="O822" s="1"/>
      <c r="P822" s="1"/>
    </row>
    <row r="823" spans="1:16" ht="14.25" customHeight="1" x14ac:dyDescent="0.25">
      <c r="A823" s="1"/>
      <c r="B823" s="1">
        <f ca="1"/>
        <v>811</v>
      </c>
      <c r="C823" s="1">
        <f ca="1">IFERROR(__xludf.DUMMYFUNCTION("""COMPUTED_VALUE"""),2023)</f>
        <v>2023</v>
      </c>
      <c r="D823" s="1">
        <f ca="1">IFERROR(__xludf.DUMMYFUNCTION("""COMPUTED_VALUE"""),12662)</f>
        <v>12662</v>
      </c>
      <c r="E823" s="1" t="str">
        <f ca="1">IFERROR(__xludf.DUMMYFUNCTION("""COMPUTED_VALUE"""),"German Journal of Exercise and Sport Research")</f>
        <v>German Journal of Exercise and Sport Research</v>
      </c>
      <c r="F823" s="1" t="str">
        <f ca="1">IFERROR(__xludf.DUMMYFUNCTION("""COMPUTED_VALUE"""),"2509-3150")</f>
        <v>2509-3150</v>
      </c>
      <c r="G823" s="1" t="str">
        <f ca="1">IFERROR(__xludf.DUMMYFUNCTION("""COMPUTED_VALUE"""),"2509-3142")</f>
        <v>2509-3142</v>
      </c>
      <c r="H823" s="27" t="str">
        <f ca="1">IFERROR(__xludf.DUMMYFUNCTION("""COMPUTED_VALUE"""),"https://link.springer.com/journal/12662")</f>
        <v>https://link.springer.com/journal/12662</v>
      </c>
      <c r="I823" s="1" t="str">
        <f ca="1">IFERROR(__xludf.DUMMYFUNCTION("""COMPUTED_VALUE"""),"Springer")</f>
        <v>Springer</v>
      </c>
      <c r="J823" s="1">
        <f ca="1">IFERROR(__xludf.DUMMYFUNCTION("""COMPUTED_VALUE"""),2000)</f>
        <v>2000</v>
      </c>
      <c r="K823" s="1" t="str">
        <f ca="1">IFERROR(__xludf.DUMMYFUNCTION("""COMPUTED_VALUE"""),"Biomedical and Life Sciences")</f>
        <v>Biomedical and Life Sciences</v>
      </c>
      <c r="L823" s="1" t="str">
        <f ca="1">IFERROR(__xludf.DUMMYFUNCTION("""COMPUTED_VALUE"""),"〇")</f>
        <v>〇</v>
      </c>
      <c r="M823" s="1"/>
      <c r="N823" s="1" t="str">
        <f ca="1">IFERROR(__xludf.DUMMYFUNCTION("""COMPUTED_VALUE"""),"TO9")</f>
        <v>TO9</v>
      </c>
      <c r="O823" s="1"/>
      <c r="P823" s="1"/>
    </row>
    <row r="824" spans="1:16" ht="14.25" customHeight="1" x14ac:dyDescent="0.25">
      <c r="A824" s="1"/>
      <c r="B824" s="1">
        <f ca="1"/>
        <v>812</v>
      </c>
      <c r="C824" s="1">
        <f ca="1">IFERROR(__xludf.DUMMYFUNCTION("""COMPUTED_VALUE"""),2023)</f>
        <v>2023</v>
      </c>
      <c r="D824" s="1">
        <f ca="1">IFERROR(__xludf.DUMMYFUNCTION("""COMPUTED_VALUE"""),11357)</f>
        <v>11357</v>
      </c>
      <c r="E824" s="1" t="str">
        <f ca="1">IFERROR(__xludf.DUMMYFUNCTION("""COMPUTED_VALUE"""),"GeroScience")</f>
        <v>GeroScience</v>
      </c>
      <c r="F824" s="1" t="str">
        <f ca="1">IFERROR(__xludf.DUMMYFUNCTION("""COMPUTED_VALUE"""),"2509-2723")</f>
        <v>2509-2723</v>
      </c>
      <c r="G824" s="1" t="str">
        <f ca="1">IFERROR(__xludf.DUMMYFUNCTION("""COMPUTED_VALUE"""),"2509-2715")</f>
        <v>2509-2715</v>
      </c>
      <c r="H824" s="27" t="str">
        <f ca="1">IFERROR(__xludf.DUMMYFUNCTION("""COMPUTED_VALUE"""),"https://link.springer.com/journal/11357")</f>
        <v>https://link.springer.com/journal/11357</v>
      </c>
      <c r="I824" s="1" t="str">
        <f ca="1">IFERROR(__xludf.DUMMYFUNCTION("""COMPUTED_VALUE"""),"Springer")</f>
        <v>Springer</v>
      </c>
      <c r="J824" s="1">
        <f ca="1">IFERROR(__xludf.DUMMYFUNCTION("""COMPUTED_VALUE"""),2000)</f>
        <v>2000</v>
      </c>
      <c r="K824" s="1" t="str">
        <f ca="1">IFERROR(__xludf.DUMMYFUNCTION("""COMPUTED_VALUE"""),"Biomedical and Life Sciences")</f>
        <v>Biomedical and Life Sciences</v>
      </c>
      <c r="L824" s="1" t="str">
        <f ca="1">IFERROR(__xludf.DUMMYFUNCTION("""COMPUTED_VALUE"""),"〇")</f>
        <v>〇</v>
      </c>
      <c r="M824" s="1" t="str">
        <f ca="1">IFERROR(__xludf.DUMMYFUNCTION("""COMPUTED_VALUE"""),"〇")</f>
        <v>〇</v>
      </c>
      <c r="N824" s="1"/>
      <c r="O824" s="1"/>
      <c r="P824" s="1"/>
    </row>
    <row r="825" spans="1:16" ht="14.25" customHeight="1" x14ac:dyDescent="0.25">
      <c r="A825" s="1"/>
      <c r="B825" s="1">
        <f ca="1"/>
        <v>813</v>
      </c>
      <c r="C825" s="1">
        <f ca="1">IFERROR(__xludf.DUMMYFUNCTION("""COMPUTED_VALUE"""),2023)</f>
        <v>2023</v>
      </c>
      <c r="D825" s="1">
        <f ca="1">IFERROR(__xludf.DUMMYFUNCTION("""COMPUTED_VALUE"""),10343)</f>
        <v>10343</v>
      </c>
      <c r="E825" s="1" t="str">
        <f ca="1">IFERROR(__xludf.DUMMYFUNCTION("""COMPUTED_VALUE"""),"Gesunde Pflanzen")</f>
        <v>Gesunde Pflanzen</v>
      </c>
      <c r="F825" s="1" t="str">
        <f ca="1">IFERROR(__xludf.DUMMYFUNCTION("""COMPUTED_VALUE"""),"1439-0345")</f>
        <v>1439-0345</v>
      </c>
      <c r="G825" s="1" t="str">
        <f ca="1">IFERROR(__xludf.DUMMYFUNCTION("""COMPUTED_VALUE"""),"0367-4223")</f>
        <v>0367-4223</v>
      </c>
      <c r="H825" s="27" t="str">
        <f ca="1">IFERROR(__xludf.DUMMYFUNCTION("""COMPUTED_VALUE"""),"https://link.springer.com/journal/10343")</f>
        <v>https://link.springer.com/journal/10343</v>
      </c>
      <c r="I825" s="1" t="str">
        <f ca="1">IFERROR(__xludf.DUMMYFUNCTION("""COMPUTED_VALUE"""),"Springer")</f>
        <v>Springer</v>
      </c>
      <c r="J825" s="1">
        <f ca="1">IFERROR(__xludf.DUMMYFUNCTION("""COMPUTED_VALUE"""),2002)</f>
        <v>2002</v>
      </c>
      <c r="K825" s="1" t="str">
        <f ca="1">IFERROR(__xludf.DUMMYFUNCTION("""COMPUTED_VALUE"""),"Biomedical and Life Sciences")</f>
        <v>Biomedical and Life Sciences</v>
      </c>
      <c r="L825" s="1" t="str">
        <f ca="1">IFERROR(__xludf.DUMMYFUNCTION("""COMPUTED_VALUE"""),"〇")</f>
        <v>〇</v>
      </c>
      <c r="M825" s="1" t="str">
        <f ca="1">IFERROR(__xludf.DUMMYFUNCTION("""COMPUTED_VALUE"""),"〇")</f>
        <v>〇</v>
      </c>
      <c r="N825" s="1"/>
      <c r="O825" s="1"/>
      <c r="P825" s="1"/>
    </row>
    <row r="826" spans="1:16" ht="14.25" customHeight="1" x14ac:dyDescent="0.25">
      <c r="A826" s="1"/>
      <c r="B826" s="1">
        <f ca="1"/>
        <v>814</v>
      </c>
      <c r="C826" s="1">
        <f ca="1">IFERROR(__xludf.DUMMYFUNCTION("""COMPUTED_VALUE"""),2023)</f>
        <v>2023</v>
      </c>
      <c r="D826" s="1">
        <f ca="1">IFERROR(__xludf.DUMMYFUNCTION("""COMPUTED_VALUE"""),10717)</f>
        <v>10717</v>
      </c>
      <c r="E826" s="1" t="str">
        <f ca="1">IFERROR(__xludf.DUMMYFUNCTION("""COMPUTED_VALUE"""),"Glass and Ceramics")</f>
        <v>Glass and Ceramics</v>
      </c>
      <c r="F826" s="1" t="str">
        <f ca="1">IFERROR(__xludf.DUMMYFUNCTION("""COMPUTED_VALUE"""),"1573-8515")</f>
        <v>1573-8515</v>
      </c>
      <c r="G826" s="1" t="str">
        <f ca="1">IFERROR(__xludf.DUMMYFUNCTION("""COMPUTED_VALUE"""),"0361-7610")</f>
        <v>0361-7610</v>
      </c>
      <c r="H826" s="27" t="str">
        <f ca="1">IFERROR(__xludf.DUMMYFUNCTION("""COMPUTED_VALUE"""),"https://link.springer.com/journal/10717")</f>
        <v>https://link.springer.com/journal/10717</v>
      </c>
      <c r="I826" s="1" t="str">
        <f ca="1">IFERROR(__xludf.DUMMYFUNCTION("""COMPUTED_VALUE"""),"Springer")</f>
        <v>Springer</v>
      </c>
      <c r="J826" s="1">
        <f ca="1">IFERROR(__xludf.DUMMYFUNCTION("""COMPUTED_VALUE"""),2000)</f>
        <v>2000</v>
      </c>
      <c r="K826" s="1" t="str">
        <f ca="1">IFERROR(__xludf.DUMMYFUNCTION("""COMPUTED_VALUE"""),"Chemistry and Materials Science")</f>
        <v>Chemistry and Materials Science</v>
      </c>
      <c r="L826" s="1" t="str">
        <f ca="1">IFERROR(__xludf.DUMMYFUNCTION("""COMPUTED_VALUE"""),"〇")</f>
        <v>〇</v>
      </c>
      <c r="M826" s="1" t="str">
        <f ca="1">IFERROR(__xludf.DUMMYFUNCTION("""COMPUTED_VALUE"""),"〇")</f>
        <v>〇</v>
      </c>
      <c r="N826" s="1"/>
      <c r="O826" s="1"/>
      <c r="P826" s="1"/>
    </row>
    <row r="827" spans="1:16" ht="14.25" customHeight="1" x14ac:dyDescent="0.25">
      <c r="A827" s="1"/>
      <c r="B827" s="1">
        <f ca="1"/>
        <v>815</v>
      </c>
      <c r="C827" s="1">
        <f ca="1">IFERROR(__xludf.DUMMYFUNCTION("""COMPUTED_VALUE"""),2023)</f>
        <v>2023</v>
      </c>
      <c r="D827" s="1">
        <f ca="1">IFERROR(__xludf.DUMMYFUNCTION("""COMPUTED_VALUE"""),10720)</f>
        <v>10720</v>
      </c>
      <c r="E827" s="1" t="str">
        <f ca="1">IFERROR(__xludf.DUMMYFUNCTION("""COMPUTED_VALUE"""),"Glass Physics and Chemistry")</f>
        <v>Glass Physics and Chemistry</v>
      </c>
      <c r="F827" s="1" t="str">
        <f ca="1">IFERROR(__xludf.DUMMYFUNCTION("""COMPUTED_VALUE"""),"1608-313X")</f>
        <v>1608-313X</v>
      </c>
      <c r="G827" s="1" t="str">
        <f ca="1">IFERROR(__xludf.DUMMYFUNCTION("""COMPUTED_VALUE"""),"1087-6596")</f>
        <v>1087-6596</v>
      </c>
      <c r="H827" s="27" t="str">
        <f ca="1">IFERROR(__xludf.DUMMYFUNCTION("""COMPUTED_VALUE"""),"https://link.springer.com/journal/10720")</f>
        <v>https://link.springer.com/journal/10720</v>
      </c>
      <c r="I827" s="1" t="str">
        <f ca="1">IFERROR(__xludf.DUMMYFUNCTION("""COMPUTED_VALUE"""),"Pleiades Publishing")</f>
        <v>Pleiades Publishing</v>
      </c>
      <c r="J827" s="1">
        <f ca="1">IFERROR(__xludf.DUMMYFUNCTION("""COMPUTED_VALUE"""),2000)</f>
        <v>2000</v>
      </c>
      <c r="K827" s="1" t="str">
        <f ca="1">IFERROR(__xludf.DUMMYFUNCTION("""COMPUTED_VALUE"""),"Chemistry and Materials Science")</f>
        <v>Chemistry and Materials Science</v>
      </c>
      <c r="L827" s="1" t="str">
        <f ca="1">IFERROR(__xludf.DUMMYFUNCTION("""COMPUTED_VALUE"""),"〇")</f>
        <v>〇</v>
      </c>
      <c r="M827" s="1" t="str">
        <f ca="1">IFERROR(__xludf.DUMMYFUNCTION("""COMPUTED_VALUE"""),"〇")</f>
        <v>〇</v>
      </c>
      <c r="N827" s="1"/>
      <c r="O827" s="1"/>
      <c r="P827" s="1"/>
    </row>
    <row r="828" spans="1:16" ht="14.25" customHeight="1" x14ac:dyDescent="0.25">
      <c r="A828" s="1"/>
      <c r="B828" s="1">
        <f ca="1"/>
        <v>816</v>
      </c>
      <c r="C828" s="1">
        <f ca="1">IFERROR(__xludf.DUMMYFUNCTION("""COMPUTED_VALUE"""),2023)</f>
        <v>2023</v>
      </c>
      <c r="D828" s="1">
        <f ca="1">IFERROR(__xludf.DUMMYFUNCTION("""COMPUTED_VALUE"""),40940)</f>
        <v>40940</v>
      </c>
      <c r="E828" s="1" t="str">
        <f ca="1">IFERROR(__xludf.DUMMYFUNCTION("""COMPUTED_VALUE"""),"Glass Structures &amp; Engineering")</f>
        <v>Glass Structures &amp; Engineering</v>
      </c>
      <c r="F828" s="1" t="str">
        <f ca="1">IFERROR(__xludf.DUMMYFUNCTION("""COMPUTED_VALUE"""),"2363-5150")</f>
        <v>2363-5150</v>
      </c>
      <c r="G828" s="1" t="str">
        <f ca="1">IFERROR(__xludf.DUMMYFUNCTION("""COMPUTED_VALUE"""),"2363-5142")</f>
        <v>2363-5142</v>
      </c>
      <c r="H828" s="27" t="str">
        <f ca="1">IFERROR(__xludf.DUMMYFUNCTION("""COMPUTED_VALUE"""),"https://link.springer.com/journal/40940")</f>
        <v>https://link.springer.com/journal/40940</v>
      </c>
      <c r="I828" s="1" t="str">
        <f ca="1">IFERROR(__xludf.DUMMYFUNCTION("""COMPUTED_VALUE"""),"Springer")</f>
        <v>Springer</v>
      </c>
      <c r="J828" s="1">
        <f ca="1">IFERROR(__xludf.DUMMYFUNCTION("""COMPUTED_VALUE"""),2016)</f>
        <v>2016</v>
      </c>
      <c r="K828" s="1" t="str">
        <f ca="1">IFERROR(__xludf.DUMMYFUNCTION("""COMPUTED_VALUE"""),"Engineering")</f>
        <v>Engineering</v>
      </c>
      <c r="L828" s="1" t="str">
        <f ca="1">IFERROR(__xludf.DUMMYFUNCTION("""COMPUTED_VALUE"""),"〇")</f>
        <v>〇</v>
      </c>
      <c r="M828" s="1"/>
      <c r="N828" s="1" t="str">
        <f ca="1">IFERROR(__xludf.DUMMYFUNCTION("""COMPUTED_VALUE"""),"SNS16")</f>
        <v>SNS16</v>
      </c>
      <c r="O828" s="1"/>
      <c r="P828" s="1"/>
    </row>
    <row r="829" spans="1:16" ht="14.25" customHeight="1" x14ac:dyDescent="0.25">
      <c r="A829" s="1"/>
      <c r="B829" s="1">
        <f ca="1"/>
        <v>817</v>
      </c>
      <c r="C829" s="1">
        <f ca="1">IFERROR(__xludf.DUMMYFUNCTION("""COMPUTED_VALUE"""),2023)</f>
        <v>2023</v>
      </c>
      <c r="D829" s="1">
        <f ca="1">IFERROR(__xludf.DUMMYFUNCTION("""COMPUTED_VALUE"""),43477)</f>
        <v>43477</v>
      </c>
      <c r="E829" s="1" t="str">
        <f ca="1">IFERROR(__xludf.DUMMYFUNCTION("""COMPUTED_VALUE"""),"Global Implementation Research and Applications")</f>
        <v>Global Implementation Research and Applications</v>
      </c>
      <c r="F829" s="1" t="str">
        <f ca="1">IFERROR(__xludf.DUMMYFUNCTION("""COMPUTED_VALUE"""),"2662-9275")</f>
        <v>2662-9275</v>
      </c>
      <c r="G829" s="1"/>
      <c r="H829" s="27" t="str">
        <f ca="1">IFERROR(__xludf.DUMMYFUNCTION("""COMPUTED_VALUE"""),"https://link.springer.com/journal/43477")</f>
        <v>https://link.springer.com/journal/43477</v>
      </c>
      <c r="I829" s="1" t="str">
        <f ca="1">IFERROR(__xludf.DUMMYFUNCTION("""COMPUTED_VALUE"""),"Springer")</f>
        <v>Springer</v>
      </c>
      <c r="J829" s="1">
        <f ca="1">IFERROR(__xludf.DUMMYFUNCTION("""COMPUTED_VALUE"""),2021)</f>
        <v>2021</v>
      </c>
      <c r="K829" s="1" t="str">
        <f ca="1">IFERROR(__xludf.DUMMYFUNCTION("""COMPUTED_VALUE"""),"Behavioral Science and Psychology")</f>
        <v>Behavioral Science and Psychology</v>
      </c>
      <c r="L829" s="1"/>
      <c r="M829" s="1"/>
      <c r="N829" s="1" t="str">
        <f ca="1">IFERROR(__xludf.DUMMYFUNCTION("""COMPUTED_VALUE"""),"SNS21")</f>
        <v>SNS21</v>
      </c>
      <c r="O829" s="1"/>
      <c r="P829" s="1"/>
    </row>
    <row r="830" spans="1:16" ht="14.25" customHeight="1" x14ac:dyDescent="0.25">
      <c r="A830" s="1"/>
      <c r="B830" s="1">
        <f ca="1"/>
        <v>818</v>
      </c>
      <c r="C830" s="1">
        <f ca="1">IFERROR(__xludf.DUMMYFUNCTION("""COMPUTED_VALUE"""),2023)</f>
        <v>2023</v>
      </c>
      <c r="D830" s="1">
        <f ca="1">IFERROR(__xludf.DUMMYFUNCTION("""COMPUTED_VALUE"""),40171)</f>
        <v>40171</v>
      </c>
      <c r="E830" s="1" t="str">
        <f ca="1">IFERROR(__xludf.DUMMYFUNCTION("""COMPUTED_VALUE"""),"Global Journal of Flexible Systems Management")</f>
        <v>Global Journal of Flexible Systems Management</v>
      </c>
      <c r="F830" s="1" t="str">
        <f ca="1">IFERROR(__xludf.DUMMYFUNCTION("""COMPUTED_VALUE"""),"0974-0198")</f>
        <v>0974-0198</v>
      </c>
      <c r="G830" s="1" t="str">
        <f ca="1">IFERROR(__xludf.DUMMYFUNCTION("""COMPUTED_VALUE"""),"0972-2696")</f>
        <v>0972-2696</v>
      </c>
      <c r="H830" s="27" t="str">
        <f ca="1">IFERROR(__xludf.DUMMYFUNCTION("""COMPUTED_VALUE"""),"https://link.springer.com/journal/40171")</f>
        <v>https://link.springer.com/journal/40171</v>
      </c>
      <c r="I830" s="1" t="str">
        <f ca="1">IFERROR(__xludf.DUMMYFUNCTION("""COMPUTED_VALUE"""),"Springer")</f>
        <v>Springer</v>
      </c>
      <c r="J830" s="1">
        <f ca="1">IFERROR(__xludf.DUMMYFUNCTION("""COMPUTED_VALUE"""),2007)</f>
        <v>2007</v>
      </c>
      <c r="K830" s="1" t="str">
        <f ca="1">IFERROR(__xludf.DUMMYFUNCTION("""COMPUTED_VALUE"""),"Business and Management")</f>
        <v>Business and Management</v>
      </c>
      <c r="L830" s="1" t="str">
        <f ca="1">IFERROR(__xludf.DUMMYFUNCTION("""COMPUTED_VALUE"""),"〇")</f>
        <v>〇</v>
      </c>
      <c r="M830" s="1"/>
      <c r="N830" s="1" t="str">
        <f ca="1">IFERROR(__xludf.DUMMYFUNCTION("""COMPUTED_VALUE"""),"TO12")</f>
        <v>TO12</v>
      </c>
      <c r="O830" s="1"/>
      <c r="P830" s="1"/>
    </row>
    <row r="831" spans="1:16" ht="14.25" customHeight="1" x14ac:dyDescent="0.25">
      <c r="A831" s="1"/>
      <c r="B831" s="1">
        <f ca="1"/>
        <v>819</v>
      </c>
      <c r="C831" s="1">
        <f ca="1">IFERROR(__xludf.DUMMYFUNCTION("""COMPUTED_VALUE"""),2023)</f>
        <v>2023</v>
      </c>
      <c r="D831" s="1">
        <f ca="1">IFERROR(__xludf.DUMMYFUNCTION("""COMPUTED_VALUE"""),43508)</f>
        <v>43508</v>
      </c>
      <c r="E831" s="1" t="str">
        <f ca="1">IFERROR(__xludf.DUMMYFUNCTION("""COMPUTED_VALUE"""),"Global Public Policy and Governance")</f>
        <v>Global Public Policy and Governance</v>
      </c>
      <c r="F831" s="1" t="str">
        <f ca="1">IFERROR(__xludf.DUMMYFUNCTION("""COMPUTED_VALUE"""),"2730-6305")</f>
        <v>2730-6305</v>
      </c>
      <c r="G831" s="1" t="str">
        <f ca="1">IFERROR(__xludf.DUMMYFUNCTION("""COMPUTED_VALUE"""),"2730-6291")</f>
        <v>2730-6291</v>
      </c>
      <c r="H831" s="27" t="str">
        <f ca="1">IFERROR(__xludf.DUMMYFUNCTION("""COMPUTED_VALUE"""),"https://link.springer.com/journal/43508")</f>
        <v>https://link.springer.com/journal/43508</v>
      </c>
      <c r="I831" s="1" t="str">
        <f ca="1">IFERROR(__xludf.DUMMYFUNCTION("""COMPUTED_VALUE"""),"Springer")</f>
        <v>Springer</v>
      </c>
      <c r="J831" s="1">
        <f ca="1">IFERROR(__xludf.DUMMYFUNCTION("""COMPUTED_VALUE"""),2021)</f>
        <v>2021</v>
      </c>
      <c r="K831" s="1" t="str">
        <f ca="1">IFERROR(__xludf.DUMMYFUNCTION("""COMPUTED_VALUE"""),"Political Science and International Studies")</f>
        <v>Political Science and International Studies</v>
      </c>
      <c r="L831" s="1" t="str">
        <f ca="1">IFERROR(__xludf.DUMMYFUNCTION("""COMPUTED_VALUE"""),"〇")</f>
        <v>〇</v>
      </c>
      <c r="M831" s="1"/>
      <c r="N831" s="1" t="str">
        <f ca="1">IFERROR(__xludf.DUMMYFUNCTION("""COMPUTED_VALUE"""),"SNS21")</f>
        <v>SNS21</v>
      </c>
      <c r="O831" s="1"/>
      <c r="P831" s="1"/>
    </row>
    <row r="832" spans="1:16" ht="14.25" customHeight="1" x14ac:dyDescent="0.25">
      <c r="A832" s="1"/>
      <c r="B832" s="1">
        <f ca="1"/>
        <v>820</v>
      </c>
      <c r="C832" s="1">
        <f ca="1">IFERROR(__xludf.DUMMYFUNCTION("""COMPUTED_VALUE"""),2023)</f>
        <v>2023</v>
      </c>
      <c r="D832" s="1">
        <f ca="1">IFERROR(__xludf.DUMMYFUNCTION("""COMPUTED_VALUE"""),40609)</f>
        <v>40609</v>
      </c>
      <c r="E832" s="1" t="str">
        <f ca="1">IFERROR(__xludf.DUMMYFUNCTION("""COMPUTED_VALUE"""),"Global Social Welfare")</f>
        <v>Global Social Welfare</v>
      </c>
      <c r="F832" s="1" t="str">
        <f ca="1">IFERROR(__xludf.DUMMYFUNCTION("""COMPUTED_VALUE"""),"2196-8799")</f>
        <v>2196-8799</v>
      </c>
      <c r="G832" s="1"/>
      <c r="H832" s="27" t="str">
        <f ca="1">IFERROR(__xludf.DUMMYFUNCTION("""COMPUTED_VALUE"""),"https://link.springer.com/journal/40609")</f>
        <v>https://link.springer.com/journal/40609</v>
      </c>
      <c r="I832" s="1" t="str">
        <f ca="1">IFERROR(__xludf.DUMMYFUNCTION("""COMPUTED_VALUE"""),"Springer")</f>
        <v>Springer</v>
      </c>
      <c r="J832" s="1">
        <f ca="1">IFERROR(__xludf.DUMMYFUNCTION("""COMPUTED_VALUE"""),2014)</f>
        <v>2014</v>
      </c>
      <c r="K832" s="1" t="str">
        <f ca="1">IFERROR(__xludf.DUMMYFUNCTION("""COMPUTED_VALUE"""),"Social Sciences")</f>
        <v>Social Sciences</v>
      </c>
      <c r="L832" s="1"/>
      <c r="M832" s="1"/>
      <c r="N832" s="1" t="str">
        <f ca="1">IFERROR(__xludf.DUMMYFUNCTION("""COMPUTED_VALUE"""),"SNS14")</f>
        <v>SNS14</v>
      </c>
      <c r="O832" s="1"/>
      <c r="P832" s="1"/>
    </row>
    <row r="833" spans="1:16" ht="14.25" customHeight="1" x14ac:dyDescent="0.25">
      <c r="A833" s="1"/>
      <c r="B833" s="1">
        <f ca="1"/>
        <v>821</v>
      </c>
      <c r="C833" s="1">
        <f ca="1">IFERROR(__xludf.DUMMYFUNCTION("""COMPUTED_VALUE"""),2023)</f>
        <v>2023</v>
      </c>
      <c r="D833" s="1">
        <f ca="1">IFERROR(__xludf.DUMMYFUNCTION("""COMPUTED_VALUE"""),44186)</f>
        <v>44186</v>
      </c>
      <c r="E833" s="1" t="str">
        <f ca="1">IFERROR(__xludf.DUMMYFUNCTION("""COMPUTED_VALUE"""),"Global Surgical Education - Journal of the Association for Surgical Education")</f>
        <v>Global Surgical Education - Journal of the Association for Surgical Education</v>
      </c>
      <c r="F833" s="1" t="str">
        <f ca="1">IFERROR(__xludf.DUMMYFUNCTION("""COMPUTED_VALUE"""),"2731-4588")</f>
        <v>2731-4588</v>
      </c>
      <c r="G833" s="1"/>
      <c r="H833" s="27" t="str">
        <f ca="1">IFERROR(__xludf.DUMMYFUNCTION("""COMPUTED_VALUE"""),"https://link.springer.com/journal/44186")</f>
        <v>https://link.springer.com/journal/44186</v>
      </c>
      <c r="I833" s="1" t="str">
        <f ca="1">IFERROR(__xludf.DUMMYFUNCTION("""COMPUTED_VALUE"""),"Springer")</f>
        <v>Springer</v>
      </c>
      <c r="J833" s="1">
        <f ca="1">IFERROR(__xludf.DUMMYFUNCTION("""COMPUTED_VALUE"""),2022)</f>
        <v>2022</v>
      </c>
      <c r="K833" s="1" t="str">
        <f ca="1">IFERROR(__xludf.DUMMYFUNCTION("""COMPUTED_VALUE"""),"Medicine")</f>
        <v>Medicine</v>
      </c>
      <c r="L833" s="1"/>
      <c r="M833" s="1"/>
      <c r="N833" s="1" t="str">
        <f ca="1">IFERROR(__xludf.DUMMYFUNCTION("""COMPUTED_VALUE"""),"SNS22")</f>
        <v>SNS22</v>
      </c>
      <c r="O833" s="1"/>
      <c r="P833" s="1"/>
    </row>
    <row r="834" spans="1:16" ht="14.25" customHeight="1" x14ac:dyDescent="0.25">
      <c r="A834" s="1"/>
      <c r="B834" s="1">
        <f ca="1"/>
        <v>822</v>
      </c>
      <c r="C834" s="1">
        <f ca="1">IFERROR(__xludf.DUMMYFUNCTION("""COMPUTED_VALUE"""),2023)</f>
        <v>2023</v>
      </c>
      <c r="D834" s="1">
        <f ca="1">IFERROR(__xludf.DUMMYFUNCTION("""COMPUTED_VALUE"""),10719)</f>
        <v>10719</v>
      </c>
      <c r="E834" s="1" t="str">
        <f ca="1">IFERROR(__xludf.DUMMYFUNCTION("""COMPUTED_VALUE"""),"Glycoconjugate Journal")</f>
        <v>Glycoconjugate Journal</v>
      </c>
      <c r="F834" s="1" t="str">
        <f ca="1">IFERROR(__xludf.DUMMYFUNCTION("""COMPUTED_VALUE"""),"1573-4986")</f>
        <v>1573-4986</v>
      </c>
      <c r="G834" s="1" t="str">
        <f ca="1">IFERROR(__xludf.DUMMYFUNCTION("""COMPUTED_VALUE"""),"0282-0080")</f>
        <v>0282-0080</v>
      </c>
      <c r="H834" s="27" t="str">
        <f ca="1">IFERROR(__xludf.DUMMYFUNCTION("""COMPUTED_VALUE"""),"https://link.springer.com/journal/10719")</f>
        <v>https://link.springer.com/journal/10719</v>
      </c>
      <c r="I834" s="1" t="str">
        <f ca="1">IFERROR(__xludf.DUMMYFUNCTION("""COMPUTED_VALUE"""),"Springer")</f>
        <v>Springer</v>
      </c>
      <c r="J834" s="1">
        <f ca="1">IFERROR(__xludf.DUMMYFUNCTION("""COMPUTED_VALUE"""),2000)</f>
        <v>2000</v>
      </c>
      <c r="K834" s="1" t="str">
        <f ca="1">IFERROR(__xludf.DUMMYFUNCTION("""COMPUTED_VALUE"""),"Biomedical and Life Sciences")</f>
        <v>Biomedical and Life Sciences</v>
      </c>
      <c r="L834" s="1" t="str">
        <f ca="1">IFERROR(__xludf.DUMMYFUNCTION("""COMPUTED_VALUE"""),"〇")</f>
        <v>〇</v>
      </c>
      <c r="M834" s="1" t="str">
        <f ca="1">IFERROR(__xludf.DUMMYFUNCTION("""COMPUTED_VALUE"""),"〇")</f>
        <v>〇</v>
      </c>
      <c r="N834" s="1"/>
      <c r="O834" s="1"/>
      <c r="P834" s="1"/>
    </row>
    <row r="835" spans="1:16" ht="14.25" customHeight="1" x14ac:dyDescent="0.25">
      <c r="A835" s="1"/>
      <c r="B835" s="1">
        <f ca="1"/>
        <v>823</v>
      </c>
      <c r="C835" s="1">
        <f ca="1">IFERROR(__xludf.DUMMYFUNCTION("""COMPUTED_VALUE"""),2023)</f>
        <v>2023</v>
      </c>
      <c r="D835" s="1">
        <f ca="1">IFERROR(__xludf.DUMMYFUNCTION("""COMPUTED_VALUE"""),13404)</f>
        <v>13404</v>
      </c>
      <c r="E835" s="1" t="str">
        <f ca="1">IFERROR(__xludf.DUMMYFUNCTION("""COMPUTED_VALUE"""),"Gold Bulletin")</f>
        <v>Gold Bulletin</v>
      </c>
      <c r="F835" s="1" t="str">
        <f ca="1">IFERROR(__xludf.DUMMYFUNCTION("""COMPUTED_VALUE"""),"2190-7579")</f>
        <v>2190-7579</v>
      </c>
      <c r="G835" s="1" t="str">
        <f ca="1">IFERROR(__xludf.DUMMYFUNCTION("""COMPUTED_VALUE"""),"2364-821X")</f>
        <v>2364-821X</v>
      </c>
      <c r="H835" s="27" t="str">
        <f ca="1">IFERROR(__xludf.DUMMYFUNCTION("""COMPUTED_VALUE"""),"https://link.springer.com/journal/13404")</f>
        <v>https://link.springer.com/journal/13404</v>
      </c>
      <c r="I835" s="1" t="str">
        <f ca="1">IFERROR(__xludf.DUMMYFUNCTION("""COMPUTED_VALUE"""),"Springer")</f>
        <v>Springer</v>
      </c>
      <c r="J835" s="1">
        <f ca="1">IFERROR(__xludf.DUMMYFUNCTION("""COMPUTED_VALUE"""),2000)</f>
        <v>2000</v>
      </c>
      <c r="K835" s="1" t="str">
        <f ca="1">IFERROR(__xludf.DUMMYFUNCTION("""COMPUTED_VALUE"""),"Chemistry and Materials Science")</f>
        <v>Chemistry and Materials Science</v>
      </c>
      <c r="L835" s="1" t="str">
        <f ca="1">IFERROR(__xludf.DUMMYFUNCTION("""COMPUTED_VALUE"""),"〇")</f>
        <v>〇</v>
      </c>
      <c r="M835" s="1"/>
      <c r="N835" s="1"/>
      <c r="O835" s="1"/>
      <c r="P835" s="1"/>
    </row>
    <row r="836" spans="1:16" ht="14.25" customHeight="1" x14ac:dyDescent="0.25">
      <c r="A836" s="1"/>
      <c r="B836" s="1">
        <f ca="1"/>
        <v>824</v>
      </c>
      <c r="C836" s="1">
        <f ca="1">IFERROR(__xludf.DUMMYFUNCTION("""COMPUTED_VALUE"""),2023)</f>
        <v>2023</v>
      </c>
      <c r="D836" s="1">
        <f ca="1">IFERROR(__xludf.DUMMYFUNCTION("""COMPUTED_VALUE"""),10291)</f>
        <v>10291</v>
      </c>
      <c r="E836" s="1" t="str">
        <f ca="1">IFERROR(__xludf.DUMMYFUNCTION("""COMPUTED_VALUE"""),"GPS Solutions")</f>
        <v>GPS Solutions</v>
      </c>
      <c r="F836" s="1" t="str">
        <f ca="1">IFERROR(__xludf.DUMMYFUNCTION("""COMPUTED_VALUE"""),"1521-1886")</f>
        <v>1521-1886</v>
      </c>
      <c r="G836" s="1" t="str">
        <f ca="1">IFERROR(__xludf.DUMMYFUNCTION("""COMPUTED_VALUE"""),"1080-5370")</f>
        <v>1080-5370</v>
      </c>
      <c r="H836" s="27" t="str">
        <f ca="1">IFERROR(__xludf.DUMMYFUNCTION("""COMPUTED_VALUE"""),"https://link.springer.com/journal/10291")</f>
        <v>https://link.springer.com/journal/10291</v>
      </c>
      <c r="I836" s="1" t="str">
        <f ca="1">IFERROR(__xludf.DUMMYFUNCTION("""COMPUTED_VALUE"""),"Springer")</f>
        <v>Springer</v>
      </c>
      <c r="J836" s="1">
        <f ca="1">IFERROR(__xludf.DUMMYFUNCTION("""COMPUTED_VALUE"""),2000)</f>
        <v>2000</v>
      </c>
      <c r="K836" s="1" t="str">
        <f ca="1">IFERROR(__xludf.DUMMYFUNCTION("""COMPUTED_VALUE"""),"Earth and Environmental Science")</f>
        <v>Earth and Environmental Science</v>
      </c>
      <c r="L836" s="1" t="str">
        <f ca="1">IFERROR(__xludf.DUMMYFUNCTION("""COMPUTED_VALUE"""),"〇")</f>
        <v>〇</v>
      </c>
      <c r="M836" s="1" t="str">
        <f ca="1">IFERROR(__xludf.DUMMYFUNCTION("""COMPUTED_VALUE"""),"〇")</f>
        <v>〇</v>
      </c>
      <c r="N836" s="1"/>
      <c r="O836" s="1"/>
      <c r="P836" s="1"/>
    </row>
    <row r="837" spans="1:16" ht="14.25" customHeight="1" x14ac:dyDescent="0.25">
      <c r="A837" s="1"/>
      <c r="B837" s="1">
        <f ca="1"/>
        <v>825</v>
      </c>
      <c r="C837" s="1">
        <f ca="1">IFERROR(__xludf.DUMMYFUNCTION("""COMPUTED_VALUE"""),2023)</f>
        <v>2023</v>
      </c>
      <c r="D837" s="1">
        <f ca="1">IFERROR(__xludf.DUMMYFUNCTION("""COMPUTED_VALUE"""),417)</f>
        <v>417</v>
      </c>
      <c r="E837" s="1" t="str">
        <f ca="1">IFERROR(__xludf.DUMMYFUNCTION("""COMPUTED_VALUE"""),"Graefe's Archive for Clinical and Experimental Ophthalmology")</f>
        <v>Graefe's Archive for Clinical and Experimental Ophthalmology</v>
      </c>
      <c r="F837" s="1" t="str">
        <f ca="1">IFERROR(__xludf.DUMMYFUNCTION("""COMPUTED_VALUE"""),"1435-702X")</f>
        <v>1435-702X</v>
      </c>
      <c r="G837" s="1" t="str">
        <f ca="1">IFERROR(__xludf.DUMMYFUNCTION("""COMPUTED_VALUE"""),"0721-832X")</f>
        <v>0721-832X</v>
      </c>
      <c r="H837" s="27" t="str">
        <f ca="1">IFERROR(__xludf.DUMMYFUNCTION("""COMPUTED_VALUE"""),"https://link.springer.com/journal/417")</f>
        <v>https://link.springer.com/journal/417</v>
      </c>
      <c r="I837" s="1" t="str">
        <f ca="1">IFERROR(__xludf.DUMMYFUNCTION("""COMPUTED_VALUE"""),"Springer")</f>
        <v>Springer</v>
      </c>
      <c r="J837" s="1">
        <f ca="1">IFERROR(__xludf.DUMMYFUNCTION("""COMPUTED_VALUE"""),2000)</f>
        <v>2000</v>
      </c>
      <c r="K837" s="1" t="str">
        <f ca="1">IFERROR(__xludf.DUMMYFUNCTION("""COMPUTED_VALUE"""),"Medicine")</f>
        <v>Medicine</v>
      </c>
      <c r="L837" s="1" t="str">
        <f ca="1">IFERROR(__xludf.DUMMYFUNCTION("""COMPUTED_VALUE"""),"〇")</f>
        <v>〇</v>
      </c>
      <c r="M837" s="1" t="str">
        <f ca="1">IFERROR(__xludf.DUMMYFUNCTION("""COMPUTED_VALUE"""),"〇")</f>
        <v>〇</v>
      </c>
      <c r="N837" s="1"/>
      <c r="O837" s="1"/>
      <c r="P837" s="1"/>
    </row>
    <row r="838" spans="1:16" ht="14.25" customHeight="1" x14ac:dyDescent="0.25">
      <c r="A838" s="1"/>
      <c r="B838" s="1">
        <f ca="1"/>
        <v>826</v>
      </c>
      <c r="C838" s="1">
        <f ca="1">IFERROR(__xludf.DUMMYFUNCTION("""COMPUTED_VALUE"""),2023)</f>
        <v>2023</v>
      </c>
      <c r="D838" s="1">
        <f ca="1">IFERROR(__xludf.DUMMYFUNCTION("""COMPUTED_VALUE"""),41066)</f>
        <v>41066</v>
      </c>
      <c r="E838" s="1" t="str">
        <f ca="1">IFERROR(__xludf.DUMMYFUNCTION("""COMPUTED_VALUE"""),"Granular Computing")</f>
        <v>Granular Computing</v>
      </c>
      <c r="F838" s="1" t="str">
        <f ca="1">IFERROR(__xludf.DUMMYFUNCTION("""COMPUTED_VALUE"""),"2364-4974")</f>
        <v>2364-4974</v>
      </c>
      <c r="G838" s="1" t="str">
        <f ca="1">IFERROR(__xludf.DUMMYFUNCTION("""COMPUTED_VALUE"""),"2364-4966")</f>
        <v>2364-4966</v>
      </c>
      <c r="H838" s="27" t="str">
        <f ca="1">IFERROR(__xludf.DUMMYFUNCTION("""COMPUTED_VALUE"""),"https://link.springer.com/journal/41066")</f>
        <v>https://link.springer.com/journal/41066</v>
      </c>
      <c r="I838" s="1" t="str">
        <f ca="1">IFERROR(__xludf.DUMMYFUNCTION("""COMPUTED_VALUE"""),"Springer")</f>
        <v>Springer</v>
      </c>
      <c r="J838" s="1">
        <f ca="1">IFERROR(__xludf.DUMMYFUNCTION("""COMPUTED_VALUE"""),2016)</f>
        <v>2016</v>
      </c>
      <c r="K838" s="1" t="str">
        <f ca="1">IFERROR(__xludf.DUMMYFUNCTION("""COMPUTED_VALUE"""),"Engineering")</f>
        <v>Engineering</v>
      </c>
      <c r="L838" s="1" t="str">
        <f ca="1">IFERROR(__xludf.DUMMYFUNCTION("""COMPUTED_VALUE"""),"〇")</f>
        <v>〇</v>
      </c>
      <c r="M838" s="1"/>
      <c r="N838" s="1" t="str">
        <f ca="1">IFERROR(__xludf.DUMMYFUNCTION("""COMPUTED_VALUE"""),"SNS16")</f>
        <v>SNS16</v>
      </c>
      <c r="O838" s="1"/>
      <c r="P838" s="1"/>
    </row>
    <row r="839" spans="1:16" ht="14.25" customHeight="1" x14ac:dyDescent="0.25">
      <c r="A839" s="1"/>
      <c r="B839" s="1">
        <f ca="1"/>
        <v>827</v>
      </c>
      <c r="C839" s="1">
        <f ca="1">IFERROR(__xludf.DUMMYFUNCTION("""COMPUTED_VALUE"""),2023)</f>
        <v>2023</v>
      </c>
      <c r="D839" s="1">
        <f ca="1">IFERROR(__xludf.DUMMYFUNCTION("""COMPUTED_VALUE"""),10035)</f>
        <v>10035</v>
      </c>
      <c r="E839" s="1" t="str">
        <f ca="1">IFERROR(__xludf.DUMMYFUNCTION("""COMPUTED_VALUE"""),"Granular Matter")</f>
        <v>Granular Matter</v>
      </c>
      <c r="F839" s="1" t="str">
        <f ca="1">IFERROR(__xludf.DUMMYFUNCTION("""COMPUTED_VALUE"""),"1434-7636")</f>
        <v>1434-7636</v>
      </c>
      <c r="G839" s="1" t="str">
        <f ca="1">IFERROR(__xludf.DUMMYFUNCTION("""COMPUTED_VALUE"""),"1434-5021")</f>
        <v>1434-5021</v>
      </c>
      <c r="H839" s="27" t="str">
        <f ca="1">IFERROR(__xludf.DUMMYFUNCTION("""COMPUTED_VALUE"""),"https://link.springer.com/journal/10035")</f>
        <v>https://link.springer.com/journal/10035</v>
      </c>
      <c r="I839" s="1" t="str">
        <f ca="1">IFERROR(__xludf.DUMMYFUNCTION("""COMPUTED_VALUE"""),"Springer")</f>
        <v>Springer</v>
      </c>
      <c r="J839" s="1">
        <f ca="1">IFERROR(__xludf.DUMMYFUNCTION("""COMPUTED_VALUE"""),2000)</f>
        <v>2000</v>
      </c>
      <c r="K839" s="1" t="str">
        <f ca="1">IFERROR(__xludf.DUMMYFUNCTION("""COMPUTED_VALUE"""),"Physics and Astronomy")</f>
        <v>Physics and Astronomy</v>
      </c>
      <c r="L839" s="1" t="str">
        <f ca="1">IFERROR(__xludf.DUMMYFUNCTION("""COMPUTED_VALUE"""),"〇")</f>
        <v>〇</v>
      </c>
      <c r="M839" s="1" t="str">
        <f ca="1">IFERROR(__xludf.DUMMYFUNCTION("""COMPUTED_VALUE"""),"〇")</f>
        <v>〇</v>
      </c>
      <c r="N839" s="1"/>
      <c r="O839" s="1"/>
      <c r="P839" s="1"/>
    </row>
    <row r="840" spans="1:16" ht="14.25" customHeight="1" x14ac:dyDescent="0.25">
      <c r="A840" s="1"/>
      <c r="B840" s="1">
        <f ca="1"/>
        <v>828</v>
      </c>
      <c r="C840" s="1">
        <f ca="1">IFERROR(__xludf.DUMMYFUNCTION("""COMPUTED_VALUE"""),2023)</f>
        <v>2023</v>
      </c>
      <c r="D840" s="1">
        <f ca="1">IFERROR(__xludf.DUMMYFUNCTION("""COMPUTED_VALUE"""),41127)</f>
        <v>41127</v>
      </c>
      <c r="E840" s="1" t="str">
        <f ca="1">IFERROR(__xludf.DUMMYFUNCTION("""COMPUTED_VALUE"""),"Graphene and 2D Materials")</f>
        <v>Graphene and 2D Materials</v>
      </c>
      <c r="F840" s="1" t="str">
        <f ca="1">IFERROR(__xludf.DUMMYFUNCTION("""COMPUTED_VALUE"""),"2731-6513")</f>
        <v>2731-6513</v>
      </c>
      <c r="G840" s="1" t="str">
        <f ca="1">IFERROR(__xludf.DUMMYFUNCTION("""COMPUTED_VALUE"""),"2731-6505")</f>
        <v>2731-6505</v>
      </c>
      <c r="H840" s="27" t="str">
        <f ca="1">IFERROR(__xludf.DUMMYFUNCTION("""COMPUTED_VALUE"""),"https://link.springer.com/journal/41127")</f>
        <v>https://link.springer.com/journal/41127</v>
      </c>
      <c r="I840" s="1" t="str">
        <f ca="1">IFERROR(__xludf.DUMMYFUNCTION("""COMPUTED_VALUE"""),"Springer")</f>
        <v>Springer</v>
      </c>
      <c r="J840" s="1">
        <f ca="1">IFERROR(__xludf.DUMMYFUNCTION("""COMPUTED_VALUE"""),2016)</f>
        <v>2016</v>
      </c>
      <c r="K840" s="1" t="str">
        <f ca="1">IFERROR(__xludf.DUMMYFUNCTION("""COMPUTED_VALUE"""),"Chemistry and Materials Science")</f>
        <v>Chemistry and Materials Science</v>
      </c>
      <c r="L840" s="1" t="str">
        <f ca="1">IFERROR(__xludf.DUMMYFUNCTION("""COMPUTED_VALUE"""),"〇")</f>
        <v>〇</v>
      </c>
      <c r="M840" s="1"/>
      <c r="N840" s="1" t="str">
        <f ca="1">IFERROR(__xludf.DUMMYFUNCTION("""COMPUTED_VALUE"""),"SNS16")</f>
        <v>SNS16</v>
      </c>
      <c r="O840" s="1"/>
      <c r="P840" s="1"/>
    </row>
    <row r="841" spans="1:16" ht="14.25" customHeight="1" x14ac:dyDescent="0.25">
      <c r="A841" s="1"/>
      <c r="B841" s="1">
        <f ca="1"/>
        <v>829</v>
      </c>
      <c r="C841" s="1">
        <f ca="1">IFERROR(__xludf.DUMMYFUNCTION("""COMPUTED_VALUE"""),2023)</f>
        <v>2023</v>
      </c>
      <c r="D841" s="1">
        <f ca="1">IFERROR(__xludf.DUMMYFUNCTION("""COMPUTED_VALUE"""),373)</f>
        <v>373</v>
      </c>
      <c r="E841" s="1" t="str">
        <f ca="1">IFERROR(__xludf.DUMMYFUNCTION("""COMPUTED_VALUE"""),"Graphs and Combinatorics")</f>
        <v>Graphs and Combinatorics</v>
      </c>
      <c r="F841" s="1" t="str">
        <f ca="1">IFERROR(__xludf.DUMMYFUNCTION("""COMPUTED_VALUE"""),"1435-5914")</f>
        <v>1435-5914</v>
      </c>
      <c r="G841" s="1" t="str">
        <f ca="1">IFERROR(__xludf.DUMMYFUNCTION("""COMPUTED_VALUE"""),"0911-0119")</f>
        <v>0911-0119</v>
      </c>
      <c r="H841" s="27" t="str">
        <f ca="1">IFERROR(__xludf.DUMMYFUNCTION("""COMPUTED_VALUE"""),"https://link.springer.com/journal/373")</f>
        <v>https://link.springer.com/journal/373</v>
      </c>
      <c r="I841" s="1" t="str">
        <f ca="1">IFERROR(__xludf.DUMMYFUNCTION("""COMPUTED_VALUE"""),"Springer")</f>
        <v>Springer</v>
      </c>
      <c r="J841" s="1">
        <f ca="1">IFERROR(__xludf.DUMMYFUNCTION("""COMPUTED_VALUE"""),2000)</f>
        <v>2000</v>
      </c>
      <c r="K841" s="1" t="str">
        <f ca="1">IFERROR(__xludf.DUMMYFUNCTION("""COMPUTED_VALUE"""),"Mathematics and Statistics")</f>
        <v>Mathematics and Statistics</v>
      </c>
      <c r="L841" s="1" t="str">
        <f ca="1">IFERROR(__xludf.DUMMYFUNCTION("""COMPUTED_VALUE"""),"〇")</f>
        <v>〇</v>
      </c>
      <c r="M841" s="1" t="str">
        <f ca="1">IFERROR(__xludf.DUMMYFUNCTION("""COMPUTED_VALUE"""),"〇")</f>
        <v>〇</v>
      </c>
      <c r="N841" s="1"/>
      <c r="O841" s="1"/>
      <c r="P841" s="1"/>
    </row>
    <row r="842" spans="1:16" ht="14.25" customHeight="1" x14ac:dyDescent="0.25">
      <c r="A842" s="1"/>
      <c r="B842" s="1">
        <f ca="1"/>
        <v>830</v>
      </c>
      <c r="C842" s="1">
        <f ca="1">IFERROR(__xludf.DUMMYFUNCTION("""COMPUTED_VALUE"""),2023)</f>
        <v>2023</v>
      </c>
      <c r="D842" s="1">
        <f ca="1">IFERROR(__xludf.DUMMYFUNCTION("""COMPUTED_VALUE"""),12267)</f>
        <v>12267</v>
      </c>
      <c r="E842" s="1" t="str">
        <f ca="1">IFERROR(__xludf.DUMMYFUNCTION("""COMPUTED_VALUE"""),"Gravitation and Cosmology")</f>
        <v>Gravitation and Cosmology</v>
      </c>
      <c r="F842" s="1" t="str">
        <f ca="1">IFERROR(__xludf.DUMMYFUNCTION("""COMPUTED_VALUE"""),"1995-0721")</f>
        <v>1995-0721</v>
      </c>
      <c r="G842" s="1" t="str">
        <f ca="1">IFERROR(__xludf.DUMMYFUNCTION("""COMPUTED_VALUE"""),"0202-2893")</f>
        <v>0202-2893</v>
      </c>
      <c r="H842" s="27" t="str">
        <f ca="1">IFERROR(__xludf.DUMMYFUNCTION("""COMPUTED_VALUE"""),"https://link.springer.com/journal/12267")</f>
        <v>https://link.springer.com/journal/12267</v>
      </c>
      <c r="I842" s="1" t="str">
        <f ca="1">IFERROR(__xludf.DUMMYFUNCTION("""COMPUTED_VALUE"""),"Pleiades Publishing")</f>
        <v>Pleiades Publishing</v>
      </c>
      <c r="J842" s="1">
        <f ca="1">IFERROR(__xludf.DUMMYFUNCTION("""COMPUTED_VALUE"""),2008)</f>
        <v>2008</v>
      </c>
      <c r="K842" s="1" t="str">
        <f ca="1">IFERROR(__xludf.DUMMYFUNCTION("""COMPUTED_VALUE"""),"Physics and Astronomy")</f>
        <v>Physics and Astronomy</v>
      </c>
      <c r="L842" s="1" t="str">
        <f ca="1">IFERROR(__xludf.DUMMYFUNCTION("""COMPUTED_VALUE"""),"〇")</f>
        <v>〇</v>
      </c>
      <c r="M842" s="1" t="str">
        <f ca="1">IFERROR(__xludf.DUMMYFUNCTION("""COMPUTED_VALUE"""),"〇")</f>
        <v>〇</v>
      </c>
      <c r="N842" s="1" t="str">
        <f ca="1">IFERROR(__xludf.DUMMYFUNCTION("""COMPUTED_VALUE"""),"TO8")</f>
        <v>TO8</v>
      </c>
      <c r="O842" s="1"/>
      <c r="P842" s="1"/>
    </row>
    <row r="843" spans="1:16" ht="14.25" customHeight="1" x14ac:dyDescent="0.25">
      <c r="A843" s="1"/>
      <c r="B843" s="1">
        <f ca="1"/>
        <v>831</v>
      </c>
      <c r="C843" s="1">
        <f ca="1">IFERROR(__xludf.DUMMYFUNCTION("""COMPUTED_VALUE"""),2023)</f>
        <v>2023</v>
      </c>
      <c r="D843" s="1">
        <f ca="1">IFERROR(__xludf.DUMMYFUNCTION("""COMPUTED_VALUE"""),10726)</f>
        <v>10726</v>
      </c>
      <c r="E843" s="1" t="str">
        <f ca="1">IFERROR(__xludf.DUMMYFUNCTION("""COMPUTED_VALUE"""),"Group Decision and Negotiation")</f>
        <v>Group Decision and Negotiation</v>
      </c>
      <c r="F843" s="1" t="str">
        <f ca="1">IFERROR(__xludf.DUMMYFUNCTION("""COMPUTED_VALUE"""),"1572-9907")</f>
        <v>1572-9907</v>
      </c>
      <c r="G843" s="1" t="str">
        <f ca="1">IFERROR(__xludf.DUMMYFUNCTION("""COMPUTED_VALUE"""),"0926-2644")</f>
        <v>0926-2644</v>
      </c>
      <c r="H843" s="27" t="str">
        <f ca="1">IFERROR(__xludf.DUMMYFUNCTION("""COMPUTED_VALUE"""),"https://link.springer.com/journal/10726")</f>
        <v>https://link.springer.com/journal/10726</v>
      </c>
      <c r="I843" s="1" t="str">
        <f ca="1">IFERROR(__xludf.DUMMYFUNCTION("""COMPUTED_VALUE"""),"Springer")</f>
        <v>Springer</v>
      </c>
      <c r="J843" s="1">
        <f ca="1">IFERROR(__xludf.DUMMYFUNCTION("""COMPUTED_VALUE"""),2000)</f>
        <v>2000</v>
      </c>
      <c r="K843" s="1" t="str">
        <f ca="1">IFERROR(__xludf.DUMMYFUNCTION("""COMPUTED_VALUE"""),"Business and Management")</f>
        <v>Business and Management</v>
      </c>
      <c r="L843" s="1" t="str">
        <f ca="1">IFERROR(__xludf.DUMMYFUNCTION("""COMPUTED_VALUE"""),"〇")</f>
        <v>〇</v>
      </c>
      <c r="M843" s="1" t="str">
        <f ca="1">IFERROR(__xludf.DUMMYFUNCTION("""COMPUTED_VALUE"""),"〇")</f>
        <v>〇</v>
      </c>
      <c r="N843" s="1"/>
      <c r="O843" s="1"/>
      <c r="P843" s="1"/>
    </row>
    <row r="844" spans="1:16" ht="14.25" customHeight="1" x14ac:dyDescent="0.25">
      <c r="A844" s="1"/>
      <c r="B844" s="1">
        <f ca="1"/>
        <v>832</v>
      </c>
      <c r="C844" s="1">
        <f ca="1">IFERROR(__xludf.DUMMYFUNCTION("""COMPUTED_VALUE"""),2023)</f>
        <v>2023</v>
      </c>
      <c r="D844" s="1">
        <f ca="1">IFERROR(__xludf.DUMMYFUNCTION("""COMPUTED_VALUE"""),767)</f>
        <v>767</v>
      </c>
      <c r="E844" s="1" t="str">
        <f ca="1">IFERROR(__xludf.DUMMYFUNCTION("""COMPUTED_VALUE"""),"Grundwasser")</f>
        <v>Grundwasser</v>
      </c>
      <c r="F844" s="1" t="str">
        <f ca="1">IFERROR(__xludf.DUMMYFUNCTION("""COMPUTED_VALUE"""),"1432-1165")</f>
        <v>1432-1165</v>
      </c>
      <c r="G844" s="1" t="str">
        <f ca="1">IFERROR(__xludf.DUMMYFUNCTION("""COMPUTED_VALUE"""),"1430-483X")</f>
        <v>1430-483X</v>
      </c>
      <c r="H844" s="27" t="str">
        <f ca="1">IFERROR(__xludf.DUMMYFUNCTION("""COMPUTED_VALUE"""),"https://link.springer.com/journal/767")</f>
        <v>https://link.springer.com/journal/767</v>
      </c>
      <c r="I844" s="1" t="str">
        <f ca="1">IFERROR(__xludf.DUMMYFUNCTION("""COMPUTED_VALUE"""),"Springer")</f>
        <v>Springer</v>
      </c>
      <c r="J844" s="1">
        <f ca="1">IFERROR(__xludf.DUMMYFUNCTION("""COMPUTED_VALUE"""),2000)</f>
        <v>2000</v>
      </c>
      <c r="K844" s="1" t="str">
        <f ca="1">IFERROR(__xludf.DUMMYFUNCTION("""COMPUTED_VALUE"""),"Earth and Environmental Science")</f>
        <v>Earth and Environmental Science</v>
      </c>
      <c r="L844" s="1" t="str">
        <f ca="1">IFERROR(__xludf.DUMMYFUNCTION("""COMPUTED_VALUE"""),"〇")</f>
        <v>〇</v>
      </c>
      <c r="M844" s="1" t="str">
        <f ca="1">IFERROR(__xludf.DUMMYFUNCTION("""COMPUTED_VALUE"""),"〇")</f>
        <v>〇</v>
      </c>
      <c r="N844" s="1"/>
      <c r="O844" s="1"/>
      <c r="P844" s="1"/>
    </row>
    <row r="845" spans="1:16" ht="14.25" customHeight="1" x14ac:dyDescent="0.25">
      <c r="A845" s="1"/>
      <c r="B845" s="1">
        <f ca="1"/>
        <v>833</v>
      </c>
      <c r="C845" s="1">
        <f ca="1">IFERROR(__xludf.DUMMYFUNCTION("""COMPUTED_VALUE"""),2023)</f>
        <v>2023</v>
      </c>
      <c r="D845" s="1">
        <f ca="1">IFERROR(__xludf.DUMMYFUNCTION("""COMPUTED_VALUE"""),11612)</f>
        <v>11612</v>
      </c>
      <c r="E845" s="1" t="str">
        <f ca="1">IFERROR(__xludf.DUMMYFUNCTION("""COMPUTED_VALUE"""),"Gruppe. Interaktion. Organisation. Zeitschrift für Angewandte Organisationspsychologie (GIO)")</f>
        <v>Gruppe. Interaktion. Organisation. Zeitschrift für Angewandte Organisationspsychologie (GIO)</v>
      </c>
      <c r="F845" s="1" t="str">
        <f ca="1">IFERROR(__xludf.DUMMYFUNCTION("""COMPUTED_VALUE"""),"2366-6218")</f>
        <v>2366-6218</v>
      </c>
      <c r="G845" s="1" t="str">
        <f ca="1">IFERROR(__xludf.DUMMYFUNCTION("""COMPUTED_VALUE"""),"2366-6145")</f>
        <v>2366-6145</v>
      </c>
      <c r="H845" s="27" t="str">
        <f ca="1">IFERROR(__xludf.DUMMYFUNCTION("""COMPUTED_VALUE"""),"https://link.springer.com/journal/11612")</f>
        <v>https://link.springer.com/journal/11612</v>
      </c>
      <c r="I845" s="1" t="str">
        <f ca="1">IFERROR(__xludf.DUMMYFUNCTION("""COMPUTED_VALUE"""),"Springer")</f>
        <v>Springer</v>
      </c>
      <c r="J845" s="1">
        <f ca="1">IFERROR(__xludf.DUMMYFUNCTION("""COMPUTED_VALUE"""),2000)</f>
        <v>2000</v>
      </c>
      <c r="K845" s="1" t="str">
        <f ca="1">IFERROR(__xludf.DUMMYFUNCTION("""COMPUTED_VALUE"""),"Behavioral Science and Psychology")</f>
        <v>Behavioral Science and Psychology</v>
      </c>
      <c r="L845" s="1" t="str">
        <f ca="1">IFERROR(__xludf.DUMMYFUNCTION("""COMPUTED_VALUE"""),"〇")</f>
        <v>〇</v>
      </c>
      <c r="M845" s="1" t="str">
        <f ca="1">IFERROR(__xludf.DUMMYFUNCTION("""COMPUTED_VALUE"""),"〇")</f>
        <v>〇</v>
      </c>
      <c r="N845" s="1" t="str">
        <f ca="1">IFERROR(__xludf.DUMMYFUNCTION("""COMPUTED_VALUE"""),"SNS7")</f>
        <v>SNS7</v>
      </c>
      <c r="O845" s="1"/>
      <c r="P845" s="1"/>
    </row>
    <row r="846" spans="1:16" ht="14.25" customHeight="1" x14ac:dyDescent="0.25">
      <c r="A846" s="1"/>
      <c r="B846" s="1">
        <f ca="1"/>
        <v>834</v>
      </c>
      <c r="C846" s="1">
        <f ca="1">IFERROR(__xludf.DUMMYFUNCTION("""COMPUTED_VALUE"""),2023)</f>
        <v>2023</v>
      </c>
      <c r="D846" s="1">
        <f ca="1">IFERROR(__xludf.DUMMYFUNCTION("""COMPUTED_VALUE"""),15013)</f>
        <v>15013</v>
      </c>
      <c r="E846" s="1" t="str">
        <f ca="1">IFERROR(__xludf.DUMMYFUNCTION("""COMPUTED_VALUE"""),"gynäkologie + geburtshilfe")</f>
        <v>gynäkologie + geburtshilfe</v>
      </c>
      <c r="F846" s="1" t="str">
        <f ca="1">IFERROR(__xludf.DUMMYFUNCTION("""COMPUTED_VALUE"""),"2196-6435")</f>
        <v>2196-6435</v>
      </c>
      <c r="G846" s="1" t="str">
        <f ca="1">IFERROR(__xludf.DUMMYFUNCTION("""COMPUTED_VALUE"""),"1439-3557")</f>
        <v>1439-3557</v>
      </c>
      <c r="H846" s="27" t="str">
        <f ca="1">IFERROR(__xludf.DUMMYFUNCTION("""COMPUTED_VALUE"""),"https://link.springer.com/journal/15013")</f>
        <v>https://link.springer.com/journal/15013</v>
      </c>
      <c r="I846" s="1" t="str">
        <f ca="1">IFERROR(__xludf.DUMMYFUNCTION("""COMPUTED_VALUE"""),"SpringerMedizin")</f>
        <v>SpringerMedizin</v>
      </c>
      <c r="J846" s="1">
        <f ca="1">IFERROR(__xludf.DUMMYFUNCTION("""COMPUTED_VALUE"""),2012)</f>
        <v>2012</v>
      </c>
      <c r="K846" s="1" t="str">
        <f ca="1">IFERROR(__xludf.DUMMYFUNCTION("""COMPUTED_VALUE"""),"Medicine")</f>
        <v>Medicine</v>
      </c>
      <c r="L846" s="1" t="str">
        <f ca="1">IFERROR(__xludf.DUMMYFUNCTION("""COMPUTED_VALUE"""),"〇")</f>
        <v>〇</v>
      </c>
      <c r="M846" s="1"/>
      <c r="N846" s="1"/>
      <c r="O846" s="1"/>
      <c r="P846" s="1"/>
    </row>
    <row r="847" spans="1:16" ht="14.25" customHeight="1" x14ac:dyDescent="0.25">
      <c r="A847" s="1"/>
      <c r="B847" s="1">
        <f ca="1"/>
        <v>835</v>
      </c>
      <c r="C847" s="1">
        <f ca="1">IFERROR(__xludf.DUMMYFUNCTION("""COMPUTED_VALUE"""),2023)</f>
        <v>2023</v>
      </c>
      <c r="D847" s="1">
        <f ca="1">IFERROR(__xludf.DUMMYFUNCTION("""COMPUTED_VALUE"""),10304)</f>
        <v>10304</v>
      </c>
      <c r="E847" s="1" t="str">
        <f ca="1">IFERROR(__xludf.DUMMYFUNCTION("""COMPUTED_VALUE"""),"Gynäkologische Endokrinologie")</f>
        <v>Gynäkologische Endokrinologie</v>
      </c>
      <c r="F847" s="1" t="str">
        <f ca="1">IFERROR(__xludf.DUMMYFUNCTION("""COMPUTED_VALUE"""),"1610-2908")</f>
        <v>1610-2908</v>
      </c>
      <c r="G847" s="1" t="str">
        <f ca="1">IFERROR(__xludf.DUMMYFUNCTION("""COMPUTED_VALUE"""),"1610-2894")</f>
        <v>1610-2894</v>
      </c>
      <c r="H847" s="27" t="str">
        <f ca="1">IFERROR(__xludf.DUMMYFUNCTION("""COMPUTED_VALUE"""),"https://link.springer.com/journal/10304")</f>
        <v>https://link.springer.com/journal/10304</v>
      </c>
      <c r="I847" s="1" t="str">
        <f ca="1">IFERROR(__xludf.DUMMYFUNCTION("""COMPUTED_VALUE"""),"SpringerMedizin")</f>
        <v>SpringerMedizin</v>
      </c>
      <c r="J847" s="1">
        <f ca="1">IFERROR(__xludf.DUMMYFUNCTION("""COMPUTED_VALUE"""),2002)</f>
        <v>2002</v>
      </c>
      <c r="K847" s="1" t="str">
        <f ca="1">IFERROR(__xludf.DUMMYFUNCTION("""COMPUTED_VALUE"""),"Medicine")</f>
        <v>Medicine</v>
      </c>
      <c r="L847" s="1" t="str">
        <f ca="1">IFERROR(__xludf.DUMMYFUNCTION("""COMPUTED_VALUE"""),"〇")</f>
        <v>〇</v>
      </c>
      <c r="M847" s="1" t="str">
        <f ca="1">IFERROR(__xludf.DUMMYFUNCTION("""COMPUTED_VALUE"""),"〇")</f>
        <v>〇</v>
      </c>
      <c r="N847" s="1"/>
      <c r="O847" s="1"/>
      <c r="P847" s="1"/>
    </row>
    <row r="848" spans="1:16" ht="14.25" customHeight="1" x14ac:dyDescent="0.25">
      <c r="A848" s="1"/>
      <c r="B848" s="1">
        <f ca="1"/>
        <v>836</v>
      </c>
      <c r="C848" s="1">
        <f ca="1">IFERROR(__xludf.DUMMYFUNCTION("""COMPUTED_VALUE"""),2023)</f>
        <v>2023</v>
      </c>
      <c r="D848" s="1">
        <f ca="1">IFERROR(__xludf.DUMMYFUNCTION("""COMPUTED_VALUE"""),13140)</f>
        <v>13140</v>
      </c>
      <c r="E848" s="1" t="str">
        <f ca="1">IFERROR(__xludf.DUMMYFUNCTION("""COMPUTED_VALUE"""),"Gyroscopy and Navigation")</f>
        <v>Gyroscopy and Navigation</v>
      </c>
      <c r="F848" s="1" t="str">
        <f ca="1">IFERROR(__xludf.DUMMYFUNCTION("""COMPUTED_VALUE"""),"2075-1109")</f>
        <v>2075-1109</v>
      </c>
      <c r="G848" s="1" t="str">
        <f ca="1">IFERROR(__xludf.DUMMYFUNCTION("""COMPUTED_VALUE"""),"2075-1087")</f>
        <v>2075-1087</v>
      </c>
      <c r="H848" s="27" t="str">
        <f ca="1">IFERROR(__xludf.DUMMYFUNCTION("""COMPUTED_VALUE"""),"https://link.springer.com/journal/13140")</f>
        <v>https://link.springer.com/journal/13140</v>
      </c>
      <c r="I848" s="1" t="str">
        <f ca="1">IFERROR(__xludf.DUMMYFUNCTION("""COMPUTED_VALUE"""),"Pleiades Publishing")</f>
        <v>Pleiades Publishing</v>
      </c>
      <c r="J848" s="1">
        <f ca="1">IFERROR(__xludf.DUMMYFUNCTION("""COMPUTED_VALUE"""),2010)</f>
        <v>2010</v>
      </c>
      <c r="K848" s="1" t="str">
        <f ca="1">IFERROR(__xludf.DUMMYFUNCTION("""COMPUTED_VALUE"""),"Engineering")</f>
        <v>Engineering</v>
      </c>
      <c r="L848" s="1" t="str">
        <f ca="1">IFERROR(__xludf.DUMMYFUNCTION("""COMPUTED_VALUE"""),"〇")</f>
        <v>〇</v>
      </c>
      <c r="M848" s="1" t="str">
        <f ca="1">IFERROR(__xludf.DUMMYFUNCTION("""COMPUTED_VALUE"""),"〇")</f>
        <v>〇</v>
      </c>
      <c r="N848" s="1" t="str">
        <f ca="1">IFERROR(__xludf.DUMMYFUNCTION("""COMPUTED_VALUE"""),"SNS10")</f>
        <v>SNS10</v>
      </c>
      <c r="O848" s="1"/>
      <c r="P848" s="1"/>
    </row>
    <row r="849" spans="1:16" ht="14.25" customHeight="1" x14ac:dyDescent="0.25">
      <c r="A849" s="1"/>
      <c r="B849" s="1">
        <f ca="1"/>
        <v>837</v>
      </c>
      <c r="C849" s="1">
        <f ca="1">IFERROR(__xludf.DUMMYFUNCTION("""COMPUTED_VALUE"""),2023)</f>
        <v>2023</v>
      </c>
      <c r="D849" s="1">
        <f ca="1">IFERROR(__xludf.DUMMYFUNCTION("""COMPUTED_VALUE"""),40803)</f>
        <v>40803</v>
      </c>
      <c r="E849" s="1" t="str">
        <f ca="1">IFERROR(__xludf.DUMMYFUNCTION("""COMPUTED_VALUE"""),"Hague Journal on the Rule of Law")</f>
        <v>Hague Journal on the Rule of Law</v>
      </c>
      <c r="F849" s="1" t="str">
        <f ca="1">IFERROR(__xludf.DUMMYFUNCTION("""COMPUTED_VALUE"""),"1876-4053")</f>
        <v>1876-4053</v>
      </c>
      <c r="G849" s="1" t="str">
        <f ca="1">IFERROR(__xludf.DUMMYFUNCTION("""COMPUTED_VALUE"""),"1876-4045")</f>
        <v>1876-4045</v>
      </c>
      <c r="H849" s="27" t="str">
        <f ca="1">IFERROR(__xludf.DUMMYFUNCTION("""COMPUTED_VALUE"""),"https://link.springer.com/journal/40803")</f>
        <v>https://link.springer.com/journal/40803</v>
      </c>
      <c r="I849" s="1" t="str">
        <f ca="1">IFERROR(__xludf.DUMMYFUNCTION("""COMPUTED_VALUE"""),"Springer")</f>
        <v>Springer</v>
      </c>
      <c r="J849" s="1">
        <f ca="1">IFERROR(__xludf.DUMMYFUNCTION("""COMPUTED_VALUE"""),2009)</f>
        <v>2009</v>
      </c>
      <c r="K849" s="1" t="str">
        <f ca="1">IFERROR(__xludf.DUMMYFUNCTION("""COMPUTED_VALUE"""),"Law and Criminology")</f>
        <v>Law and Criminology</v>
      </c>
      <c r="L849" s="1" t="str">
        <f ca="1">IFERROR(__xludf.DUMMYFUNCTION("""COMPUTED_VALUE"""),"〇")</f>
        <v>〇</v>
      </c>
      <c r="M849" s="1"/>
      <c r="N849" s="1" t="str">
        <f ca="1">IFERROR(__xludf.DUMMYFUNCTION("""COMPUTED_VALUE"""),"TO15")</f>
        <v>TO15</v>
      </c>
      <c r="O849" s="1"/>
      <c r="P849" s="1"/>
    </row>
    <row r="850" spans="1:16" ht="14.25" customHeight="1" x14ac:dyDescent="0.25">
      <c r="A850" s="1"/>
      <c r="B850" s="1">
        <f ca="1"/>
        <v>838</v>
      </c>
      <c r="C850" s="1">
        <f ca="1">IFERROR(__xludf.DUMMYFUNCTION("""COMPUTED_VALUE"""),2023)</f>
        <v>2023</v>
      </c>
      <c r="D850" s="1">
        <f ca="1">IFERROR(__xludf.DUMMYFUNCTION("""COMPUTED_VALUE"""),12326)</f>
        <v>12326</v>
      </c>
      <c r="E850" s="1" t="str">
        <f ca="1">IFERROR(__xludf.DUMMYFUNCTION("""COMPUTED_VALUE"""),"hautnah")</f>
        <v>hautnah</v>
      </c>
      <c r="F850" s="1" t="str">
        <f ca="1">IFERROR(__xludf.DUMMYFUNCTION("""COMPUTED_VALUE"""),"2192-6484")</f>
        <v>2192-6484</v>
      </c>
      <c r="G850" s="1" t="str">
        <f ca="1">IFERROR(__xludf.DUMMYFUNCTION("""COMPUTED_VALUE"""),"1866-2250")</f>
        <v>1866-2250</v>
      </c>
      <c r="H850" s="27" t="str">
        <f ca="1">IFERROR(__xludf.DUMMYFUNCTION("""COMPUTED_VALUE"""),"https://link.springer.com/journal/12326")</f>
        <v>https://link.springer.com/journal/12326</v>
      </c>
      <c r="I850" s="1" t="str">
        <f ca="1">IFERROR(__xludf.DUMMYFUNCTION("""COMPUTED_VALUE"""),"SpringerMedizin")</f>
        <v>SpringerMedizin</v>
      </c>
      <c r="J850" s="1">
        <f ca="1">IFERROR(__xludf.DUMMYFUNCTION("""COMPUTED_VALUE"""),2012)</f>
        <v>2012</v>
      </c>
      <c r="K850" s="1" t="str">
        <f ca="1">IFERROR(__xludf.DUMMYFUNCTION("""COMPUTED_VALUE"""),"Medicine")</f>
        <v>Medicine</v>
      </c>
      <c r="L850" s="1" t="str">
        <f ca="1">IFERROR(__xludf.DUMMYFUNCTION("""COMPUTED_VALUE"""),"〇")</f>
        <v>〇</v>
      </c>
      <c r="M850" s="1" t="str">
        <f ca="1">IFERROR(__xludf.DUMMYFUNCTION("""COMPUTED_VALUE"""),"〇")</f>
        <v>〇</v>
      </c>
      <c r="N850" s="1"/>
      <c r="O850" s="1"/>
      <c r="P850" s="1"/>
    </row>
    <row r="851" spans="1:16" ht="14.25" customHeight="1" x14ac:dyDescent="0.25">
      <c r="A851" s="1"/>
      <c r="B851" s="1">
        <f ca="1"/>
        <v>839</v>
      </c>
      <c r="C851" s="1">
        <f ca="1">IFERROR(__xludf.DUMMYFUNCTION("""COMPUTED_VALUE"""),2023)</f>
        <v>2023</v>
      </c>
      <c r="D851" s="1">
        <f ca="1">IFERROR(__xludf.DUMMYFUNCTION("""COMPUTED_VALUE"""),15012)</f>
        <v>15012</v>
      </c>
      <c r="E851" s="1" t="str">
        <f ca="1">IFERROR(__xludf.DUMMYFUNCTION("""COMPUTED_VALUE"""),"hautnah dermatologie")</f>
        <v>hautnah dermatologie</v>
      </c>
      <c r="F851" s="1" t="str">
        <f ca="1">IFERROR(__xludf.DUMMYFUNCTION("""COMPUTED_VALUE"""),"2196-6451")</f>
        <v>2196-6451</v>
      </c>
      <c r="G851" s="1" t="str">
        <f ca="1">IFERROR(__xludf.DUMMYFUNCTION("""COMPUTED_VALUE"""),"0938-0221")</f>
        <v>0938-0221</v>
      </c>
      <c r="H851" s="27" t="str">
        <f ca="1">IFERROR(__xludf.DUMMYFUNCTION("""COMPUTED_VALUE"""),"https://link.springer.com/journal/15012")</f>
        <v>https://link.springer.com/journal/15012</v>
      </c>
      <c r="I851" s="1" t="str">
        <f ca="1">IFERROR(__xludf.DUMMYFUNCTION("""COMPUTED_VALUE"""),"SpringerMedizin")</f>
        <v>SpringerMedizin</v>
      </c>
      <c r="J851" s="1">
        <f ca="1">IFERROR(__xludf.DUMMYFUNCTION("""COMPUTED_VALUE"""),2009)</f>
        <v>2009</v>
      </c>
      <c r="K851" s="1" t="str">
        <f ca="1">IFERROR(__xludf.DUMMYFUNCTION("""COMPUTED_VALUE"""),"Medicine")</f>
        <v>Medicine</v>
      </c>
      <c r="L851" s="1" t="str">
        <f ca="1">IFERROR(__xludf.DUMMYFUNCTION("""COMPUTED_VALUE"""),"〇")</f>
        <v>〇</v>
      </c>
      <c r="M851" s="1"/>
      <c r="N851" s="1"/>
      <c r="O851" s="1"/>
      <c r="P851" s="1"/>
    </row>
    <row r="852" spans="1:16" ht="14.25" customHeight="1" x14ac:dyDescent="0.25">
      <c r="A852" s="1"/>
      <c r="B852" s="1">
        <f ca="1"/>
        <v>840</v>
      </c>
      <c r="C852" s="1">
        <f ca="1">IFERROR(__xludf.DUMMYFUNCTION("""COMPUTED_VALUE"""),2023)</f>
        <v>2023</v>
      </c>
      <c r="D852" s="1">
        <f ca="1">IFERROR(__xludf.DUMMYFUNCTION("""COMPUTED_VALUE"""),12105)</f>
        <v>12105</v>
      </c>
      <c r="E852" s="1" t="str">
        <f ca="1">IFERROR(__xludf.DUMMYFUNCTION("""COMPUTED_VALUE"""),"Head and Neck Pathology")</f>
        <v>Head and Neck Pathology</v>
      </c>
      <c r="F852" s="1" t="str">
        <f ca="1">IFERROR(__xludf.DUMMYFUNCTION("""COMPUTED_VALUE"""),"1936-0568")</f>
        <v>1936-0568</v>
      </c>
      <c r="G852" s="1"/>
      <c r="H852" s="27" t="str">
        <f ca="1">IFERROR(__xludf.DUMMYFUNCTION("""COMPUTED_VALUE"""),"https://link.springer.com/journal/12105")</f>
        <v>https://link.springer.com/journal/12105</v>
      </c>
      <c r="I852" s="1" t="str">
        <f ca="1">IFERROR(__xludf.DUMMYFUNCTION("""COMPUTED_VALUE"""),"Springer")</f>
        <v>Springer</v>
      </c>
      <c r="J852" s="1">
        <f ca="1">IFERROR(__xludf.DUMMYFUNCTION("""COMPUTED_VALUE"""),2007)</f>
        <v>2007</v>
      </c>
      <c r="K852" s="1" t="str">
        <f ca="1">IFERROR(__xludf.DUMMYFUNCTION("""COMPUTED_VALUE"""),"Medicine")</f>
        <v>Medicine</v>
      </c>
      <c r="L852" s="1"/>
      <c r="M852" s="1" t="str">
        <f ca="1">IFERROR(__xludf.DUMMYFUNCTION("""COMPUTED_VALUE"""),"〇")</f>
        <v>〇</v>
      </c>
      <c r="N852" s="1" t="str">
        <f ca="1">IFERROR(__xludf.DUMMYFUNCTION("""COMPUTED_VALUE"""),"SNS7")</f>
        <v>SNS7</v>
      </c>
      <c r="O852" s="1"/>
      <c r="P852" s="1"/>
    </row>
    <row r="853" spans="1:16" ht="14.25" customHeight="1" x14ac:dyDescent="0.25">
      <c r="A853" s="1"/>
      <c r="B853" s="1">
        <f ca="1"/>
        <v>841</v>
      </c>
      <c r="C853" s="1">
        <f ca="1">IFERROR(__xludf.DUMMYFUNCTION("""COMPUTED_VALUE"""),2023)</f>
        <v>2023</v>
      </c>
      <c r="D853" s="1">
        <f ca="1">IFERROR(__xludf.DUMMYFUNCTION("""COMPUTED_VALUE"""),12553)</f>
        <v>12553</v>
      </c>
      <c r="E853" s="1" t="str">
        <f ca="1">IFERROR(__xludf.DUMMYFUNCTION("""COMPUTED_VALUE"""),"Health and Technology")</f>
        <v>Health and Technology</v>
      </c>
      <c r="F853" s="1" t="str">
        <f ca="1">IFERROR(__xludf.DUMMYFUNCTION("""COMPUTED_VALUE"""),"2190-7196")</f>
        <v>2190-7196</v>
      </c>
      <c r="G853" s="1" t="str">
        <f ca="1">IFERROR(__xludf.DUMMYFUNCTION("""COMPUTED_VALUE"""),"2190-7188")</f>
        <v>2190-7188</v>
      </c>
      <c r="H853" s="27" t="str">
        <f ca="1">IFERROR(__xludf.DUMMYFUNCTION("""COMPUTED_VALUE"""),"https://link.springer.com/journal/12553")</f>
        <v>https://link.springer.com/journal/12553</v>
      </c>
      <c r="I853" s="1" t="str">
        <f ca="1">IFERROR(__xludf.DUMMYFUNCTION("""COMPUTED_VALUE"""),"Springer")</f>
        <v>Springer</v>
      </c>
      <c r="J853" s="1">
        <f ca="1">IFERROR(__xludf.DUMMYFUNCTION("""COMPUTED_VALUE"""),2011)</f>
        <v>2011</v>
      </c>
      <c r="K853" s="1" t="str">
        <f ca="1">IFERROR(__xludf.DUMMYFUNCTION("""COMPUTED_VALUE"""),"Engineering")</f>
        <v>Engineering</v>
      </c>
      <c r="L853" s="1" t="str">
        <f ca="1">IFERROR(__xludf.DUMMYFUNCTION("""COMPUTED_VALUE"""),"〇")</f>
        <v>〇</v>
      </c>
      <c r="M853" s="1"/>
      <c r="N853" s="1" t="str">
        <f ca="1">IFERROR(__xludf.DUMMYFUNCTION("""COMPUTED_VALUE"""),"SNS11")</f>
        <v>SNS11</v>
      </c>
      <c r="O853" s="1"/>
      <c r="P853" s="1"/>
    </row>
    <row r="854" spans="1:16" ht="14.25" customHeight="1" x14ac:dyDescent="0.25">
      <c r="A854" s="1"/>
      <c r="B854" s="1">
        <f ca="1"/>
        <v>842</v>
      </c>
      <c r="C854" s="1">
        <f ca="1">IFERROR(__xludf.DUMMYFUNCTION("""COMPUTED_VALUE"""),2023)</f>
        <v>2023</v>
      </c>
      <c r="D854" s="1">
        <f ca="1">IFERROR(__xludf.DUMMYFUNCTION("""COMPUTED_VALUE"""),10728)</f>
        <v>10728</v>
      </c>
      <c r="E854" s="1" t="str">
        <f ca="1">IFERROR(__xludf.DUMMYFUNCTION("""COMPUTED_VALUE"""),"Health Care Analysis")</f>
        <v>Health Care Analysis</v>
      </c>
      <c r="F854" s="1" t="str">
        <f ca="1">IFERROR(__xludf.DUMMYFUNCTION("""COMPUTED_VALUE"""),"1573-3394")</f>
        <v>1573-3394</v>
      </c>
      <c r="G854" s="1" t="str">
        <f ca="1">IFERROR(__xludf.DUMMYFUNCTION("""COMPUTED_VALUE"""),"1065-3058")</f>
        <v>1065-3058</v>
      </c>
      <c r="H854" s="27" t="str">
        <f ca="1">IFERROR(__xludf.DUMMYFUNCTION("""COMPUTED_VALUE"""),"https://link.springer.com/journal/10728")</f>
        <v>https://link.springer.com/journal/10728</v>
      </c>
      <c r="I854" s="1" t="str">
        <f ca="1">IFERROR(__xludf.DUMMYFUNCTION("""COMPUTED_VALUE"""),"Springer")</f>
        <v>Springer</v>
      </c>
      <c r="J854" s="1">
        <f ca="1">IFERROR(__xludf.DUMMYFUNCTION("""COMPUTED_VALUE"""),2000)</f>
        <v>2000</v>
      </c>
      <c r="K854" s="1" t="str">
        <f ca="1">IFERROR(__xludf.DUMMYFUNCTION("""COMPUTED_VALUE"""),"Medicine")</f>
        <v>Medicine</v>
      </c>
      <c r="L854" s="1" t="str">
        <f ca="1">IFERROR(__xludf.DUMMYFUNCTION("""COMPUTED_VALUE"""),"〇")</f>
        <v>〇</v>
      </c>
      <c r="M854" s="1" t="str">
        <f ca="1">IFERROR(__xludf.DUMMYFUNCTION("""COMPUTED_VALUE"""),"〇")</f>
        <v>〇</v>
      </c>
      <c r="N854" s="1"/>
      <c r="O854" s="1"/>
      <c r="P854" s="1"/>
    </row>
    <row r="855" spans="1:16" ht="14.25" customHeight="1" x14ac:dyDescent="0.25">
      <c r="A855" s="1"/>
      <c r="B855" s="1">
        <f ca="1"/>
        <v>843</v>
      </c>
      <c r="C855" s="1">
        <f ca="1">IFERROR(__xludf.DUMMYFUNCTION("""COMPUTED_VALUE"""),2023)</f>
        <v>2023</v>
      </c>
      <c r="D855" s="1">
        <f ca="1">IFERROR(__xludf.DUMMYFUNCTION("""COMPUTED_VALUE"""),10729)</f>
        <v>10729</v>
      </c>
      <c r="E855" s="1" t="str">
        <f ca="1">IFERROR(__xludf.DUMMYFUNCTION("""COMPUTED_VALUE"""),"Health Care Management Science")</f>
        <v>Health Care Management Science</v>
      </c>
      <c r="F855" s="1" t="str">
        <f ca="1">IFERROR(__xludf.DUMMYFUNCTION("""COMPUTED_VALUE"""),"1572-9389")</f>
        <v>1572-9389</v>
      </c>
      <c r="G855" s="1" t="str">
        <f ca="1">IFERROR(__xludf.DUMMYFUNCTION("""COMPUTED_VALUE"""),"1386-9620")</f>
        <v>1386-9620</v>
      </c>
      <c r="H855" s="27" t="str">
        <f ca="1">IFERROR(__xludf.DUMMYFUNCTION("""COMPUTED_VALUE"""),"https://link.springer.com/journal/10729")</f>
        <v>https://link.springer.com/journal/10729</v>
      </c>
      <c r="I855" s="1" t="str">
        <f ca="1">IFERROR(__xludf.DUMMYFUNCTION("""COMPUTED_VALUE"""),"Springer")</f>
        <v>Springer</v>
      </c>
      <c r="J855" s="1">
        <f ca="1">IFERROR(__xludf.DUMMYFUNCTION("""COMPUTED_VALUE"""),2000)</f>
        <v>2000</v>
      </c>
      <c r="K855" s="1" t="str">
        <f ca="1">IFERROR(__xludf.DUMMYFUNCTION("""COMPUTED_VALUE"""),"Business and Management")</f>
        <v>Business and Management</v>
      </c>
      <c r="L855" s="1" t="str">
        <f ca="1">IFERROR(__xludf.DUMMYFUNCTION("""COMPUTED_VALUE"""),"〇")</f>
        <v>〇</v>
      </c>
      <c r="M855" s="1" t="str">
        <f ca="1">IFERROR(__xludf.DUMMYFUNCTION("""COMPUTED_VALUE"""),"〇")</f>
        <v>〇</v>
      </c>
      <c r="N855" s="1"/>
      <c r="O855" s="1"/>
      <c r="P855" s="1"/>
    </row>
    <row r="856" spans="1:16" ht="14.25" customHeight="1" x14ac:dyDescent="0.25">
      <c r="A856" s="1"/>
      <c r="B856" s="1">
        <f ca="1"/>
        <v>844</v>
      </c>
      <c r="C856" s="1">
        <f ca="1">IFERROR(__xludf.DUMMYFUNCTION("""COMPUTED_VALUE"""),2023)</f>
        <v>2023</v>
      </c>
      <c r="D856" s="1">
        <f ca="1">IFERROR(__xludf.DUMMYFUNCTION("""COMPUTED_VALUE"""),13755)</f>
        <v>13755</v>
      </c>
      <c r="E856" s="1" t="str">
        <f ca="1">IFERROR(__xludf.DUMMYFUNCTION("""COMPUTED_VALUE"""),"Health Information Science and Systems")</f>
        <v>Health Information Science and Systems</v>
      </c>
      <c r="F856" s="1" t="str">
        <f ca="1">IFERROR(__xludf.DUMMYFUNCTION("""COMPUTED_VALUE"""),"2047-2501")</f>
        <v>2047-2501</v>
      </c>
      <c r="G856" s="1"/>
      <c r="H856" s="27" t="str">
        <f ca="1">IFERROR(__xludf.DUMMYFUNCTION("""COMPUTED_VALUE"""),"https://link.springer.com/journal/13755")</f>
        <v>https://link.springer.com/journal/13755</v>
      </c>
      <c r="I856" s="1" t="str">
        <f ca="1">IFERROR(__xludf.DUMMYFUNCTION("""COMPUTED_VALUE"""),"Springer")</f>
        <v>Springer</v>
      </c>
      <c r="J856" s="1">
        <f ca="1">IFERROR(__xludf.DUMMYFUNCTION("""COMPUTED_VALUE"""),2013)</f>
        <v>2013</v>
      </c>
      <c r="K856" s="1" t="str">
        <f ca="1">IFERROR(__xludf.DUMMYFUNCTION("""COMPUTED_VALUE"""),"Computer Science")</f>
        <v>Computer Science</v>
      </c>
      <c r="L856" s="1"/>
      <c r="M856" s="1"/>
      <c r="N856" s="1"/>
      <c r="O856" s="1"/>
      <c r="P856" s="1"/>
    </row>
    <row r="857" spans="1:16" ht="14.25" customHeight="1" x14ac:dyDescent="0.25">
      <c r="A857" s="1"/>
      <c r="B857" s="1">
        <f ca="1"/>
        <v>845</v>
      </c>
      <c r="C857" s="1">
        <f ca="1">IFERROR(__xludf.DUMMYFUNCTION("""COMPUTED_VALUE"""),2023)</f>
        <v>2023</v>
      </c>
      <c r="D857" s="1">
        <f ca="1">IFERROR(__xludf.DUMMYFUNCTION("""COMPUTED_VALUE"""),10742)</f>
        <v>10742</v>
      </c>
      <c r="E857" s="1" t="str">
        <f ca="1">IFERROR(__xludf.DUMMYFUNCTION("""COMPUTED_VALUE"""),"Health Services and Outcomes Research Methodology")</f>
        <v>Health Services and Outcomes Research Methodology</v>
      </c>
      <c r="F857" s="1" t="str">
        <f ca="1">IFERROR(__xludf.DUMMYFUNCTION("""COMPUTED_VALUE"""),"1572-9400")</f>
        <v>1572-9400</v>
      </c>
      <c r="G857" s="1" t="str">
        <f ca="1">IFERROR(__xludf.DUMMYFUNCTION("""COMPUTED_VALUE"""),"1387-3741")</f>
        <v>1387-3741</v>
      </c>
      <c r="H857" s="27" t="str">
        <f ca="1">IFERROR(__xludf.DUMMYFUNCTION("""COMPUTED_VALUE"""),"https://link.springer.com/journal/10742")</f>
        <v>https://link.springer.com/journal/10742</v>
      </c>
      <c r="I857" s="1" t="str">
        <f ca="1">IFERROR(__xludf.DUMMYFUNCTION("""COMPUTED_VALUE"""),"Springer")</f>
        <v>Springer</v>
      </c>
      <c r="J857" s="1">
        <f ca="1">IFERROR(__xludf.DUMMYFUNCTION("""COMPUTED_VALUE"""),2000)</f>
        <v>2000</v>
      </c>
      <c r="K857" s="1" t="str">
        <f ca="1">IFERROR(__xludf.DUMMYFUNCTION("""COMPUTED_VALUE"""),"Medicine")</f>
        <v>Medicine</v>
      </c>
      <c r="L857" s="1" t="str">
        <f ca="1">IFERROR(__xludf.DUMMYFUNCTION("""COMPUTED_VALUE"""),"〇")</f>
        <v>〇</v>
      </c>
      <c r="M857" s="1" t="str">
        <f ca="1">IFERROR(__xludf.DUMMYFUNCTION("""COMPUTED_VALUE"""),"〇")</f>
        <v>〇</v>
      </c>
      <c r="N857" s="1"/>
      <c r="O857" s="1"/>
      <c r="P857" s="1"/>
    </row>
    <row r="858" spans="1:16" ht="14.25" customHeight="1" x14ac:dyDescent="0.25">
      <c r="A858" s="1"/>
      <c r="B858" s="1">
        <f ca="1"/>
        <v>846</v>
      </c>
      <c r="C858" s="1">
        <f ca="1">IFERROR(__xludf.DUMMYFUNCTION("""COMPUTED_VALUE"""),2023)</f>
        <v>2023</v>
      </c>
      <c r="D858" s="1">
        <f ca="1">IFERROR(__xludf.DUMMYFUNCTION("""COMPUTED_VALUE"""),380)</f>
        <v>380</v>
      </c>
      <c r="E858" s="1" t="str">
        <f ca="1">IFERROR(__xludf.DUMMYFUNCTION("""COMPUTED_VALUE"""),"Heart and Vessels")</f>
        <v>Heart and Vessels</v>
      </c>
      <c r="F858" s="1" t="str">
        <f ca="1">IFERROR(__xludf.DUMMYFUNCTION("""COMPUTED_VALUE"""),"1615-2573")</f>
        <v>1615-2573</v>
      </c>
      <c r="G858" s="1" t="str">
        <f ca="1">IFERROR(__xludf.DUMMYFUNCTION("""COMPUTED_VALUE"""),"0910-8327")</f>
        <v>0910-8327</v>
      </c>
      <c r="H858" s="27" t="str">
        <f ca="1">IFERROR(__xludf.DUMMYFUNCTION("""COMPUTED_VALUE"""),"https://link.springer.com/journal/380")</f>
        <v>https://link.springer.com/journal/380</v>
      </c>
      <c r="I858" s="1" t="str">
        <f ca="1">IFERROR(__xludf.DUMMYFUNCTION("""COMPUTED_VALUE"""),"Springer")</f>
        <v>Springer</v>
      </c>
      <c r="J858" s="1">
        <f ca="1">IFERROR(__xludf.DUMMYFUNCTION("""COMPUTED_VALUE"""),2000)</f>
        <v>2000</v>
      </c>
      <c r="K858" s="1" t="str">
        <f ca="1">IFERROR(__xludf.DUMMYFUNCTION("""COMPUTED_VALUE"""),"Medicine")</f>
        <v>Medicine</v>
      </c>
      <c r="L858" s="1" t="str">
        <f ca="1">IFERROR(__xludf.DUMMYFUNCTION("""COMPUTED_VALUE"""),"〇")</f>
        <v>〇</v>
      </c>
      <c r="M858" s="1" t="str">
        <f ca="1">IFERROR(__xludf.DUMMYFUNCTION("""COMPUTED_VALUE"""),"〇")</f>
        <v>〇</v>
      </c>
      <c r="N858" s="1"/>
      <c r="O858" s="1"/>
      <c r="P858" s="1"/>
    </row>
    <row r="859" spans="1:16" ht="14.25" customHeight="1" x14ac:dyDescent="0.25">
      <c r="A859" s="1"/>
      <c r="B859" s="1">
        <f ca="1"/>
        <v>847</v>
      </c>
      <c r="C859" s="1">
        <f ca="1">IFERROR(__xludf.DUMMYFUNCTION("""COMPUTED_VALUE"""),2023)</f>
        <v>2023</v>
      </c>
      <c r="D859" s="1">
        <f ca="1">IFERROR(__xludf.DUMMYFUNCTION("""COMPUTED_VALUE"""),10741)</f>
        <v>10741</v>
      </c>
      <c r="E859" s="1" t="str">
        <f ca="1">IFERROR(__xludf.DUMMYFUNCTION("""COMPUTED_VALUE"""),"Heart Failure Reviews")</f>
        <v>Heart Failure Reviews</v>
      </c>
      <c r="F859" s="1" t="str">
        <f ca="1">IFERROR(__xludf.DUMMYFUNCTION("""COMPUTED_VALUE"""),"1573-7322")</f>
        <v>1573-7322</v>
      </c>
      <c r="G859" s="1"/>
      <c r="H859" s="27" t="str">
        <f ca="1">IFERROR(__xludf.DUMMYFUNCTION("""COMPUTED_VALUE"""),"https://link.springer.com/journal/10741")</f>
        <v>https://link.springer.com/journal/10741</v>
      </c>
      <c r="I859" s="1" t="str">
        <f ca="1">IFERROR(__xludf.DUMMYFUNCTION("""COMPUTED_VALUE"""),"Springer")</f>
        <v>Springer</v>
      </c>
      <c r="J859" s="1">
        <f ca="1">IFERROR(__xludf.DUMMYFUNCTION("""COMPUTED_VALUE"""),2000)</f>
        <v>2000</v>
      </c>
      <c r="K859" s="1" t="str">
        <f ca="1">IFERROR(__xludf.DUMMYFUNCTION("""COMPUTED_VALUE"""),"Medicine")</f>
        <v>Medicine</v>
      </c>
      <c r="L859" s="1"/>
      <c r="M859" s="1" t="str">
        <f ca="1">IFERROR(__xludf.DUMMYFUNCTION("""COMPUTED_VALUE"""),"〇")</f>
        <v>〇</v>
      </c>
      <c r="N859" s="1"/>
      <c r="O859" s="1"/>
      <c r="P859" s="1"/>
    </row>
    <row r="860" spans="1:16" ht="14.25" customHeight="1" x14ac:dyDescent="0.25">
      <c r="A860" s="1"/>
      <c r="B860" s="1">
        <f ca="1"/>
        <v>848</v>
      </c>
      <c r="C860" s="1">
        <f ca="1">IFERROR(__xludf.DUMMYFUNCTION("""COMPUTED_VALUE"""),2023)</f>
        <v>2023</v>
      </c>
      <c r="D860" s="1">
        <f ca="1">IFERROR(__xludf.DUMMYFUNCTION("""COMPUTED_VALUE"""),231)</f>
        <v>231</v>
      </c>
      <c r="E860" s="1" t="str">
        <f ca="1">IFERROR(__xludf.DUMMYFUNCTION("""COMPUTED_VALUE"""),"Heat and Mass Transfer")</f>
        <v>Heat and Mass Transfer</v>
      </c>
      <c r="F860" s="1" t="str">
        <f ca="1">IFERROR(__xludf.DUMMYFUNCTION("""COMPUTED_VALUE"""),"1432-1181")</f>
        <v>1432-1181</v>
      </c>
      <c r="G860" s="1" t="str">
        <f ca="1">IFERROR(__xludf.DUMMYFUNCTION("""COMPUTED_VALUE"""),"0947-7411")</f>
        <v>0947-7411</v>
      </c>
      <c r="H860" s="27" t="str">
        <f ca="1">IFERROR(__xludf.DUMMYFUNCTION("""COMPUTED_VALUE"""),"https://link.springer.com/journal/231")</f>
        <v>https://link.springer.com/journal/231</v>
      </c>
      <c r="I860" s="1" t="str">
        <f ca="1">IFERROR(__xludf.DUMMYFUNCTION("""COMPUTED_VALUE"""),"Springer")</f>
        <v>Springer</v>
      </c>
      <c r="J860" s="1">
        <f ca="1">IFERROR(__xludf.DUMMYFUNCTION("""COMPUTED_VALUE"""),2000)</f>
        <v>2000</v>
      </c>
      <c r="K860" s="1" t="str">
        <f ca="1">IFERROR(__xludf.DUMMYFUNCTION("""COMPUTED_VALUE"""),"Engineering")</f>
        <v>Engineering</v>
      </c>
      <c r="L860" s="1" t="str">
        <f ca="1">IFERROR(__xludf.DUMMYFUNCTION("""COMPUTED_VALUE"""),"〇")</f>
        <v>〇</v>
      </c>
      <c r="M860" s="1" t="str">
        <f ca="1">IFERROR(__xludf.DUMMYFUNCTION("""COMPUTED_VALUE"""),"〇")</f>
        <v>〇</v>
      </c>
      <c r="N860" s="1"/>
      <c r="O860" s="1"/>
      <c r="P860" s="1"/>
    </row>
    <row r="861" spans="1:16" ht="14.25" customHeight="1" x14ac:dyDescent="0.25">
      <c r="A861" s="1"/>
      <c r="B861" s="1">
        <f ca="1"/>
        <v>849</v>
      </c>
      <c r="C861" s="1">
        <f ca="1">IFERROR(__xludf.DUMMYFUNCTION("""COMPUTED_VALUE"""),2023)</f>
        <v>2023</v>
      </c>
      <c r="D861" s="1">
        <f ca="1">IFERROR(__xludf.DUMMYFUNCTION("""COMPUTED_VALUE"""),43877)</f>
        <v>43877</v>
      </c>
      <c r="E861" s="1" t="str">
        <f ca="1">IFERROR(__xludf.DUMMYFUNCTION("""COMPUTED_VALUE"""),"Hebammen Wissen")</f>
        <v>Hebammen Wissen</v>
      </c>
      <c r="F861" s="1" t="str">
        <f ca="1">IFERROR(__xludf.DUMMYFUNCTION("""COMPUTED_VALUE"""),"2730-7255")</f>
        <v>2730-7255</v>
      </c>
      <c r="G861" s="1" t="str">
        <f ca="1">IFERROR(__xludf.DUMMYFUNCTION("""COMPUTED_VALUE"""),"2730-7247")</f>
        <v>2730-7247</v>
      </c>
      <c r="H861" s="27" t="str">
        <f ca="1">IFERROR(__xludf.DUMMYFUNCTION("""COMPUTED_VALUE"""),"https://link.springer.com/journal/43877")</f>
        <v>https://link.springer.com/journal/43877</v>
      </c>
      <c r="I861" s="1" t="str">
        <f ca="1">IFERROR(__xludf.DUMMYFUNCTION("""COMPUTED_VALUE"""),"SpringerMedizin")</f>
        <v>SpringerMedizin</v>
      </c>
      <c r="J861" s="1">
        <f ca="1">IFERROR(__xludf.DUMMYFUNCTION("""COMPUTED_VALUE"""),2020)</f>
        <v>2020</v>
      </c>
      <c r="K861" s="1" t="str">
        <f ca="1">IFERROR(__xludf.DUMMYFUNCTION("""COMPUTED_VALUE"""),"Medicine")</f>
        <v>Medicine</v>
      </c>
      <c r="L861" s="1" t="str">
        <f ca="1">IFERROR(__xludf.DUMMYFUNCTION("""COMPUTED_VALUE"""),"〇")</f>
        <v>〇</v>
      </c>
      <c r="M861" s="1"/>
      <c r="N861" s="1" t="str">
        <f ca="1">IFERROR(__xludf.DUMMYFUNCTION("""COMPUTED_VALUE"""),"SNS21")</f>
        <v>SNS21</v>
      </c>
      <c r="O861" s="1"/>
      <c r="P861" s="1"/>
    </row>
    <row r="862" spans="1:16" ht="14.25" customHeight="1" x14ac:dyDescent="0.25">
      <c r="A862" s="1"/>
      <c r="B862" s="1">
        <f ca="1"/>
        <v>850</v>
      </c>
      <c r="C862" s="1">
        <f ca="1">IFERROR(__xludf.DUMMYFUNCTION("""COMPUTED_VALUE"""),2023)</f>
        <v>2023</v>
      </c>
      <c r="D862" s="1">
        <f ca="1">IFERROR(__xludf.DUMMYFUNCTION("""COMPUTED_VALUE"""),10730)</f>
        <v>10730</v>
      </c>
      <c r="E862" s="1" t="str">
        <f ca="1">IFERROR(__xludf.DUMMYFUNCTION("""COMPUTED_VALUE"""),"HEC Forum")</f>
        <v>HEC Forum</v>
      </c>
      <c r="F862" s="1" t="str">
        <f ca="1">IFERROR(__xludf.DUMMYFUNCTION("""COMPUTED_VALUE"""),"1572-8498")</f>
        <v>1572-8498</v>
      </c>
      <c r="G862" s="1" t="str">
        <f ca="1">IFERROR(__xludf.DUMMYFUNCTION("""COMPUTED_VALUE"""),"0956-2737")</f>
        <v>0956-2737</v>
      </c>
      <c r="H862" s="27" t="str">
        <f ca="1">IFERROR(__xludf.DUMMYFUNCTION("""COMPUTED_VALUE"""),"https://link.springer.com/journal/10730")</f>
        <v>https://link.springer.com/journal/10730</v>
      </c>
      <c r="I862" s="1" t="str">
        <f ca="1">IFERROR(__xludf.DUMMYFUNCTION("""COMPUTED_VALUE"""),"Springer")</f>
        <v>Springer</v>
      </c>
      <c r="J862" s="1">
        <f ca="1">IFERROR(__xludf.DUMMYFUNCTION("""COMPUTED_VALUE"""),2000)</f>
        <v>2000</v>
      </c>
      <c r="K862" s="1" t="str">
        <f ca="1">IFERROR(__xludf.DUMMYFUNCTION("""COMPUTED_VALUE"""),"Education")</f>
        <v>Education</v>
      </c>
      <c r="L862" s="1" t="str">
        <f ca="1">IFERROR(__xludf.DUMMYFUNCTION("""COMPUTED_VALUE"""),"〇")</f>
        <v>〇</v>
      </c>
      <c r="M862" s="1" t="str">
        <f ca="1">IFERROR(__xludf.DUMMYFUNCTION("""COMPUTED_VALUE"""),"〇")</f>
        <v>〇</v>
      </c>
      <c r="N862" s="1"/>
      <c r="O862" s="1"/>
      <c r="P862" s="1"/>
    </row>
    <row r="863" spans="1:16" ht="14.25" customHeight="1" x14ac:dyDescent="0.25">
      <c r="A863" s="1"/>
      <c r="B863" s="1">
        <f ca="1"/>
        <v>851</v>
      </c>
      <c r="C863" s="1">
        <f ca="1">IFERROR(__xludf.DUMMYFUNCTION("""COMPUTED_VALUE"""),2023)</f>
        <v>2023</v>
      </c>
      <c r="D863" s="1">
        <f ca="1">IFERROR(__xludf.DUMMYFUNCTION("""COMPUTED_VALUE"""),58)</f>
        <v>58</v>
      </c>
      <c r="E863" s="1" t="str">
        <f ca="1">IFERROR(__xludf.DUMMYFUNCTION("""COMPUTED_VALUE"""),"Heilberufe")</f>
        <v>Heilberufe</v>
      </c>
      <c r="F863" s="1" t="str">
        <f ca="1">IFERROR(__xludf.DUMMYFUNCTION("""COMPUTED_VALUE"""),"1867-1535")</f>
        <v>1867-1535</v>
      </c>
      <c r="G863" s="1" t="str">
        <f ca="1">IFERROR(__xludf.DUMMYFUNCTION("""COMPUTED_VALUE"""),"0017-9604")</f>
        <v>0017-9604</v>
      </c>
      <c r="H863" s="27" t="str">
        <f ca="1">IFERROR(__xludf.DUMMYFUNCTION("""COMPUTED_VALUE"""),"https://link.springer.com/journal/58")</f>
        <v>https://link.springer.com/journal/58</v>
      </c>
      <c r="I863" s="1" t="str">
        <f ca="1">IFERROR(__xludf.DUMMYFUNCTION("""COMPUTED_VALUE"""),"SpringerMedizin")</f>
        <v>SpringerMedizin</v>
      </c>
      <c r="J863" s="1">
        <f ca="1">IFERROR(__xludf.DUMMYFUNCTION("""COMPUTED_VALUE"""),2008)</f>
        <v>2008</v>
      </c>
      <c r="K863" s="1" t="str">
        <f ca="1">IFERROR(__xludf.DUMMYFUNCTION("""COMPUTED_VALUE"""),"Medicine")</f>
        <v>Medicine</v>
      </c>
      <c r="L863" s="1" t="str">
        <f ca="1">IFERROR(__xludf.DUMMYFUNCTION("""COMPUTED_VALUE"""),"〇")</f>
        <v>〇</v>
      </c>
      <c r="M863" s="1" t="str">
        <f ca="1">IFERROR(__xludf.DUMMYFUNCTION("""COMPUTED_VALUE"""),"〇")</f>
        <v>〇</v>
      </c>
      <c r="N863" s="1"/>
      <c r="O863" s="1"/>
      <c r="P863" s="1"/>
    </row>
    <row r="864" spans="1:16" ht="14.25" customHeight="1" x14ac:dyDescent="0.25">
      <c r="A864" s="1"/>
      <c r="B864" s="1">
        <f ca="1"/>
        <v>852</v>
      </c>
      <c r="C864" s="1">
        <f ca="1">IFERROR(__xludf.DUMMYFUNCTION("""COMPUTED_VALUE"""),2023)</f>
        <v>2023</v>
      </c>
      <c r="D864" s="1">
        <f ca="1">IFERROR(__xludf.DUMMYFUNCTION("""COMPUTED_VALUE"""),16024)</f>
        <v>16024</v>
      </c>
      <c r="E864" s="1" t="str">
        <f ca="1">IFERROR(__xludf.DUMMYFUNCTION("""COMPUTED_VALUE"""),"HeilberufeScience")</f>
        <v>HeilberufeScience</v>
      </c>
      <c r="F864" s="1" t="str">
        <f ca="1">IFERROR(__xludf.DUMMYFUNCTION("""COMPUTED_VALUE"""),"2190-2100")</f>
        <v>2190-2100</v>
      </c>
      <c r="G864" s="1"/>
      <c r="H864" s="27" t="str">
        <f ca="1">IFERROR(__xludf.DUMMYFUNCTION("""COMPUTED_VALUE"""),"https://link.springer.com/journal/16024")</f>
        <v>https://link.springer.com/journal/16024</v>
      </c>
      <c r="I864" s="1" t="str">
        <f ca="1">IFERROR(__xludf.DUMMYFUNCTION("""COMPUTED_VALUE"""),"SpringerMedizin")</f>
        <v>SpringerMedizin</v>
      </c>
      <c r="J864" s="1">
        <f ca="1">IFERROR(__xludf.DUMMYFUNCTION("""COMPUTED_VALUE"""),2010)</f>
        <v>2010</v>
      </c>
      <c r="K864" s="1" t="str">
        <f ca="1">IFERROR(__xludf.DUMMYFUNCTION("""COMPUTED_VALUE"""),"Medicine")</f>
        <v>Medicine</v>
      </c>
      <c r="L864" s="1"/>
      <c r="M864" s="1"/>
      <c r="N864" s="1" t="str">
        <f ca="1">IFERROR(__xludf.DUMMYFUNCTION("""COMPUTED_VALUE"""),"SNS10")</f>
        <v>SNS10</v>
      </c>
      <c r="O864" s="1"/>
      <c r="P864" s="1"/>
    </row>
    <row r="865" spans="1:16" ht="14.25" customHeight="1" x14ac:dyDescent="0.25">
      <c r="A865" s="1"/>
      <c r="B865" s="1">
        <f ca="1"/>
        <v>853</v>
      </c>
      <c r="C865" s="1">
        <f ca="1">IFERROR(__xludf.DUMMYFUNCTION("""COMPUTED_VALUE"""),2023)</f>
        <v>2023</v>
      </c>
      <c r="D865" s="1">
        <f ca="1">IFERROR(__xludf.DUMMYFUNCTION("""COMPUTED_VALUE"""),12072)</f>
        <v>12072</v>
      </c>
      <c r="E865" s="1" t="str">
        <f ca="1">IFERROR(__xludf.DUMMYFUNCTION("""COMPUTED_VALUE"""),"Hepatology International")</f>
        <v>Hepatology International</v>
      </c>
      <c r="F865" s="1" t="str">
        <f ca="1">IFERROR(__xludf.DUMMYFUNCTION("""COMPUTED_VALUE"""),"1936-0541")</f>
        <v>1936-0541</v>
      </c>
      <c r="G865" s="1" t="str">
        <f ca="1">IFERROR(__xludf.DUMMYFUNCTION("""COMPUTED_VALUE"""),"1936-0533")</f>
        <v>1936-0533</v>
      </c>
      <c r="H865" s="27" t="str">
        <f ca="1">IFERROR(__xludf.DUMMYFUNCTION("""COMPUTED_VALUE"""),"https://link.springer.com/journal/12072")</f>
        <v>https://link.springer.com/journal/12072</v>
      </c>
      <c r="I865" s="1" t="str">
        <f ca="1">IFERROR(__xludf.DUMMYFUNCTION("""COMPUTED_VALUE"""),"Springer")</f>
        <v>Springer</v>
      </c>
      <c r="J865" s="1">
        <f ca="1">IFERROR(__xludf.DUMMYFUNCTION("""COMPUTED_VALUE"""),2007)</f>
        <v>2007</v>
      </c>
      <c r="K865" s="1" t="str">
        <f ca="1">IFERROR(__xludf.DUMMYFUNCTION("""COMPUTED_VALUE"""),"Medicine")</f>
        <v>Medicine</v>
      </c>
      <c r="L865" s="1" t="str">
        <f ca="1">IFERROR(__xludf.DUMMYFUNCTION("""COMPUTED_VALUE"""),"〇")</f>
        <v>〇</v>
      </c>
      <c r="M865" s="1" t="str">
        <f ca="1">IFERROR(__xludf.DUMMYFUNCTION("""COMPUTED_VALUE"""),"〇")</f>
        <v>〇</v>
      </c>
      <c r="N865" s="1" t="str">
        <f ca="1">IFERROR(__xludf.DUMMYFUNCTION("""COMPUTED_VALUE"""),"SNS7")</f>
        <v>SNS7</v>
      </c>
      <c r="O865" s="1"/>
      <c r="P865" s="1"/>
    </row>
    <row r="866" spans="1:16" ht="14.25" customHeight="1" x14ac:dyDescent="0.25">
      <c r="A866" s="1"/>
      <c r="B866" s="1">
        <f ca="1"/>
        <v>854</v>
      </c>
      <c r="C866" s="1">
        <f ca="1">IFERROR(__xludf.DUMMYFUNCTION("""COMPUTED_VALUE"""),2023)</f>
        <v>2023</v>
      </c>
      <c r="D866" s="1">
        <f ca="1">IFERROR(__xludf.DUMMYFUNCTION("""COMPUTED_VALUE"""),11480)</f>
        <v>11480</v>
      </c>
      <c r="E866" s="1" t="str">
        <f ca="1">IFERROR(__xludf.DUMMYFUNCTION("""COMPUTED_VALUE"""),"Herald of the Russian Academy of Sciences")</f>
        <v>Herald of the Russian Academy of Sciences</v>
      </c>
      <c r="F866" s="1" t="str">
        <f ca="1">IFERROR(__xludf.DUMMYFUNCTION("""COMPUTED_VALUE"""),"1555-6492")</f>
        <v>1555-6492</v>
      </c>
      <c r="G866" s="1" t="str">
        <f ca="1">IFERROR(__xludf.DUMMYFUNCTION("""COMPUTED_VALUE"""),"1019-3316")</f>
        <v>1019-3316</v>
      </c>
      <c r="H866" s="27" t="str">
        <f ca="1">IFERROR(__xludf.DUMMYFUNCTION("""COMPUTED_VALUE"""),"https://link.springer.com/journal/11480")</f>
        <v>https://link.springer.com/journal/11480</v>
      </c>
      <c r="I866" s="1" t="str">
        <f ca="1">IFERROR(__xludf.DUMMYFUNCTION("""COMPUTED_VALUE"""),"Pleiades Publishing")</f>
        <v>Pleiades Publishing</v>
      </c>
      <c r="J866" s="1">
        <f ca="1">IFERROR(__xludf.DUMMYFUNCTION("""COMPUTED_VALUE"""),2006)</f>
        <v>2006</v>
      </c>
      <c r="K866" s="1" t="str">
        <f ca="1">IFERROR(__xludf.DUMMYFUNCTION("""COMPUTED_VALUE"""),"Earth and Environmental Science")</f>
        <v>Earth and Environmental Science</v>
      </c>
      <c r="L866" s="1" t="str">
        <f ca="1">IFERROR(__xludf.DUMMYFUNCTION("""COMPUTED_VALUE"""),"〇")</f>
        <v>〇</v>
      </c>
      <c r="M866" s="1" t="str">
        <f ca="1">IFERROR(__xludf.DUMMYFUNCTION("""COMPUTED_VALUE"""),"〇")</f>
        <v>〇</v>
      </c>
      <c r="N866" s="1"/>
      <c r="O866" s="1"/>
      <c r="P866" s="1"/>
    </row>
    <row r="867" spans="1:16" ht="14.25" customHeight="1" x14ac:dyDescent="0.25">
      <c r="A867" s="1"/>
      <c r="B867" s="1">
        <f ca="1"/>
        <v>855</v>
      </c>
      <c r="C867" s="1">
        <f ca="1">IFERROR(__xludf.DUMMYFUNCTION("""COMPUTED_VALUE"""),2023)</f>
        <v>2023</v>
      </c>
      <c r="D867" s="1">
        <f ca="1">IFERROR(__xludf.DUMMYFUNCTION("""COMPUTED_VALUE"""),10029)</f>
        <v>10029</v>
      </c>
      <c r="E867" s="1" t="str">
        <f ca="1">IFERROR(__xludf.DUMMYFUNCTION("""COMPUTED_VALUE"""),"Hernia")</f>
        <v>Hernia</v>
      </c>
      <c r="F867" s="1" t="str">
        <f ca="1">IFERROR(__xludf.DUMMYFUNCTION("""COMPUTED_VALUE"""),"1248-9204")</f>
        <v>1248-9204</v>
      </c>
      <c r="G867" s="1"/>
      <c r="H867" s="27" t="str">
        <f ca="1">IFERROR(__xludf.DUMMYFUNCTION("""COMPUTED_VALUE"""),"https://link.springer.com/journal/10029")</f>
        <v>https://link.springer.com/journal/10029</v>
      </c>
      <c r="I867" s="1" t="str">
        <f ca="1">IFERROR(__xludf.DUMMYFUNCTION("""COMPUTED_VALUE"""),"Springer")</f>
        <v>Springer</v>
      </c>
      <c r="J867" s="1">
        <f ca="1">IFERROR(__xludf.DUMMYFUNCTION("""COMPUTED_VALUE"""),2000)</f>
        <v>2000</v>
      </c>
      <c r="K867" s="1" t="str">
        <f ca="1">IFERROR(__xludf.DUMMYFUNCTION("""COMPUTED_VALUE"""),"Medicine")</f>
        <v>Medicine</v>
      </c>
      <c r="L867" s="1"/>
      <c r="M867" s="1" t="str">
        <f ca="1">IFERROR(__xludf.DUMMYFUNCTION("""COMPUTED_VALUE"""),"〇")</f>
        <v>〇</v>
      </c>
      <c r="N867" s="1"/>
      <c r="O867" s="1"/>
      <c r="P867" s="1"/>
    </row>
    <row r="868" spans="1:16" ht="14.25" customHeight="1" x14ac:dyDescent="0.25">
      <c r="A868" s="1"/>
      <c r="B868" s="1">
        <f ca="1"/>
        <v>856</v>
      </c>
      <c r="C868" s="1">
        <f ca="1">IFERROR(__xludf.DUMMYFUNCTION("""COMPUTED_VALUE"""),2023)</f>
        <v>2023</v>
      </c>
      <c r="D868" s="1">
        <f ca="1">IFERROR(__xludf.DUMMYFUNCTION("""COMPUTED_VALUE"""),59)</f>
        <v>59</v>
      </c>
      <c r="E868" s="1" t="str">
        <f ca="1">IFERROR(__xludf.DUMMYFUNCTION("""COMPUTED_VALUE"""),"Herz")</f>
        <v>Herz</v>
      </c>
      <c r="F868" s="1" t="str">
        <f ca="1">IFERROR(__xludf.DUMMYFUNCTION("""COMPUTED_VALUE"""),"1615-6692")</f>
        <v>1615-6692</v>
      </c>
      <c r="G868" s="1" t="str">
        <f ca="1">IFERROR(__xludf.DUMMYFUNCTION("""COMPUTED_VALUE"""),"0340-9937")</f>
        <v>0340-9937</v>
      </c>
      <c r="H868" s="27" t="str">
        <f ca="1">IFERROR(__xludf.DUMMYFUNCTION("""COMPUTED_VALUE"""),"https://link.springer.com/journal/59")</f>
        <v>https://link.springer.com/journal/59</v>
      </c>
      <c r="I868" s="1" t="str">
        <f ca="1">IFERROR(__xludf.DUMMYFUNCTION("""COMPUTED_VALUE"""),"SpringerMedizin")</f>
        <v>SpringerMedizin</v>
      </c>
      <c r="J868" s="1">
        <f ca="1">IFERROR(__xludf.DUMMYFUNCTION("""COMPUTED_VALUE"""),2000)</f>
        <v>2000</v>
      </c>
      <c r="K868" s="1" t="str">
        <f ca="1">IFERROR(__xludf.DUMMYFUNCTION("""COMPUTED_VALUE"""),"Medicine")</f>
        <v>Medicine</v>
      </c>
      <c r="L868" s="1" t="str">
        <f ca="1">IFERROR(__xludf.DUMMYFUNCTION("""COMPUTED_VALUE"""),"〇")</f>
        <v>〇</v>
      </c>
      <c r="M868" s="1" t="str">
        <f ca="1">IFERROR(__xludf.DUMMYFUNCTION("""COMPUTED_VALUE"""),"〇")</f>
        <v>〇</v>
      </c>
      <c r="N868" s="1"/>
      <c r="O868" s="1"/>
      <c r="P868" s="1"/>
    </row>
    <row r="869" spans="1:16" ht="14.25" customHeight="1" x14ac:dyDescent="0.25">
      <c r="A869" s="1"/>
      <c r="B869" s="1">
        <f ca="1"/>
        <v>857</v>
      </c>
      <c r="C869" s="1">
        <f ca="1">IFERROR(__xludf.DUMMYFUNCTION("""COMPUTED_VALUE"""),2023)</f>
        <v>2023</v>
      </c>
      <c r="D869" s="1">
        <f ca="1">IFERROR(__xludf.DUMMYFUNCTION("""COMPUTED_VALUE"""),399)</f>
        <v>399</v>
      </c>
      <c r="E869" s="1" t="str">
        <f ca="1">IFERROR(__xludf.DUMMYFUNCTION("""COMPUTED_VALUE"""),"Herzschrittmachertherapie + Elektrophysiologie")</f>
        <v>Herzschrittmachertherapie + Elektrophysiologie</v>
      </c>
      <c r="F869" s="1" t="str">
        <f ca="1">IFERROR(__xludf.DUMMYFUNCTION("""COMPUTED_VALUE"""),"1435-1544")</f>
        <v>1435-1544</v>
      </c>
      <c r="G869" s="1" t="str">
        <f ca="1">IFERROR(__xludf.DUMMYFUNCTION("""COMPUTED_VALUE"""),"0938-7412")</f>
        <v>0938-7412</v>
      </c>
      <c r="H869" s="27" t="str">
        <f ca="1">IFERROR(__xludf.DUMMYFUNCTION("""COMPUTED_VALUE"""),"https://link.springer.com/journal/399")</f>
        <v>https://link.springer.com/journal/399</v>
      </c>
      <c r="I869" s="1" t="str">
        <f ca="1">IFERROR(__xludf.DUMMYFUNCTION("""COMPUTED_VALUE"""),"SpringerMedizin")</f>
        <v>SpringerMedizin</v>
      </c>
      <c r="J869" s="1">
        <f ca="1">IFERROR(__xludf.DUMMYFUNCTION("""COMPUTED_VALUE"""),2000)</f>
        <v>2000</v>
      </c>
      <c r="K869" s="1" t="str">
        <f ca="1">IFERROR(__xludf.DUMMYFUNCTION("""COMPUTED_VALUE"""),"Medicine")</f>
        <v>Medicine</v>
      </c>
      <c r="L869" s="1" t="str">
        <f ca="1">IFERROR(__xludf.DUMMYFUNCTION("""COMPUTED_VALUE"""),"〇")</f>
        <v>〇</v>
      </c>
      <c r="M869" s="1" t="str">
        <f ca="1">IFERROR(__xludf.DUMMYFUNCTION("""COMPUTED_VALUE"""),"〇")</f>
        <v>〇</v>
      </c>
      <c r="N869" s="1"/>
      <c r="O869" s="1"/>
      <c r="P869" s="1"/>
    </row>
    <row r="870" spans="1:16" ht="14.25" customHeight="1" x14ac:dyDescent="0.25">
      <c r="A870" s="1"/>
      <c r="B870" s="1">
        <f ca="1"/>
        <v>858</v>
      </c>
      <c r="C870" s="1">
        <f ca="1">IFERROR(__xludf.DUMMYFUNCTION("""COMPUTED_VALUE"""),2023)</f>
        <v>2023</v>
      </c>
      <c r="D870" s="1">
        <f ca="1">IFERROR(__xludf.DUMMYFUNCTION("""COMPUTED_VALUE"""),10733)</f>
        <v>10733</v>
      </c>
      <c r="E870" s="1" t="str">
        <f ca="1">IFERROR(__xludf.DUMMYFUNCTION("""COMPUTED_VALUE"""),"High Energy Chemistry")</f>
        <v>High Energy Chemistry</v>
      </c>
      <c r="F870" s="1" t="str">
        <f ca="1">IFERROR(__xludf.DUMMYFUNCTION("""COMPUTED_VALUE"""),"1608-3148")</f>
        <v>1608-3148</v>
      </c>
      <c r="G870" s="1" t="str">
        <f ca="1">IFERROR(__xludf.DUMMYFUNCTION("""COMPUTED_VALUE"""),"0018-1439")</f>
        <v>0018-1439</v>
      </c>
      <c r="H870" s="27" t="str">
        <f ca="1">IFERROR(__xludf.DUMMYFUNCTION("""COMPUTED_VALUE"""),"https://link.springer.com/journal/10733")</f>
        <v>https://link.springer.com/journal/10733</v>
      </c>
      <c r="I870" s="1" t="str">
        <f ca="1">IFERROR(__xludf.DUMMYFUNCTION("""COMPUTED_VALUE"""),"Pleiades Publishing")</f>
        <v>Pleiades Publishing</v>
      </c>
      <c r="J870" s="1">
        <f ca="1">IFERROR(__xludf.DUMMYFUNCTION("""COMPUTED_VALUE"""),2000)</f>
        <v>2000</v>
      </c>
      <c r="K870" s="1" t="str">
        <f ca="1">IFERROR(__xludf.DUMMYFUNCTION("""COMPUTED_VALUE"""),"Chemistry and Materials Science")</f>
        <v>Chemistry and Materials Science</v>
      </c>
      <c r="L870" s="1" t="str">
        <f ca="1">IFERROR(__xludf.DUMMYFUNCTION("""COMPUTED_VALUE"""),"〇")</f>
        <v>〇</v>
      </c>
      <c r="M870" s="1" t="str">
        <f ca="1">IFERROR(__xludf.DUMMYFUNCTION("""COMPUTED_VALUE"""),"〇")</f>
        <v>〇</v>
      </c>
      <c r="N870" s="1"/>
      <c r="O870" s="1"/>
      <c r="P870" s="1"/>
    </row>
    <row r="871" spans="1:16" ht="14.25" customHeight="1" x14ac:dyDescent="0.25">
      <c r="A871" s="1"/>
      <c r="B871" s="1">
        <f ca="1"/>
        <v>859</v>
      </c>
      <c r="C871" s="1">
        <f ca="1">IFERROR(__xludf.DUMMYFUNCTION("""COMPUTED_VALUE"""),2023)</f>
        <v>2023</v>
      </c>
      <c r="D871" s="1">
        <f ca="1">IFERROR(__xludf.DUMMYFUNCTION("""COMPUTED_VALUE"""),44210)</f>
        <v>44210</v>
      </c>
      <c r="E871" s="1" t="str">
        <f ca="1">IFERROR(__xludf.DUMMYFUNCTION("""COMPUTED_VALUE"""),"High Entropy Alloys &amp; Materials")</f>
        <v>High Entropy Alloys &amp; Materials</v>
      </c>
      <c r="F871" s="1" t="str">
        <f ca="1">IFERROR(__xludf.DUMMYFUNCTION("""COMPUTED_VALUE"""),"2731-5827")</f>
        <v>2731-5827</v>
      </c>
      <c r="G871" s="1" t="str">
        <f ca="1">IFERROR(__xludf.DUMMYFUNCTION("""COMPUTED_VALUE"""),"2731-5819")</f>
        <v>2731-5819</v>
      </c>
      <c r="H871" s="27" t="str">
        <f ca="1">IFERROR(__xludf.DUMMYFUNCTION("""COMPUTED_VALUE"""),"https://link.springer.com/journal/44210")</f>
        <v>https://link.springer.com/journal/44210</v>
      </c>
      <c r="I871" s="1" t="str">
        <f ca="1">IFERROR(__xludf.DUMMYFUNCTION("""COMPUTED_VALUE"""),"Springer")</f>
        <v>Springer</v>
      </c>
      <c r="J871" s="1"/>
      <c r="K871" s="1" t="str">
        <f ca="1">IFERROR(__xludf.DUMMYFUNCTION("""COMPUTED_VALUE"""),"Chemistry and Materials Science")</f>
        <v>Chemistry and Materials Science</v>
      </c>
      <c r="L871" s="1" t="str">
        <f ca="1">IFERROR(__xludf.DUMMYFUNCTION("""COMPUTED_VALUE"""),"〇")</f>
        <v>〇</v>
      </c>
      <c r="M871" s="1"/>
      <c r="N871" s="1" t="str">
        <f ca="1">IFERROR(__xludf.DUMMYFUNCTION("""COMPUTED_VALUE"""),"SNS22")</f>
        <v>SNS22</v>
      </c>
      <c r="O871" s="1"/>
      <c r="P871" s="1"/>
    </row>
    <row r="872" spans="1:16" ht="14.25" customHeight="1" x14ac:dyDescent="0.25">
      <c r="A872" s="1"/>
      <c r="B872" s="1">
        <f ca="1"/>
        <v>860</v>
      </c>
      <c r="C872" s="1">
        <f ca="1">IFERROR(__xludf.DUMMYFUNCTION("""COMPUTED_VALUE"""),2023)</f>
        <v>2023</v>
      </c>
      <c r="D872" s="1">
        <f ca="1">IFERROR(__xludf.DUMMYFUNCTION("""COMPUTED_VALUE"""),10740)</f>
        <v>10740</v>
      </c>
      <c r="E872" s="1" t="str">
        <f ca="1">IFERROR(__xludf.DUMMYFUNCTION("""COMPUTED_VALUE"""),"High Temperature")</f>
        <v>High Temperature</v>
      </c>
      <c r="F872" s="1" t="str">
        <f ca="1">IFERROR(__xludf.DUMMYFUNCTION("""COMPUTED_VALUE"""),"1608-3156")</f>
        <v>1608-3156</v>
      </c>
      <c r="G872" s="1" t="str">
        <f ca="1">IFERROR(__xludf.DUMMYFUNCTION("""COMPUTED_VALUE"""),"0018-151X")</f>
        <v>0018-151X</v>
      </c>
      <c r="H872" s="27" t="str">
        <f ca="1">IFERROR(__xludf.DUMMYFUNCTION("""COMPUTED_VALUE"""),"https://link.springer.com/journal/10740")</f>
        <v>https://link.springer.com/journal/10740</v>
      </c>
      <c r="I872" s="1" t="str">
        <f ca="1">IFERROR(__xludf.DUMMYFUNCTION("""COMPUTED_VALUE"""),"Pleiades Publishing")</f>
        <v>Pleiades Publishing</v>
      </c>
      <c r="J872" s="1">
        <f ca="1">IFERROR(__xludf.DUMMYFUNCTION("""COMPUTED_VALUE"""),2000)</f>
        <v>2000</v>
      </c>
      <c r="K872" s="1" t="str">
        <f ca="1">IFERROR(__xludf.DUMMYFUNCTION("""COMPUTED_VALUE"""),"Physics and Astronomy")</f>
        <v>Physics and Astronomy</v>
      </c>
      <c r="L872" s="1" t="str">
        <f ca="1">IFERROR(__xludf.DUMMYFUNCTION("""COMPUTED_VALUE"""),"〇")</f>
        <v>〇</v>
      </c>
      <c r="M872" s="1" t="str">
        <f ca="1">IFERROR(__xludf.DUMMYFUNCTION("""COMPUTED_VALUE"""),"〇")</f>
        <v>〇</v>
      </c>
      <c r="N872" s="1"/>
      <c r="O872" s="1"/>
      <c r="P872" s="1"/>
    </row>
    <row r="873" spans="1:16" ht="14.25" customHeight="1" x14ac:dyDescent="0.25">
      <c r="A873" s="1"/>
      <c r="B873" s="1">
        <f ca="1"/>
        <v>861</v>
      </c>
      <c r="C873" s="1">
        <f ca="1">IFERROR(__xludf.DUMMYFUNCTION("""COMPUTED_VALUE"""),2023)</f>
        <v>2023</v>
      </c>
      <c r="D873" s="1">
        <f ca="1">IFERROR(__xludf.DUMMYFUNCTION("""COMPUTED_VALUE"""),10734)</f>
        <v>10734</v>
      </c>
      <c r="E873" s="1" t="str">
        <f ca="1">IFERROR(__xludf.DUMMYFUNCTION("""COMPUTED_VALUE"""),"Higher Education")</f>
        <v>Higher Education</v>
      </c>
      <c r="F873" s="1" t="str">
        <f ca="1">IFERROR(__xludf.DUMMYFUNCTION("""COMPUTED_VALUE"""),"1573-174X")</f>
        <v>1573-174X</v>
      </c>
      <c r="G873" s="1" t="str">
        <f ca="1">IFERROR(__xludf.DUMMYFUNCTION("""COMPUTED_VALUE"""),"0018-1560")</f>
        <v>0018-1560</v>
      </c>
      <c r="H873" s="27" t="str">
        <f ca="1">IFERROR(__xludf.DUMMYFUNCTION("""COMPUTED_VALUE"""),"https://link.springer.com/journal/10734")</f>
        <v>https://link.springer.com/journal/10734</v>
      </c>
      <c r="I873" s="1" t="str">
        <f ca="1">IFERROR(__xludf.DUMMYFUNCTION("""COMPUTED_VALUE"""),"Springer")</f>
        <v>Springer</v>
      </c>
      <c r="J873" s="1">
        <f ca="1">IFERROR(__xludf.DUMMYFUNCTION("""COMPUTED_VALUE"""),2000)</f>
        <v>2000</v>
      </c>
      <c r="K873" s="1" t="str">
        <f ca="1">IFERROR(__xludf.DUMMYFUNCTION("""COMPUTED_VALUE"""),"Education")</f>
        <v>Education</v>
      </c>
      <c r="L873" s="1" t="str">
        <f ca="1">IFERROR(__xludf.DUMMYFUNCTION("""COMPUTED_VALUE"""),"〇")</f>
        <v>〇</v>
      </c>
      <c r="M873" s="1" t="str">
        <f ca="1">IFERROR(__xludf.DUMMYFUNCTION("""COMPUTED_VALUE"""),"〇")</f>
        <v>〇</v>
      </c>
      <c r="N873" s="1"/>
      <c r="O873" s="1"/>
      <c r="P873" s="1"/>
    </row>
    <row r="874" spans="1:16" ht="14.25" customHeight="1" x14ac:dyDescent="0.25">
      <c r="A874" s="1"/>
      <c r="B874" s="1">
        <f ca="1"/>
        <v>862</v>
      </c>
      <c r="C874" s="1">
        <f ca="1">IFERROR(__xludf.DUMMYFUNCTION("""COMPUTED_VALUE"""),2023)</f>
        <v>2023</v>
      </c>
      <c r="D874" s="1">
        <f ca="1">IFERROR(__xludf.DUMMYFUNCTION("""COMPUTED_VALUE"""),418)</f>
        <v>418</v>
      </c>
      <c r="E874" s="1" t="str">
        <f ca="1">IFERROR(__xludf.DUMMYFUNCTION("""COMPUTED_VALUE"""),"Histochemistry and Cell Biology")</f>
        <v>Histochemistry and Cell Biology</v>
      </c>
      <c r="F874" s="1" t="str">
        <f ca="1">IFERROR(__xludf.DUMMYFUNCTION("""COMPUTED_VALUE"""),"1432-119X")</f>
        <v>1432-119X</v>
      </c>
      <c r="G874" s="1" t="str">
        <f ca="1">IFERROR(__xludf.DUMMYFUNCTION("""COMPUTED_VALUE"""),"0948-6143")</f>
        <v>0948-6143</v>
      </c>
      <c r="H874" s="27" t="str">
        <f ca="1">IFERROR(__xludf.DUMMYFUNCTION("""COMPUTED_VALUE"""),"https://link.springer.com/journal/418")</f>
        <v>https://link.springer.com/journal/418</v>
      </c>
      <c r="I874" s="1" t="str">
        <f ca="1">IFERROR(__xludf.DUMMYFUNCTION("""COMPUTED_VALUE"""),"Springer")</f>
        <v>Springer</v>
      </c>
      <c r="J874" s="1">
        <f ca="1">IFERROR(__xludf.DUMMYFUNCTION("""COMPUTED_VALUE"""),2000)</f>
        <v>2000</v>
      </c>
      <c r="K874" s="1" t="str">
        <f ca="1">IFERROR(__xludf.DUMMYFUNCTION("""COMPUTED_VALUE"""),"Biomedical and Life Sciences")</f>
        <v>Biomedical and Life Sciences</v>
      </c>
      <c r="L874" s="1" t="str">
        <f ca="1">IFERROR(__xludf.DUMMYFUNCTION("""COMPUTED_VALUE"""),"〇")</f>
        <v>〇</v>
      </c>
      <c r="M874" s="1" t="str">
        <f ca="1">IFERROR(__xludf.DUMMYFUNCTION("""COMPUTED_VALUE"""),"〇")</f>
        <v>〇</v>
      </c>
      <c r="N874" s="1"/>
      <c r="O874" s="1"/>
      <c r="P874" s="1"/>
    </row>
    <row r="875" spans="1:16" ht="14.25" customHeight="1" x14ac:dyDescent="0.25">
      <c r="A875" s="1"/>
      <c r="B875" s="1">
        <f ca="1"/>
        <v>863</v>
      </c>
      <c r="C875" s="1">
        <f ca="1">IFERROR(__xludf.DUMMYFUNCTION("""COMPUTED_VALUE"""),2023)</f>
        <v>2023</v>
      </c>
      <c r="D875" s="1">
        <f ca="1">IFERROR(__xludf.DUMMYFUNCTION("""COMPUTED_VALUE"""),41636)</f>
        <v>41636</v>
      </c>
      <c r="E875" s="1" t="str">
        <f ca="1">IFERROR(__xludf.DUMMYFUNCTION("""COMPUTED_VALUE"""),"Historical Archaeology")</f>
        <v>Historical Archaeology</v>
      </c>
      <c r="F875" s="1" t="str">
        <f ca="1">IFERROR(__xludf.DUMMYFUNCTION("""COMPUTED_VALUE"""),"2328-1103")</f>
        <v>2328-1103</v>
      </c>
      <c r="G875" s="1" t="str">
        <f ca="1">IFERROR(__xludf.DUMMYFUNCTION("""COMPUTED_VALUE"""),"0440-9213")</f>
        <v>0440-9213</v>
      </c>
      <c r="H875" s="27" t="str">
        <f ca="1">IFERROR(__xludf.DUMMYFUNCTION("""COMPUTED_VALUE"""),"https://link.springer.com/journal/41636")</f>
        <v>https://link.springer.com/journal/41636</v>
      </c>
      <c r="I875" s="1" t="str">
        <f ca="1">IFERROR(__xludf.DUMMYFUNCTION("""COMPUTED_VALUE"""),"Springer")</f>
        <v>Springer</v>
      </c>
      <c r="J875" s="1">
        <f ca="1">IFERROR(__xludf.DUMMYFUNCTION("""COMPUTED_VALUE"""),2000)</f>
        <v>2000</v>
      </c>
      <c r="K875" s="1" t="str">
        <f ca="1">IFERROR(__xludf.DUMMYFUNCTION("""COMPUTED_VALUE"""),"Social Sciences")</f>
        <v>Social Sciences</v>
      </c>
      <c r="L875" s="1" t="str">
        <f ca="1">IFERROR(__xludf.DUMMYFUNCTION("""COMPUTED_VALUE"""),"〇")</f>
        <v>〇</v>
      </c>
      <c r="M875" s="1"/>
      <c r="N875" s="1" t="str">
        <f ca="1">IFERROR(__xludf.DUMMYFUNCTION("""COMPUTED_VALUE"""),"TO17")</f>
        <v>TO17</v>
      </c>
      <c r="O875" s="1"/>
      <c r="P875" s="1"/>
    </row>
    <row r="876" spans="1:16" ht="14.25" customHeight="1" x14ac:dyDescent="0.25">
      <c r="A876" s="1"/>
      <c r="B876" s="1">
        <f ca="1"/>
        <v>864</v>
      </c>
      <c r="C876" s="1">
        <f ca="1">IFERROR(__xludf.DUMMYFUNCTION("""COMPUTED_VALUE"""),2023)</f>
        <v>2023</v>
      </c>
      <c r="D876" s="1">
        <f ca="1">IFERROR(__xludf.DUMMYFUNCTION("""COMPUTED_VALUE"""),40656)</f>
        <v>40656</v>
      </c>
      <c r="E876" s="1" t="str">
        <f ca="1">IFERROR(__xludf.DUMMYFUNCTION("""COMPUTED_VALUE"""),"History and Philosophy of the Life Sciences")</f>
        <v>History and Philosophy of the Life Sciences</v>
      </c>
      <c r="F876" s="1" t="str">
        <f ca="1">IFERROR(__xludf.DUMMYFUNCTION("""COMPUTED_VALUE"""),"1742-6316")</f>
        <v>1742-6316</v>
      </c>
      <c r="G876" s="1" t="str">
        <f ca="1">IFERROR(__xludf.DUMMYFUNCTION("""COMPUTED_VALUE"""),"0391-9714")</f>
        <v>0391-9714</v>
      </c>
      <c r="H876" s="27" t="str">
        <f ca="1">IFERROR(__xludf.DUMMYFUNCTION("""COMPUTED_VALUE"""),"https://link.springer.com/journal/40656")</f>
        <v>https://link.springer.com/journal/40656</v>
      </c>
      <c r="I876" s="1" t="str">
        <f ca="1">IFERROR(__xludf.DUMMYFUNCTION("""COMPUTED_VALUE"""),"Springer")</f>
        <v>Springer</v>
      </c>
      <c r="J876" s="1">
        <f ca="1">IFERROR(__xludf.DUMMYFUNCTION("""COMPUTED_VALUE"""),2014)</f>
        <v>2014</v>
      </c>
      <c r="K876" s="1" t="str">
        <f ca="1">IFERROR(__xludf.DUMMYFUNCTION("""COMPUTED_VALUE"""),"Education")</f>
        <v>Education</v>
      </c>
      <c r="L876" s="1" t="str">
        <f ca="1">IFERROR(__xludf.DUMMYFUNCTION("""COMPUTED_VALUE"""),"〇")</f>
        <v>〇</v>
      </c>
      <c r="M876" s="1"/>
      <c r="N876" s="1" t="str">
        <f ca="1">IFERROR(__xludf.DUMMYFUNCTION("""COMPUTED_VALUE"""),"TO14")</f>
        <v>TO14</v>
      </c>
      <c r="O876" s="1"/>
      <c r="P876" s="1"/>
    </row>
    <row r="877" spans="1:16" ht="14.25" customHeight="1" x14ac:dyDescent="0.25">
      <c r="A877" s="1"/>
      <c r="B877" s="1">
        <f ca="1"/>
        <v>865</v>
      </c>
      <c r="C877" s="1">
        <f ca="1">IFERROR(__xludf.DUMMYFUNCTION("""COMPUTED_VALUE"""),2023)</f>
        <v>2023</v>
      </c>
      <c r="D877" s="1">
        <f ca="1">IFERROR(__xludf.DUMMYFUNCTION("""COMPUTED_VALUE"""),40702)</f>
        <v>40702</v>
      </c>
      <c r="E877" s="1" t="str">
        <f ca="1">IFERROR(__xludf.DUMMYFUNCTION("""COMPUTED_VALUE"""),"HMD Praxis der Wirtschaftsinformatik")</f>
        <v>HMD Praxis der Wirtschaftsinformatik</v>
      </c>
      <c r="F877" s="1" t="str">
        <f ca="1">IFERROR(__xludf.DUMMYFUNCTION("""COMPUTED_VALUE"""),"2198-2775")</f>
        <v>2198-2775</v>
      </c>
      <c r="G877" s="1" t="str">
        <f ca="1">IFERROR(__xludf.DUMMYFUNCTION("""COMPUTED_VALUE"""),"1436-3011")</f>
        <v>1436-3011</v>
      </c>
      <c r="H877" s="27" t="str">
        <f ca="1">IFERROR(__xludf.DUMMYFUNCTION("""COMPUTED_VALUE"""),"https://link.springer.com/journal/40702")</f>
        <v>https://link.springer.com/journal/40702</v>
      </c>
      <c r="I877" s="1" t="str">
        <f ca="1">IFERROR(__xludf.DUMMYFUNCTION("""COMPUTED_VALUE"""),"Springer Vieweg")</f>
        <v>Springer Vieweg</v>
      </c>
      <c r="J877" s="1">
        <f ca="1">IFERROR(__xludf.DUMMYFUNCTION("""COMPUTED_VALUE"""),2007)</f>
        <v>2007</v>
      </c>
      <c r="K877" s="1" t="str">
        <f ca="1">IFERROR(__xludf.DUMMYFUNCTION("""COMPUTED_VALUE"""),"Computer Science")</f>
        <v>Computer Science</v>
      </c>
      <c r="L877" s="1" t="str">
        <f ca="1">IFERROR(__xludf.DUMMYFUNCTION("""COMPUTED_VALUE"""),"〇")</f>
        <v>〇</v>
      </c>
      <c r="M877" s="1"/>
      <c r="N877" s="1" t="str">
        <f ca="1">IFERROR(__xludf.DUMMYFUNCTION("""COMPUTED_VALUE"""),"TO14")</f>
        <v>TO14</v>
      </c>
      <c r="O877" s="1"/>
      <c r="P877" s="1"/>
    </row>
    <row r="878" spans="1:16" ht="14.25" customHeight="1" x14ac:dyDescent="0.25">
      <c r="A878" s="1"/>
      <c r="B878" s="1">
        <f ca="1"/>
        <v>866</v>
      </c>
      <c r="C878" s="1">
        <f ca="1">IFERROR(__xludf.DUMMYFUNCTION("""COMPUTED_VALUE"""),2023)</f>
        <v>2023</v>
      </c>
      <c r="D878" s="1">
        <f ca="1">IFERROR(__xludf.DUMMYFUNCTION("""COMPUTED_VALUE"""),106)</f>
        <v>106</v>
      </c>
      <c r="E878" s="1" t="str">
        <f ca="1">IFERROR(__xludf.DUMMYFUNCTION("""COMPUTED_VALUE"""),"HNO")</f>
        <v>HNO</v>
      </c>
      <c r="F878" s="1" t="str">
        <f ca="1">IFERROR(__xludf.DUMMYFUNCTION("""COMPUTED_VALUE"""),"1433-0458")</f>
        <v>1433-0458</v>
      </c>
      <c r="G878" s="1" t="str">
        <f ca="1">IFERROR(__xludf.DUMMYFUNCTION("""COMPUTED_VALUE"""),"0017-6192")</f>
        <v>0017-6192</v>
      </c>
      <c r="H878" s="27" t="str">
        <f ca="1">IFERROR(__xludf.DUMMYFUNCTION("""COMPUTED_VALUE"""),"https://link.springer.com/journal/106")</f>
        <v>https://link.springer.com/journal/106</v>
      </c>
      <c r="I878" s="1" t="str">
        <f ca="1">IFERROR(__xludf.DUMMYFUNCTION("""COMPUTED_VALUE"""),"SpringerMedizin")</f>
        <v>SpringerMedizin</v>
      </c>
      <c r="J878" s="1">
        <f ca="1">IFERROR(__xludf.DUMMYFUNCTION("""COMPUTED_VALUE"""),2000)</f>
        <v>2000</v>
      </c>
      <c r="K878" s="1" t="str">
        <f ca="1">IFERROR(__xludf.DUMMYFUNCTION("""COMPUTED_VALUE"""),"Medicine")</f>
        <v>Medicine</v>
      </c>
      <c r="L878" s="1" t="str">
        <f ca="1">IFERROR(__xludf.DUMMYFUNCTION("""COMPUTED_VALUE"""),"〇")</f>
        <v>〇</v>
      </c>
      <c r="M878" s="1" t="str">
        <f ca="1">IFERROR(__xludf.DUMMYFUNCTION("""COMPUTED_VALUE"""),"〇")</f>
        <v>〇</v>
      </c>
      <c r="N878" s="1"/>
      <c r="O878" s="1"/>
      <c r="P878" s="1"/>
    </row>
    <row r="879" spans="1:16" ht="14.25" customHeight="1" x14ac:dyDescent="0.25">
      <c r="A879" s="1"/>
      <c r="B879" s="1">
        <f ca="1"/>
        <v>867</v>
      </c>
      <c r="C879" s="1">
        <f ca="1">IFERROR(__xludf.DUMMYFUNCTION("""COMPUTED_VALUE"""),2023)</f>
        <v>2023</v>
      </c>
      <c r="D879" s="1">
        <f ca="1">IFERROR(__xludf.DUMMYFUNCTION("""COMPUTED_VALUE"""),60)</f>
        <v>60</v>
      </c>
      <c r="E879" s="1" t="str">
        <f ca="1">IFERROR(__xludf.DUMMYFUNCTION("""COMPUTED_VALUE"""),"HNO Nachrichten")</f>
        <v>HNO Nachrichten</v>
      </c>
      <c r="F879" s="1" t="str">
        <f ca="1">IFERROR(__xludf.DUMMYFUNCTION("""COMPUTED_VALUE"""),"2198-6533")</f>
        <v>2198-6533</v>
      </c>
      <c r="G879" s="1" t="str">
        <f ca="1">IFERROR(__xludf.DUMMYFUNCTION("""COMPUTED_VALUE"""),"0177-1000")</f>
        <v>0177-1000</v>
      </c>
      <c r="H879" s="27" t="str">
        <f ca="1">IFERROR(__xludf.DUMMYFUNCTION("""COMPUTED_VALUE"""),"https://link.springer.com/journal/60")</f>
        <v>https://link.springer.com/journal/60</v>
      </c>
      <c r="I879" s="1" t="str">
        <f ca="1">IFERROR(__xludf.DUMMYFUNCTION("""COMPUTED_VALUE"""),"SpringerMedizin")</f>
        <v>SpringerMedizin</v>
      </c>
      <c r="J879" s="1">
        <f ca="1">IFERROR(__xludf.DUMMYFUNCTION("""COMPUTED_VALUE"""),2009)</f>
        <v>2009</v>
      </c>
      <c r="K879" s="1" t="str">
        <f ca="1">IFERROR(__xludf.DUMMYFUNCTION("""COMPUTED_VALUE"""),"Medicine")</f>
        <v>Medicine</v>
      </c>
      <c r="L879" s="1" t="str">
        <f ca="1">IFERROR(__xludf.DUMMYFUNCTION("""COMPUTED_VALUE"""),"〇")</f>
        <v>〇</v>
      </c>
      <c r="M879" s="1"/>
      <c r="N879" s="1"/>
      <c r="O879" s="1"/>
      <c r="P879" s="1"/>
    </row>
    <row r="880" spans="1:16" ht="14.25" customHeight="1" x14ac:dyDescent="0.25">
      <c r="A880" s="1"/>
      <c r="B880" s="1">
        <f ca="1"/>
        <v>868</v>
      </c>
      <c r="C880" s="1">
        <f ca="1">IFERROR(__xludf.DUMMYFUNCTION("""COMPUTED_VALUE"""),2023)</f>
        <v>2023</v>
      </c>
      <c r="D880" s="1">
        <f ca="1">IFERROR(__xludf.DUMMYFUNCTION("""COMPUTED_VALUE"""),41412)</f>
        <v>41412</v>
      </c>
      <c r="E880" s="1" t="str">
        <f ca="1">IFERROR(__xludf.DUMMYFUNCTION("""COMPUTED_VALUE"""),"Homo Oeconomicus")</f>
        <v>Homo Oeconomicus</v>
      </c>
      <c r="F880" s="1" t="str">
        <f ca="1">IFERROR(__xludf.DUMMYFUNCTION("""COMPUTED_VALUE"""),"2366-6161")</f>
        <v>2366-6161</v>
      </c>
      <c r="G880" s="1"/>
      <c r="H880" s="27" t="str">
        <f ca="1">IFERROR(__xludf.DUMMYFUNCTION("""COMPUTED_VALUE"""),"https://link.springer.com/journal/41412")</f>
        <v>https://link.springer.com/journal/41412</v>
      </c>
      <c r="I880" s="1" t="str">
        <f ca="1">IFERROR(__xludf.DUMMYFUNCTION("""COMPUTED_VALUE"""),"Springer")</f>
        <v>Springer</v>
      </c>
      <c r="J880" s="1">
        <f ca="1">IFERROR(__xludf.DUMMYFUNCTION("""COMPUTED_VALUE"""),2016)</f>
        <v>2016</v>
      </c>
      <c r="K880" s="1" t="str">
        <f ca="1">IFERROR(__xludf.DUMMYFUNCTION("""COMPUTED_VALUE"""),"Economics and Finance")</f>
        <v>Economics and Finance</v>
      </c>
      <c r="L880" s="1"/>
      <c r="M880" s="1"/>
      <c r="N880" s="1" t="str">
        <f ca="1">IFERROR(__xludf.DUMMYFUNCTION("""COMPUTED_VALUE"""),"TO16")</f>
        <v>TO16</v>
      </c>
      <c r="O880" s="1"/>
      <c r="P880" s="1"/>
    </row>
    <row r="881" spans="1:16" ht="14.25" customHeight="1" x14ac:dyDescent="0.25">
      <c r="A881" s="1"/>
      <c r="B881" s="1">
        <f ca="1"/>
        <v>869</v>
      </c>
      <c r="C881" s="1">
        <f ca="1">IFERROR(__xludf.DUMMYFUNCTION("""COMPUTED_VALUE"""),2023)</f>
        <v>2023</v>
      </c>
      <c r="D881" s="1">
        <f ca="1">IFERROR(__xludf.DUMMYFUNCTION("""COMPUTED_VALUE"""),42000)</f>
        <v>42000</v>
      </c>
      <c r="E881" s="1" t="str">
        <f ca="1">IFERROR(__xludf.DUMMYFUNCTION("""COMPUTED_VALUE"""),"Hormones")</f>
        <v>Hormones</v>
      </c>
      <c r="F881" s="1" t="str">
        <f ca="1">IFERROR(__xludf.DUMMYFUNCTION("""COMPUTED_VALUE"""),"2520-8721")</f>
        <v>2520-8721</v>
      </c>
      <c r="G881" s="1"/>
      <c r="H881" s="27" t="str">
        <f ca="1">IFERROR(__xludf.DUMMYFUNCTION("""COMPUTED_VALUE"""),"https://link.springer.com/journal/42000")</f>
        <v>https://link.springer.com/journal/42000</v>
      </c>
      <c r="I881" s="1" t="str">
        <f ca="1">IFERROR(__xludf.DUMMYFUNCTION("""COMPUTED_VALUE"""),"Springer")</f>
        <v>Springer</v>
      </c>
      <c r="J881" s="1">
        <f ca="1">IFERROR(__xludf.DUMMYFUNCTION("""COMPUTED_VALUE"""),2008)</f>
        <v>2008</v>
      </c>
      <c r="K881" s="1" t="str">
        <f ca="1">IFERROR(__xludf.DUMMYFUNCTION("""COMPUTED_VALUE"""),"Medicine")</f>
        <v>Medicine</v>
      </c>
      <c r="L881" s="1"/>
      <c r="M881" s="1"/>
      <c r="N881" s="1" t="str">
        <f ca="1">IFERROR(__xludf.DUMMYFUNCTION("""COMPUTED_VALUE"""),"TO18")</f>
        <v>TO18</v>
      </c>
      <c r="O881" s="1"/>
      <c r="P881" s="1"/>
    </row>
    <row r="882" spans="1:16" ht="14.25" customHeight="1" x14ac:dyDescent="0.25">
      <c r="A882" s="1"/>
      <c r="B882" s="1">
        <f ca="1"/>
        <v>870</v>
      </c>
      <c r="C882" s="1">
        <f ca="1">IFERROR(__xludf.DUMMYFUNCTION("""COMPUTED_VALUE"""),2023)</f>
        <v>2023</v>
      </c>
      <c r="D882" s="1">
        <f ca="1">IFERROR(__xludf.DUMMYFUNCTION("""COMPUTED_VALUE"""),13580)</f>
        <v>13580</v>
      </c>
      <c r="E882" s="1" t="str">
        <f ca="1">IFERROR(__xludf.DUMMYFUNCTION("""COMPUTED_VALUE"""),"Horticulture, Environment, and Biotechnology")</f>
        <v>Horticulture, Environment, and Biotechnology</v>
      </c>
      <c r="F882" s="1" t="str">
        <f ca="1">IFERROR(__xludf.DUMMYFUNCTION("""COMPUTED_VALUE"""),"2211-3460")</f>
        <v>2211-3460</v>
      </c>
      <c r="G882" s="1" t="str">
        <f ca="1">IFERROR(__xludf.DUMMYFUNCTION("""COMPUTED_VALUE"""),"2211-3452")</f>
        <v>2211-3452</v>
      </c>
      <c r="H882" s="27" t="str">
        <f ca="1">IFERROR(__xludf.DUMMYFUNCTION("""COMPUTED_VALUE"""),"https://link.springer.com/journal/13580")</f>
        <v>https://link.springer.com/journal/13580</v>
      </c>
      <c r="I882" s="1" t="str">
        <f ca="1">IFERROR(__xludf.DUMMYFUNCTION("""COMPUTED_VALUE"""),"Springer")</f>
        <v>Springer</v>
      </c>
      <c r="J882" s="1">
        <f ca="1">IFERROR(__xludf.DUMMYFUNCTION("""COMPUTED_VALUE"""),2011)</f>
        <v>2011</v>
      </c>
      <c r="K882" s="1" t="str">
        <f ca="1">IFERROR(__xludf.DUMMYFUNCTION("""COMPUTED_VALUE"""),"Biomedical and Life Sciences")</f>
        <v>Biomedical and Life Sciences</v>
      </c>
      <c r="L882" s="1" t="str">
        <f ca="1">IFERROR(__xludf.DUMMYFUNCTION("""COMPUTED_VALUE"""),"〇")</f>
        <v>〇</v>
      </c>
      <c r="M882" s="1"/>
      <c r="N882" s="1" t="str">
        <f ca="1">IFERROR(__xludf.DUMMYFUNCTION("""COMPUTED_VALUE"""),"TO11")</f>
        <v>TO11</v>
      </c>
      <c r="O882" s="1"/>
      <c r="P882" s="1"/>
    </row>
    <row r="883" spans="1:16" ht="14.25" customHeight="1" x14ac:dyDescent="0.25">
      <c r="A883" s="1"/>
      <c r="B883" s="1">
        <f ca="1"/>
        <v>871</v>
      </c>
      <c r="C883" s="1">
        <f ca="1">IFERROR(__xludf.DUMMYFUNCTION("""COMPUTED_VALUE"""),2023)</f>
        <v>2023</v>
      </c>
      <c r="D883" s="1">
        <f ca="1">IFERROR(__xludf.DUMMYFUNCTION("""COMPUTED_VALUE"""),42087)</f>
        <v>42087</v>
      </c>
      <c r="E883" s="1" t="str">
        <f ca="1">IFERROR(__xludf.DUMMYFUNCTION("""COMPUTED_VALUE"""),"Human Arenas")</f>
        <v>Human Arenas</v>
      </c>
      <c r="F883" s="1" t="str">
        <f ca="1">IFERROR(__xludf.DUMMYFUNCTION("""COMPUTED_VALUE"""),"2522-5804")</f>
        <v>2522-5804</v>
      </c>
      <c r="G883" s="1" t="str">
        <f ca="1">IFERROR(__xludf.DUMMYFUNCTION("""COMPUTED_VALUE"""),"2522-5790")</f>
        <v>2522-5790</v>
      </c>
      <c r="H883" s="27" t="str">
        <f ca="1">IFERROR(__xludf.DUMMYFUNCTION("""COMPUTED_VALUE"""),"https://link.springer.com/journal/42087")</f>
        <v>https://link.springer.com/journal/42087</v>
      </c>
      <c r="I883" s="1" t="str">
        <f ca="1">IFERROR(__xludf.DUMMYFUNCTION("""COMPUTED_VALUE"""),"Springer")</f>
        <v>Springer</v>
      </c>
      <c r="J883" s="1">
        <f ca="1">IFERROR(__xludf.DUMMYFUNCTION("""COMPUTED_VALUE"""),2018)</f>
        <v>2018</v>
      </c>
      <c r="K883" s="1" t="str">
        <f ca="1">IFERROR(__xludf.DUMMYFUNCTION("""COMPUTED_VALUE"""),"Behavioral Science and Psychology")</f>
        <v>Behavioral Science and Psychology</v>
      </c>
      <c r="L883" s="1" t="str">
        <f ca="1">IFERROR(__xludf.DUMMYFUNCTION("""COMPUTED_VALUE"""),"〇")</f>
        <v>〇</v>
      </c>
      <c r="M883" s="1"/>
      <c r="N883" s="1" t="str">
        <f ca="1">IFERROR(__xludf.DUMMYFUNCTION("""COMPUTED_VALUE"""),"SNS18")</f>
        <v>SNS18</v>
      </c>
      <c r="O883" s="1"/>
      <c r="P883" s="1"/>
    </row>
    <row r="884" spans="1:16" ht="14.25" customHeight="1" x14ac:dyDescent="0.25">
      <c r="A884" s="1"/>
      <c r="B884" s="1">
        <f ca="1"/>
        <v>872</v>
      </c>
      <c r="C884" s="1">
        <f ca="1">IFERROR(__xludf.DUMMYFUNCTION("""COMPUTED_VALUE"""),2023)</f>
        <v>2023</v>
      </c>
      <c r="D884" s="1">
        <f ca="1">IFERROR(__xludf.DUMMYFUNCTION("""COMPUTED_VALUE"""),13577)</f>
        <v>13577</v>
      </c>
      <c r="E884" s="1" t="str">
        <f ca="1">IFERROR(__xludf.DUMMYFUNCTION("""COMPUTED_VALUE"""),"Human Cell")</f>
        <v>Human Cell</v>
      </c>
      <c r="F884" s="1" t="str">
        <f ca="1">IFERROR(__xludf.DUMMYFUNCTION("""COMPUTED_VALUE"""),"1749-0774")</f>
        <v>1749-0774</v>
      </c>
      <c r="G884" s="1"/>
      <c r="H884" s="27" t="str">
        <f ca="1">IFERROR(__xludf.DUMMYFUNCTION("""COMPUTED_VALUE"""),"https://link.springer.com/journal/13577")</f>
        <v>https://link.springer.com/journal/13577</v>
      </c>
      <c r="I884" s="1" t="str">
        <f ca="1">IFERROR(__xludf.DUMMYFUNCTION("""COMPUTED_VALUE"""),"Springer")</f>
        <v>Springer</v>
      </c>
      <c r="J884" s="1">
        <f ca="1">IFERROR(__xludf.DUMMYFUNCTION("""COMPUTED_VALUE"""),2002)</f>
        <v>2002</v>
      </c>
      <c r="K884" s="1" t="str">
        <f ca="1">IFERROR(__xludf.DUMMYFUNCTION("""COMPUTED_VALUE"""),"Biomedical and Life Sciences")</f>
        <v>Biomedical and Life Sciences</v>
      </c>
      <c r="L884" s="1"/>
      <c r="M884" s="1"/>
      <c r="N884" s="1" t="str">
        <f ca="1">IFERROR(__xludf.DUMMYFUNCTION("""COMPUTED_VALUE"""),"TO11")</f>
        <v>TO11</v>
      </c>
      <c r="O884" s="1"/>
      <c r="P884" s="1"/>
    </row>
    <row r="885" spans="1:16" ht="14.25" customHeight="1" x14ac:dyDescent="0.25">
      <c r="A885" s="1"/>
      <c r="B885" s="1">
        <f ca="1"/>
        <v>873</v>
      </c>
      <c r="C885" s="1">
        <f ca="1">IFERROR(__xludf.DUMMYFUNCTION("""COMPUTED_VALUE"""),2023)</f>
        <v>2023</v>
      </c>
      <c r="D885" s="1">
        <f ca="1">IFERROR(__xludf.DUMMYFUNCTION("""COMPUTED_VALUE"""),10745)</f>
        <v>10745</v>
      </c>
      <c r="E885" s="1" t="str">
        <f ca="1">IFERROR(__xludf.DUMMYFUNCTION("""COMPUTED_VALUE"""),"Human Ecology")</f>
        <v>Human Ecology</v>
      </c>
      <c r="F885" s="1" t="str">
        <f ca="1">IFERROR(__xludf.DUMMYFUNCTION("""COMPUTED_VALUE"""),"1572-9915")</f>
        <v>1572-9915</v>
      </c>
      <c r="G885" s="1" t="str">
        <f ca="1">IFERROR(__xludf.DUMMYFUNCTION("""COMPUTED_VALUE"""),"0300-7839")</f>
        <v>0300-7839</v>
      </c>
      <c r="H885" s="27" t="str">
        <f ca="1">IFERROR(__xludf.DUMMYFUNCTION("""COMPUTED_VALUE"""),"https://link.springer.com/journal/10745")</f>
        <v>https://link.springer.com/journal/10745</v>
      </c>
      <c r="I885" s="1" t="str">
        <f ca="1">IFERROR(__xludf.DUMMYFUNCTION("""COMPUTED_VALUE"""),"Springer")</f>
        <v>Springer</v>
      </c>
      <c r="J885" s="1">
        <f ca="1">IFERROR(__xludf.DUMMYFUNCTION("""COMPUTED_VALUE"""),2000)</f>
        <v>2000</v>
      </c>
      <c r="K885" s="1" t="str">
        <f ca="1">IFERROR(__xludf.DUMMYFUNCTION("""COMPUTED_VALUE"""),"Social Sciences")</f>
        <v>Social Sciences</v>
      </c>
      <c r="L885" s="1" t="str">
        <f ca="1">IFERROR(__xludf.DUMMYFUNCTION("""COMPUTED_VALUE"""),"〇")</f>
        <v>〇</v>
      </c>
      <c r="M885" s="1" t="str">
        <f ca="1">IFERROR(__xludf.DUMMYFUNCTION("""COMPUTED_VALUE"""),"〇")</f>
        <v>〇</v>
      </c>
      <c r="N885" s="1"/>
      <c r="O885" s="1"/>
      <c r="P885" s="1"/>
    </row>
    <row r="886" spans="1:16" ht="14.25" customHeight="1" x14ac:dyDescent="0.25">
      <c r="A886" s="1"/>
      <c r="B886" s="1">
        <f ca="1"/>
        <v>874</v>
      </c>
      <c r="C886" s="1">
        <f ca="1">IFERROR(__xludf.DUMMYFUNCTION("""COMPUTED_VALUE"""),2023)</f>
        <v>2023</v>
      </c>
      <c r="D886" s="1">
        <f ca="1">IFERROR(__xludf.DUMMYFUNCTION("""COMPUTED_VALUE"""),41314)</f>
        <v>41314</v>
      </c>
      <c r="E886" s="1" t="str">
        <f ca="1">IFERROR(__xludf.DUMMYFUNCTION("""COMPUTED_VALUE"""),"Human Factors and Mechanical Engineering for Defense and Safety")</f>
        <v>Human Factors and Mechanical Engineering for Defense and Safety</v>
      </c>
      <c r="F886" s="1" t="str">
        <f ca="1">IFERROR(__xludf.DUMMYFUNCTION("""COMPUTED_VALUE"""),"2367-2544")</f>
        <v>2367-2544</v>
      </c>
      <c r="G886" s="1" t="str">
        <f ca="1">IFERROR(__xludf.DUMMYFUNCTION("""COMPUTED_VALUE"""),"2509-8004")</f>
        <v>2509-8004</v>
      </c>
      <c r="H886" s="27" t="str">
        <f ca="1">IFERROR(__xludf.DUMMYFUNCTION("""COMPUTED_VALUE"""),"https://link.springer.com/journal/41314")</f>
        <v>https://link.springer.com/journal/41314</v>
      </c>
      <c r="I886" s="1" t="str">
        <f ca="1">IFERROR(__xludf.DUMMYFUNCTION("""COMPUTED_VALUE"""),"Springer")</f>
        <v>Springer</v>
      </c>
      <c r="J886" s="1">
        <f ca="1">IFERROR(__xludf.DUMMYFUNCTION("""COMPUTED_VALUE"""),2017)</f>
        <v>2017</v>
      </c>
      <c r="K886" s="1" t="str">
        <f ca="1">IFERROR(__xludf.DUMMYFUNCTION("""COMPUTED_VALUE"""),"Engineering")</f>
        <v>Engineering</v>
      </c>
      <c r="L886" s="1" t="str">
        <f ca="1">IFERROR(__xludf.DUMMYFUNCTION("""COMPUTED_VALUE"""),"〇")</f>
        <v>〇</v>
      </c>
      <c r="M886" s="1"/>
      <c r="N886" s="1" t="str">
        <f ca="1">IFERROR(__xludf.DUMMYFUNCTION("""COMPUTED_VALUE"""),"SNS17")</f>
        <v>SNS17</v>
      </c>
      <c r="O886" s="1"/>
      <c r="P886" s="1"/>
    </row>
    <row r="887" spans="1:16" ht="14.25" customHeight="1" x14ac:dyDescent="0.25">
      <c r="A887" s="1"/>
      <c r="B887" s="1">
        <f ca="1"/>
        <v>875</v>
      </c>
      <c r="C887" s="1">
        <f ca="1">IFERROR(__xludf.DUMMYFUNCTION("""COMPUTED_VALUE"""),2023)</f>
        <v>2023</v>
      </c>
      <c r="D887" s="1">
        <f ca="1">IFERROR(__xludf.DUMMYFUNCTION("""COMPUTED_VALUE"""),439)</f>
        <v>439</v>
      </c>
      <c r="E887" s="1" t="str">
        <f ca="1">IFERROR(__xludf.DUMMYFUNCTION("""COMPUTED_VALUE"""),"Human Genetics")</f>
        <v>Human Genetics</v>
      </c>
      <c r="F887" s="1" t="str">
        <f ca="1">IFERROR(__xludf.DUMMYFUNCTION("""COMPUTED_VALUE"""),"1432-1203")</f>
        <v>1432-1203</v>
      </c>
      <c r="G887" s="1" t="str">
        <f ca="1">IFERROR(__xludf.DUMMYFUNCTION("""COMPUTED_VALUE"""),"0340-6717")</f>
        <v>0340-6717</v>
      </c>
      <c r="H887" s="27" t="str">
        <f ca="1">IFERROR(__xludf.DUMMYFUNCTION("""COMPUTED_VALUE"""),"https://link.springer.com/journal/439")</f>
        <v>https://link.springer.com/journal/439</v>
      </c>
      <c r="I887" s="1" t="str">
        <f ca="1">IFERROR(__xludf.DUMMYFUNCTION("""COMPUTED_VALUE"""),"Springer")</f>
        <v>Springer</v>
      </c>
      <c r="J887" s="1">
        <f ca="1">IFERROR(__xludf.DUMMYFUNCTION("""COMPUTED_VALUE"""),2000)</f>
        <v>2000</v>
      </c>
      <c r="K887" s="1" t="str">
        <f ca="1">IFERROR(__xludf.DUMMYFUNCTION("""COMPUTED_VALUE"""),"Biomedical and Life Sciences")</f>
        <v>Biomedical and Life Sciences</v>
      </c>
      <c r="L887" s="1" t="str">
        <f ca="1">IFERROR(__xludf.DUMMYFUNCTION("""COMPUTED_VALUE"""),"〇")</f>
        <v>〇</v>
      </c>
      <c r="M887" s="1" t="str">
        <f ca="1">IFERROR(__xludf.DUMMYFUNCTION("""COMPUTED_VALUE"""),"〇")</f>
        <v>〇</v>
      </c>
      <c r="N887" s="1"/>
      <c r="O887" s="1"/>
      <c r="P887" s="1"/>
    </row>
    <row r="888" spans="1:16" ht="14.25" customHeight="1" x14ac:dyDescent="0.25">
      <c r="A888" s="1"/>
      <c r="B888" s="1">
        <f ca="1"/>
        <v>876</v>
      </c>
      <c r="C888" s="1">
        <f ca="1">IFERROR(__xludf.DUMMYFUNCTION("""COMPUTED_VALUE"""),2023)</f>
        <v>2023</v>
      </c>
      <c r="D888" s="1">
        <f ca="1">IFERROR(__xludf.DUMMYFUNCTION("""COMPUTED_VALUE"""),12110)</f>
        <v>12110</v>
      </c>
      <c r="E888" s="1" t="str">
        <f ca="1">IFERROR(__xludf.DUMMYFUNCTION("""COMPUTED_VALUE"""),"Human Nature")</f>
        <v>Human Nature</v>
      </c>
      <c r="F888" s="1" t="str">
        <f ca="1">IFERROR(__xludf.DUMMYFUNCTION("""COMPUTED_VALUE"""),"1936-4776")</f>
        <v>1936-4776</v>
      </c>
      <c r="G888" s="1" t="str">
        <f ca="1">IFERROR(__xludf.DUMMYFUNCTION("""COMPUTED_VALUE"""),"1045-6767")</f>
        <v>1045-6767</v>
      </c>
      <c r="H888" s="27" t="str">
        <f ca="1">IFERROR(__xludf.DUMMYFUNCTION("""COMPUTED_VALUE"""),"https://link.springer.com/journal/12110")</f>
        <v>https://link.springer.com/journal/12110</v>
      </c>
      <c r="I888" s="1" t="str">
        <f ca="1">IFERROR(__xludf.DUMMYFUNCTION("""COMPUTED_VALUE"""),"Springer")</f>
        <v>Springer</v>
      </c>
      <c r="J888" s="1">
        <f ca="1">IFERROR(__xludf.DUMMYFUNCTION("""COMPUTED_VALUE"""),2000)</f>
        <v>2000</v>
      </c>
      <c r="K888" s="1" t="str">
        <f ca="1">IFERROR(__xludf.DUMMYFUNCTION("""COMPUTED_VALUE"""),"Social Sciences")</f>
        <v>Social Sciences</v>
      </c>
      <c r="L888" s="1" t="str">
        <f ca="1">IFERROR(__xludf.DUMMYFUNCTION("""COMPUTED_VALUE"""),"〇")</f>
        <v>〇</v>
      </c>
      <c r="M888" s="1" t="str">
        <f ca="1">IFERROR(__xludf.DUMMYFUNCTION("""COMPUTED_VALUE"""),"〇")</f>
        <v>〇</v>
      </c>
      <c r="N888" s="1" t="str">
        <f ca="1">IFERROR(__xludf.DUMMYFUNCTION("""COMPUTED_VALUE"""),"TO7")</f>
        <v>TO7</v>
      </c>
      <c r="O888" s="1"/>
      <c r="P888" s="1"/>
    </row>
    <row r="889" spans="1:16" ht="14.25" customHeight="1" x14ac:dyDescent="0.25">
      <c r="A889" s="1"/>
      <c r="B889" s="1">
        <f ca="1"/>
        <v>877</v>
      </c>
      <c r="C889" s="1">
        <f ca="1">IFERROR(__xludf.DUMMYFUNCTION("""COMPUTED_VALUE"""),2023)</f>
        <v>2023</v>
      </c>
      <c r="D889" s="1">
        <f ca="1">IFERROR(__xludf.DUMMYFUNCTION("""COMPUTED_VALUE"""),10747)</f>
        <v>10747</v>
      </c>
      <c r="E889" s="1" t="str">
        <f ca="1">IFERROR(__xludf.DUMMYFUNCTION("""COMPUTED_VALUE"""),"Human Physiology")</f>
        <v>Human Physiology</v>
      </c>
      <c r="F889" s="1" t="str">
        <f ca="1">IFERROR(__xludf.DUMMYFUNCTION("""COMPUTED_VALUE"""),"1608-3164")</f>
        <v>1608-3164</v>
      </c>
      <c r="G889" s="1" t="str">
        <f ca="1">IFERROR(__xludf.DUMMYFUNCTION("""COMPUTED_VALUE"""),"0362-1197")</f>
        <v>0362-1197</v>
      </c>
      <c r="H889" s="27" t="str">
        <f ca="1">IFERROR(__xludf.DUMMYFUNCTION("""COMPUTED_VALUE"""),"https://link.springer.com/journal/10747")</f>
        <v>https://link.springer.com/journal/10747</v>
      </c>
      <c r="I889" s="1" t="str">
        <f ca="1">IFERROR(__xludf.DUMMYFUNCTION("""COMPUTED_VALUE"""),"Pleiades Publishing")</f>
        <v>Pleiades Publishing</v>
      </c>
      <c r="J889" s="1">
        <f ca="1">IFERROR(__xludf.DUMMYFUNCTION("""COMPUTED_VALUE"""),2000)</f>
        <v>2000</v>
      </c>
      <c r="K889" s="1" t="str">
        <f ca="1">IFERROR(__xludf.DUMMYFUNCTION("""COMPUTED_VALUE"""),"Biomedical and Life Sciences")</f>
        <v>Biomedical and Life Sciences</v>
      </c>
      <c r="L889" s="1" t="str">
        <f ca="1">IFERROR(__xludf.DUMMYFUNCTION("""COMPUTED_VALUE"""),"〇")</f>
        <v>〇</v>
      </c>
      <c r="M889" s="1" t="str">
        <f ca="1">IFERROR(__xludf.DUMMYFUNCTION("""COMPUTED_VALUE"""),"〇")</f>
        <v>〇</v>
      </c>
      <c r="N889" s="1"/>
      <c r="O889" s="1"/>
      <c r="P889" s="1"/>
    </row>
    <row r="890" spans="1:16" ht="14.25" customHeight="1" x14ac:dyDescent="0.25">
      <c r="A890" s="1"/>
      <c r="B890" s="1">
        <f ca="1"/>
        <v>878</v>
      </c>
      <c r="C890" s="1">
        <f ca="1">IFERROR(__xludf.DUMMYFUNCTION("""COMPUTED_VALUE"""),2023)</f>
        <v>2023</v>
      </c>
      <c r="D890" s="1">
        <f ca="1">IFERROR(__xludf.DUMMYFUNCTION("""COMPUTED_VALUE"""),12142)</f>
        <v>12142</v>
      </c>
      <c r="E890" s="1" t="str">
        <f ca="1">IFERROR(__xludf.DUMMYFUNCTION("""COMPUTED_VALUE"""),"Human Rights Review")</f>
        <v>Human Rights Review</v>
      </c>
      <c r="F890" s="1" t="str">
        <f ca="1">IFERROR(__xludf.DUMMYFUNCTION("""COMPUTED_VALUE"""),"1874-6306")</f>
        <v>1874-6306</v>
      </c>
      <c r="G890" s="1" t="str">
        <f ca="1">IFERROR(__xludf.DUMMYFUNCTION("""COMPUTED_VALUE"""),"1524-8879")</f>
        <v>1524-8879</v>
      </c>
      <c r="H890" s="27" t="str">
        <f ca="1">IFERROR(__xludf.DUMMYFUNCTION("""COMPUTED_VALUE"""),"https://link.springer.com/journal/12142")</f>
        <v>https://link.springer.com/journal/12142</v>
      </c>
      <c r="I890" s="1" t="str">
        <f ca="1">IFERROR(__xludf.DUMMYFUNCTION("""COMPUTED_VALUE"""),"Springer")</f>
        <v>Springer</v>
      </c>
      <c r="J890" s="1">
        <f ca="1">IFERROR(__xludf.DUMMYFUNCTION("""COMPUTED_VALUE"""),2000)</f>
        <v>2000</v>
      </c>
      <c r="K890" s="1" t="str">
        <f ca="1">IFERROR(__xludf.DUMMYFUNCTION("""COMPUTED_VALUE"""),"Education")</f>
        <v>Education</v>
      </c>
      <c r="L890" s="1" t="str">
        <f ca="1">IFERROR(__xludf.DUMMYFUNCTION("""COMPUTED_VALUE"""),"〇")</f>
        <v>〇</v>
      </c>
      <c r="M890" s="1" t="str">
        <f ca="1">IFERROR(__xludf.DUMMYFUNCTION("""COMPUTED_VALUE"""),"〇")</f>
        <v>〇</v>
      </c>
      <c r="N890" s="1" t="str">
        <f ca="1">IFERROR(__xludf.DUMMYFUNCTION("""COMPUTED_VALUE"""),"TO7")</f>
        <v>TO7</v>
      </c>
      <c r="O890" s="1"/>
      <c r="P890" s="1"/>
    </row>
    <row r="891" spans="1:16" ht="14.25" customHeight="1" x14ac:dyDescent="0.25">
      <c r="A891" s="1"/>
      <c r="B891" s="1">
        <f ca="1"/>
        <v>879</v>
      </c>
      <c r="C891" s="1">
        <f ca="1">IFERROR(__xludf.DUMMYFUNCTION("""COMPUTED_VALUE"""),2023)</f>
        <v>2023</v>
      </c>
      <c r="D891" s="1">
        <f ca="1">IFERROR(__xludf.DUMMYFUNCTION("""COMPUTED_VALUE"""),10746)</f>
        <v>10746</v>
      </c>
      <c r="E891" s="1" t="str">
        <f ca="1">IFERROR(__xludf.DUMMYFUNCTION("""COMPUTED_VALUE"""),"Human Studies")</f>
        <v>Human Studies</v>
      </c>
      <c r="F891" s="1" t="str">
        <f ca="1">IFERROR(__xludf.DUMMYFUNCTION("""COMPUTED_VALUE"""),"1572-851X")</f>
        <v>1572-851X</v>
      </c>
      <c r="G891" s="1" t="str">
        <f ca="1">IFERROR(__xludf.DUMMYFUNCTION("""COMPUTED_VALUE"""),"0163-8548")</f>
        <v>0163-8548</v>
      </c>
      <c r="H891" s="27" t="str">
        <f ca="1">IFERROR(__xludf.DUMMYFUNCTION("""COMPUTED_VALUE"""),"https://link.springer.com/journal/10746")</f>
        <v>https://link.springer.com/journal/10746</v>
      </c>
      <c r="I891" s="1" t="str">
        <f ca="1">IFERROR(__xludf.DUMMYFUNCTION("""COMPUTED_VALUE"""),"Springer")</f>
        <v>Springer</v>
      </c>
      <c r="J891" s="1">
        <f ca="1">IFERROR(__xludf.DUMMYFUNCTION("""COMPUTED_VALUE"""),2000)</f>
        <v>2000</v>
      </c>
      <c r="K891" s="1" t="str">
        <f ca="1">IFERROR(__xludf.DUMMYFUNCTION("""COMPUTED_VALUE"""),"Education")</f>
        <v>Education</v>
      </c>
      <c r="L891" s="1" t="str">
        <f ca="1">IFERROR(__xludf.DUMMYFUNCTION("""COMPUTED_VALUE"""),"〇")</f>
        <v>〇</v>
      </c>
      <c r="M891" s="1" t="str">
        <f ca="1">IFERROR(__xludf.DUMMYFUNCTION("""COMPUTED_VALUE"""),"〇")</f>
        <v>〇</v>
      </c>
      <c r="N891" s="1"/>
      <c r="O891" s="1"/>
      <c r="P891" s="1"/>
    </row>
    <row r="892" spans="1:16" ht="14.25" customHeight="1" x14ac:dyDescent="0.25">
      <c r="A892" s="1"/>
      <c r="B892" s="1">
        <f ca="1"/>
        <v>880</v>
      </c>
      <c r="C892" s="1">
        <f ca="1">IFERROR(__xludf.DUMMYFUNCTION("""COMPUTED_VALUE"""),2023)</f>
        <v>2023</v>
      </c>
      <c r="D892" s="1">
        <f ca="1">IFERROR(__xludf.DUMMYFUNCTION("""COMPUTED_VALUE"""),42454)</f>
        <v>42454</v>
      </c>
      <c r="E892" s="1" t="str">
        <f ca="1">IFERROR(__xludf.DUMMYFUNCTION("""COMPUTED_VALUE"""),"Human-Intelligent Systems Integration")</f>
        <v>Human-Intelligent Systems Integration</v>
      </c>
      <c r="F892" s="1" t="str">
        <f ca="1">IFERROR(__xludf.DUMMYFUNCTION("""COMPUTED_VALUE"""),"2524-4884")</f>
        <v>2524-4884</v>
      </c>
      <c r="G892" s="1" t="str">
        <f ca="1">IFERROR(__xludf.DUMMYFUNCTION("""COMPUTED_VALUE"""),"2524-4876")</f>
        <v>2524-4876</v>
      </c>
      <c r="H892" s="27" t="str">
        <f ca="1">IFERROR(__xludf.DUMMYFUNCTION("""COMPUTED_VALUE"""),"https://link.springer.com/journal/42454")</f>
        <v>https://link.springer.com/journal/42454</v>
      </c>
      <c r="I892" s="1" t="str">
        <f ca="1">IFERROR(__xludf.DUMMYFUNCTION("""COMPUTED_VALUE"""),"Springer")</f>
        <v>Springer</v>
      </c>
      <c r="J892" s="1">
        <f ca="1">IFERROR(__xludf.DUMMYFUNCTION("""COMPUTED_VALUE"""),2019)</f>
        <v>2019</v>
      </c>
      <c r="K892" s="1" t="str">
        <f ca="1">IFERROR(__xludf.DUMMYFUNCTION("""COMPUTED_VALUE"""),"Engineering")</f>
        <v>Engineering</v>
      </c>
      <c r="L892" s="1" t="str">
        <f ca="1">IFERROR(__xludf.DUMMYFUNCTION("""COMPUTED_VALUE"""),"〇")</f>
        <v>〇</v>
      </c>
      <c r="M892" s="1"/>
      <c r="N892" s="1" t="str">
        <f ca="1">IFERROR(__xludf.DUMMYFUNCTION("""COMPUTED_VALUE"""),"SNS19")</f>
        <v>SNS19</v>
      </c>
      <c r="O892" s="1"/>
      <c r="P892" s="1"/>
    </row>
    <row r="893" spans="1:16" ht="14.25" customHeight="1" x14ac:dyDescent="0.25">
      <c r="A893" s="1"/>
      <c r="B893" s="1">
        <f ca="1"/>
        <v>881</v>
      </c>
      <c r="C893" s="1">
        <f ca="1">IFERROR(__xludf.DUMMYFUNCTION("""COMPUTED_VALUE"""),2023)</f>
        <v>2023</v>
      </c>
      <c r="D893" s="1">
        <f ca="1">IFERROR(__xludf.DUMMYFUNCTION("""COMPUTED_VALUE"""),41463)</f>
        <v>41463</v>
      </c>
      <c r="E893" s="1" t="str">
        <f ca="1">IFERROR(__xludf.DUMMYFUNCTION("""COMPUTED_VALUE"""),"Humanistic Management Journal")</f>
        <v>Humanistic Management Journal</v>
      </c>
      <c r="F893" s="1" t="str">
        <f ca="1">IFERROR(__xludf.DUMMYFUNCTION("""COMPUTED_VALUE"""),"2366-6048")</f>
        <v>2366-6048</v>
      </c>
      <c r="G893" s="1" t="str">
        <f ca="1">IFERROR(__xludf.DUMMYFUNCTION("""COMPUTED_VALUE"""),"2366-603X")</f>
        <v>2366-603X</v>
      </c>
      <c r="H893" s="27" t="str">
        <f ca="1">IFERROR(__xludf.DUMMYFUNCTION("""COMPUTED_VALUE"""),"https://link.springer.com/journal/41463")</f>
        <v>https://link.springer.com/journal/41463</v>
      </c>
      <c r="I893" s="1" t="str">
        <f ca="1">IFERROR(__xludf.DUMMYFUNCTION("""COMPUTED_VALUE"""),"Springer")</f>
        <v>Springer</v>
      </c>
      <c r="J893" s="1">
        <f ca="1">IFERROR(__xludf.DUMMYFUNCTION("""COMPUTED_VALUE"""),2016)</f>
        <v>2016</v>
      </c>
      <c r="K893" s="1" t="str">
        <f ca="1">IFERROR(__xludf.DUMMYFUNCTION("""COMPUTED_VALUE"""),"Education")</f>
        <v>Education</v>
      </c>
      <c r="L893" s="1" t="str">
        <f ca="1">IFERROR(__xludf.DUMMYFUNCTION("""COMPUTED_VALUE"""),"〇")</f>
        <v>〇</v>
      </c>
      <c r="M893" s="1"/>
      <c r="N893" s="1" t="str">
        <f ca="1">IFERROR(__xludf.DUMMYFUNCTION("""COMPUTED_VALUE"""),"SNS16")</f>
        <v>SNS16</v>
      </c>
      <c r="O893" s="1"/>
      <c r="P893" s="1"/>
    </row>
    <row r="894" spans="1:16" ht="14.25" customHeight="1" x14ac:dyDescent="0.25">
      <c r="A894" s="1"/>
      <c r="B894" s="1">
        <f ca="1"/>
        <v>882</v>
      </c>
      <c r="C894" s="1">
        <f ca="1">IFERROR(__xludf.DUMMYFUNCTION("""COMPUTED_VALUE"""),2023)</f>
        <v>2023</v>
      </c>
      <c r="D894" s="1">
        <f ca="1">IFERROR(__xludf.DUMMYFUNCTION("""COMPUTED_VALUE"""),10743)</f>
        <v>10743</v>
      </c>
      <c r="E894" s="1" t="str">
        <f ca="1">IFERROR(__xludf.DUMMYFUNCTION("""COMPUTED_VALUE"""),"Husserl Studies")</f>
        <v>Husserl Studies</v>
      </c>
      <c r="F894" s="1" t="str">
        <f ca="1">IFERROR(__xludf.DUMMYFUNCTION("""COMPUTED_VALUE"""),"1572-8501")</f>
        <v>1572-8501</v>
      </c>
      <c r="G894" s="1" t="str">
        <f ca="1">IFERROR(__xludf.DUMMYFUNCTION("""COMPUTED_VALUE"""),"0167-9848")</f>
        <v>0167-9848</v>
      </c>
      <c r="H894" s="27" t="str">
        <f ca="1">IFERROR(__xludf.DUMMYFUNCTION("""COMPUTED_VALUE"""),"https://link.springer.com/journal/10743")</f>
        <v>https://link.springer.com/journal/10743</v>
      </c>
      <c r="I894" s="1" t="str">
        <f ca="1">IFERROR(__xludf.DUMMYFUNCTION("""COMPUTED_VALUE"""),"Springer")</f>
        <v>Springer</v>
      </c>
      <c r="J894" s="1">
        <f ca="1">IFERROR(__xludf.DUMMYFUNCTION("""COMPUTED_VALUE"""),2000)</f>
        <v>2000</v>
      </c>
      <c r="K894" s="1" t="str">
        <f ca="1">IFERROR(__xludf.DUMMYFUNCTION("""COMPUTED_VALUE"""),"Education")</f>
        <v>Education</v>
      </c>
      <c r="L894" s="1" t="str">
        <f ca="1">IFERROR(__xludf.DUMMYFUNCTION("""COMPUTED_VALUE"""),"〇")</f>
        <v>〇</v>
      </c>
      <c r="M894" s="1" t="str">
        <f ca="1">IFERROR(__xludf.DUMMYFUNCTION("""COMPUTED_VALUE"""),"〇")</f>
        <v>〇</v>
      </c>
      <c r="N894" s="1"/>
      <c r="O894" s="1"/>
      <c r="P894" s="1"/>
    </row>
    <row r="895" spans="1:16" ht="14.25" customHeight="1" x14ac:dyDescent="0.25">
      <c r="A895" s="1"/>
      <c r="B895" s="1">
        <f ca="1"/>
        <v>883</v>
      </c>
      <c r="C895" s="1">
        <f ca="1">IFERROR(__xludf.DUMMYFUNCTION("""COMPUTED_VALUE"""),2023)</f>
        <v>2023</v>
      </c>
      <c r="D895" s="1">
        <f ca="1">IFERROR(__xludf.DUMMYFUNCTION("""COMPUTED_VALUE"""),10750)</f>
        <v>10750</v>
      </c>
      <c r="E895" s="1" t="str">
        <f ca="1">IFERROR(__xludf.DUMMYFUNCTION("""COMPUTED_VALUE"""),"Hydrobiologia")</f>
        <v>Hydrobiologia</v>
      </c>
      <c r="F895" s="1" t="str">
        <f ca="1">IFERROR(__xludf.DUMMYFUNCTION("""COMPUTED_VALUE"""),"1573-5117")</f>
        <v>1573-5117</v>
      </c>
      <c r="G895" s="1" t="str">
        <f ca="1">IFERROR(__xludf.DUMMYFUNCTION("""COMPUTED_VALUE"""),"0018-8158")</f>
        <v>0018-8158</v>
      </c>
      <c r="H895" s="27" t="str">
        <f ca="1">IFERROR(__xludf.DUMMYFUNCTION("""COMPUTED_VALUE"""),"https://link.springer.com/journal/10750")</f>
        <v>https://link.springer.com/journal/10750</v>
      </c>
      <c r="I895" s="1" t="str">
        <f ca="1">IFERROR(__xludf.DUMMYFUNCTION("""COMPUTED_VALUE"""),"Springer")</f>
        <v>Springer</v>
      </c>
      <c r="J895" s="1">
        <f ca="1">IFERROR(__xludf.DUMMYFUNCTION("""COMPUTED_VALUE"""),2000)</f>
        <v>2000</v>
      </c>
      <c r="K895" s="1" t="str">
        <f ca="1">IFERROR(__xludf.DUMMYFUNCTION("""COMPUTED_VALUE"""),"Biomedical and Life Sciences")</f>
        <v>Biomedical and Life Sciences</v>
      </c>
      <c r="L895" s="1" t="str">
        <f ca="1">IFERROR(__xludf.DUMMYFUNCTION("""COMPUTED_VALUE"""),"〇")</f>
        <v>〇</v>
      </c>
      <c r="M895" s="1" t="str">
        <f ca="1">IFERROR(__xludf.DUMMYFUNCTION("""COMPUTED_VALUE"""),"〇")</f>
        <v>〇</v>
      </c>
      <c r="N895" s="1"/>
      <c r="O895" s="1"/>
      <c r="P895" s="1"/>
    </row>
    <row r="896" spans="1:16" ht="14.25" customHeight="1" x14ac:dyDescent="0.25">
      <c r="A896" s="1"/>
      <c r="B896" s="1">
        <f ca="1"/>
        <v>884</v>
      </c>
      <c r="C896" s="1">
        <f ca="1">IFERROR(__xludf.DUMMYFUNCTION("""COMPUTED_VALUE"""),2023)</f>
        <v>2023</v>
      </c>
      <c r="D896" s="1">
        <f ca="1">IFERROR(__xludf.DUMMYFUNCTION("""COMPUTED_VALUE"""),10040)</f>
        <v>10040</v>
      </c>
      <c r="E896" s="1" t="str">
        <f ca="1">IFERROR(__xludf.DUMMYFUNCTION("""COMPUTED_VALUE"""),"Hydrogeology Journal")</f>
        <v>Hydrogeology Journal</v>
      </c>
      <c r="F896" s="1" t="str">
        <f ca="1">IFERROR(__xludf.DUMMYFUNCTION("""COMPUTED_VALUE"""),"1435-0157")</f>
        <v>1435-0157</v>
      </c>
      <c r="G896" s="1" t="str">
        <f ca="1">IFERROR(__xludf.DUMMYFUNCTION("""COMPUTED_VALUE"""),"1431-2174")</f>
        <v>1431-2174</v>
      </c>
      <c r="H896" s="27" t="str">
        <f ca="1">IFERROR(__xludf.DUMMYFUNCTION("""COMPUTED_VALUE"""),"https://link.springer.com/journal/10040")</f>
        <v>https://link.springer.com/journal/10040</v>
      </c>
      <c r="I896" s="1" t="str">
        <f ca="1">IFERROR(__xludf.DUMMYFUNCTION("""COMPUTED_VALUE"""),"Springer")</f>
        <v>Springer</v>
      </c>
      <c r="J896" s="1">
        <f ca="1">IFERROR(__xludf.DUMMYFUNCTION("""COMPUTED_VALUE"""),2000)</f>
        <v>2000</v>
      </c>
      <c r="K896" s="1" t="str">
        <f ca="1">IFERROR(__xludf.DUMMYFUNCTION("""COMPUTED_VALUE"""),"Earth and Environmental Science")</f>
        <v>Earth and Environmental Science</v>
      </c>
      <c r="L896" s="1" t="str">
        <f ca="1">IFERROR(__xludf.DUMMYFUNCTION("""COMPUTED_VALUE"""),"〇")</f>
        <v>〇</v>
      </c>
      <c r="M896" s="1" t="str">
        <f ca="1">IFERROR(__xludf.DUMMYFUNCTION("""COMPUTED_VALUE"""),"〇")</f>
        <v>〇</v>
      </c>
      <c r="N896" s="1"/>
      <c r="O896" s="1"/>
      <c r="P896" s="1"/>
    </row>
    <row r="897" spans="1:16" ht="14.25" customHeight="1" x14ac:dyDescent="0.25">
      <c r="A897" s="1"/>
      <c r="B897" s="1">
        <f ca="1"/>
        <v>885</v>
      </c>
      <c r="C897" s="1">
        <f ca="1">IFERROR(__xludf.DUMMYFUNCTION("""COMPUTED_VALUE"""),2023)</f>
        <v>2023</v>
      </c>
      <c r="D897" s="1">
        <f ca="1">IFERROR(__xludf.DUMMYFUNCTION("""COMPUTED_VALUE"""),10751)</f>
        <v>10751</v>
      </c>
      <c r="E897" s="1" t="str">
        <f ca="1">IFERROR(__xludf.DUMMYFUNCTION("""COMPUTED_VALUE"""),"Hyperfine Interactions")</f>
        <v>Hyperfine Interactions</v>
      </c>
      <c r="F897" s="1" t="str">
        <f ca="1">IFERROR(__xludf.DUMMYFUNCTION("""COMPUTED_VALUE"""),"1572-9540")</f>
        <v>1572-9540</v>
      </c>
      <c r="G897" s="1"/>
      <c r="H897" s="27" t="str">
        <f ca="1">IFERROR(__xludf.DUMMYFUNCTION("""COMPUTED_VALUE"""),"https://link.springer.com/journal/10751")</f>
        <v>https://link.springer.com/journal/10751</v>
      </c>
      <c r="I897" s="1" t="str">
        <f ca="1">IFERROR(__xludf.DUMMYFUNCTION("""COMPUTED_VALUE"""),"Springer")</f>
        <v>Springer</v>
      </c>
      <c r="J897" s="1">
        <f ca="1">IFERROR(__xludf.DUMMYFUNCTION("""COMPUTED_VALUE"""),2000)</f>
        <v>2000</v>
      </c>
      <c r="K897" s="1" t="str">
        <f ca="1">IFERROR(__xludf.DUMMYFUNCTION("""COMPUTED_VALUE"""),"Physics and Astronomy")</f>
        <v>Physics and Astronomy</v>
      </c>
      <c r="L897" s="1"/>
      <c r="M897" s="1" t="str">
        <f ca="1">IFERROR(__xludf.DUMMYFUNCTION("""COMPUTED_VALUE"""),"〇")</f>
        <v>〇</v>
      </c>
      <c r="N897" s="1"/>
      <c r="O897" s="1"/>
      <c r="P897" s="1"/>
    </row>
    <row r="898" spans="1:16" ht="14.25" customHeight="1" x14ac:dyDescent="0.25">
      <c r="A898" s="1"/>
      <c r="B898" s="1">
        <f ca="1"/>
        <v>886</v>
      </c>
      <c r="C898" s="1">
        <f ca="1">IFERROR(__xludf.DUMMYFUNCTION("""COMPUTED_VALUE"""),2023)</f>
        <v>2023</v>
      </c>
      <c r="D898" s="1">
        <f ca="1">IFERROR(__xludf.DUMMYFUNCTION("""COMPUTED_VALUE"""),10228)</f>
        <v>10228</v>
      </c>
      <c r="E898" s="1" t="str">
        <f ca="1">IFERROR(__xludf.DUMMYFUNCTION("""COMPUTED_VALUE"""),"Ichthyological Research")</f>
        <v>Ichthyological Research</v>
      </c>
      <c r="F898" s="1" t="str">
        <f ca="1">IFERROR(__xludf.DUMMYFUNCTION("""COMPUTED_VALUE"""),"1616-3915")</f>
        <v>1616-3915</v>
      </c>
      <c r="G898" s="1" t="str">
        <f ca="1">IFERROR(__xludf.DUMMYFUNCTION("""COMPUTED_VALUE"""),"1341-8998")</f>
        <v>1341-8998</v>
      </c>
      <c r="H898" s="27" t="str">
        <f ca="1">IFERROR(__xludf.DUMMYFUNCTION("""COMPUTED_VALUE"""),"https://link.springer.com/journal/10228")</f>
        <v>https://link.springer.com/journal/10228</v>
      </c>
      <c r="I898" s="1" t="str">
        <f ca="1">IFERROR(__xludf.DUMMYFUNCTION("""COMPUTED_VALUE"""),"Springer")</f>
        <v>Springer</v>
      </c>
      <c r="J898" s="1">
        <f ca="1">IFERROR(__xludf.DUMMYFUNCTION("""COMPUTED_VALUE"""),2000)</f>
        <v>2000</v>
      </c>
      <c r="K898" s="1" t="str">
        <f ca="1">IFERROR(__xludf.DUMMYFUNCTION("""COMPUTED_VALUE"""),"Biomedical and Life Sciences")</f>
        <v>Biomedical and Life Sciences</v>
      </c>
      <c r="L898" s="1" t="str">
        <f ca="1">IFERROR(__xludf.DUMMYFUNCTION("""COMPUTED_VALUE"""),"〇")</f>
        <v>〇</v>
      </c>
      <c r="M898" s="1" t="str">
        <f ca="1">IFERROR(__xludf.DUMMYFUNCTION("""COMPUTED_VALUE"""),"〇")</f>
        <v>〇</v>
      </c>
      <c r="N898" s="1"/>
      <c r="O898" s="1"/>
      <c r="P898" s="1"/>
    </row>
    <row r="899" spans="1:16" ht="14.25" customHeight="1" x14ac:dyDescent="0.25">
      <c r="A899" s="1"/>
      <c r="B899" s="1">
        <f ca="1"/>
        <v>887</v>
      </c>
      <c r="C899" s="1">
        <f ca="1">IFERROR(__xludf.DUMMYFUNCTION("""COMPUTED_VALUE"""),2023)</f>
        <v>2023</v>
      </c>
      <c r="D899" s="1">
        <f ca="1">IFERROR(__xludf.DUMMYFUNCTION("""COMPUTED_VALUE"""),40319)</f>
        <v>40319</v>
      </c>
      <c r="E899" s="1" t="str">
        <f ca="1">IFERROR(__xludf.DUMMYFUNCTION("""COMPUTED_VALUE"""),"IIC - International Review of Intellectual Property and Competition Law")</f>
        <v>IIC - International Review of Intellectual Property and Competition Law</v>
      </c>
      <c r="F899" s="1" t="str">
        <f ca="1">IFERROR(__xludf.DUMMYFUNCTION("""COMPUTED_VALUE"""),"2195-0237")</f>
        <v>2195-0237</v>
      </c>
      <c r="G899" s="1" t="str">
        <f ca="1">IFERROR(__xludf.DUMMYFUNCTION("""COMPUTED_VALUE"""),"0018-9855")</f>
        <v>0018-9855</v>
      </c>
      <c r="H899" s="27" t="str">
        <f ca="1">IFERROR(__xludf.DUMMYFUNCTION("""COMPUTED_VALUE"""),"https://link.springer.com/journal/40319")</f>
        <v>https://link.springer.com/journal/40319</v>
      </c>
      <c r="I899" s="1" t="str">
        <f ca="1">IFERROR(__xludf.DUMMYFUNCTION("""COMPUTED_VALUE"""),"Springer")</f>
        <v>Springer</v>
      </c>
      <c r="J899" s="1">
        <f ca="1">IFERROR(__xludf.DUMMYFUNCTION("""COMPUTED_VALUE"""),2013)</f>
        <v>2013</v>
      </c>
      <c r="K899" s="1" t="str">
        <f ca="1">IFERROR(__xludf.DUMMYFUNCTION("""COMPUTED_VALUE"""),"Law and Criminology")</f>
        <v>Law and Criminology</v>
      </c>
      <c r="L899" s="1" t="str">
        <f ca="1">IFERROR(__xludf.DUMMYFUNCTION("""COMPUTED_VALUE"""),"〇")</f>
        <v>〇</v>
      </c>
      <c r="M899" s="1"/>
      <c r="N899" s="1" t="str">
        <f ca="1">IFERROR(__xludf.DUMMYFUNCTION("""COMPUTED_VALUE"""),"TO13")</f>
        <v>TO13</v>
      </c>
      <c r="O899" s="1"/>
      <c r="P899" s="1"/>
    </row>
    <row r="900" spans="1:16" ht="14.25" customHeight="1" x14ac:dyDescent="0.25">
      <c r="A900" s="1"/>
      <c r="B900" s="1">
        <f ca="1"/>
        <v>888</v>
      </c>
      <c r="C900" s="1">
        <f ca="1">IFERROR(__xludf.DUMMYFUNCTION("""COMPUTED_VALUE"""),2023)</f>
        <v>2023</v>
      </c>
      <c r="D900" s="1">
        <f ca="1">IFERROR(__xludf.DUMMYFUNCTION("""COMPUTED_VALUE"""),15015)</f>
        <v>15015</v>
      </c>
      <c r="E900" s="1" t="str">
        <f ca="1">IFERROR(__xludf.DUMMYFUNCTION("""COMPUTED_VALUE"""),"Im Fokus Onkologie")</f>
        <v>Im Fokus Onkologie</v>
      </c>
      <c r="F900" s="1" t="str">
        <f ca="1">IFERROR(__xludf.DUMMYFUNCTION("""COMPUTED_VALUE"""),"2192-5674")</f>
        <v>2192-5674</v>
      </c>
      <c r="G900" s="1" t="str">
        <f ca="1">IFERROR(__xludf.DUMMYFUNCTION("""COMPUTED_VALUE"""),"1435-7402")</f>
        <v>1435-7402</v>
      </c>
      <c r="H900" s="27" t="str">
        <f ca="1">IFERROR(__xludf.DUMMYFUNCTION("""COMPUTED_VALUE"""),"https://link.springer.com/journal/15015")</f>
        <v>https://link.springer.com/journal/15015</v>
      </c>
      <c r="I900" s="1" t="str">
        <f ca="1">IFERROR(__xludf.DUMMYFUNCTION("""COMPUTED_VALUE"""),"SpringerMedizin")</f>
        <v>SpringerMedizin</v>
      </c>
      <c r="J900" s="1">
        <f ca="1">IFERROR(__xludf.DUMMYFUNCTION("""COMPUTED_VALUE"""),2012)</f>
        <v>2012</v>
      </c>
      <c r="K900" s="1" t="str">
        <f ca="1">IFERROR(__xludf.DUMMYFUNCTION("""COMPUTED_VALUE"""),"Medicine")</f>
        <v>Medicine</v>
      </c>
      <c r="L900" s="1" t="str">
        <f ca="1">IFERROR(__xludf.DUMMYFUNCTION("""COMPUTED_VALUE"""),"〇")</f>
        <v>〇</v>
      </c>
      <c r="M900" s="1"/>
      <c r="N900" s="1"/>
      <c r="O900" s="1"/>
      <c r="P900" s="1"/>
    </row>
    <row r="901" spans="1:16" ht="14.25" customHeight="1" x14ac:dyDescent="0.25">
      <c r="A901" s="1"/>
      <c r="B901" s="1">
        <f ca="1"/>
        <v>889</v>
      </c>
      <c r="C901" s="1">
        <f ca="1">IFERROR(__xludf.DUMMYFUNCTION("""COMPUTED_VALUE"""),2023)</f>
        <v>2023</v>
      </c>
      <c r="D901" s="1">
        <f ca="1">IFERROR(__xludf.DUMMYFUNCTION("""COMPUTED_VALUE"""),251)</f>
        <v>251</v>
      </c>
      <c r="E901" s="1" t="str">
        <f ca="1">IFERROR(__xludf.DUMMYFUNCTION("""COMPUTED_VALUE"""),"Immunogenetics")</f>
        <v>Immunogenetics</v>
      </c>
      <c r="F901" s="1" t="str">
        <f ca="1">IFERROR(__xludf.DUMMYFUNCTION("""COMPUTED_VALUE"""),"1432-1211")</f>
        <v>1432-1211</v>
      </c>
      <c r="G901" s="1" t="str">
        <f ca="1">IFERROR(__xludf.DUMMYFUNCTION("""COMPUTED_VALUE"""),"0093-7711")</f>
        <v>0093-7711</v>
      </c>
      <c r="H901" s="27" t="str">
        <f ca="1">IFERROR(__xludf.DUMMYFUNCTION("""COMPUTED_VALUE"""),"https://link.springer.com/journal/251")</f>
        <v>https://link.springer.com/journal/251</v>
      </c>
      <c r="I901" s="1" t="str">
        <f ca="1">IFERROR(__xludf.DUMMYFUNCTION("""COMPUTED_VALUE"""),"Springer")</f>
        <v>Springer</v>
      </c>
      <c r="J901" s="1">
        <f ca="1">IFERROR(__xludf.DUMMYFUNCTION("""COMPUTED_VALUE"""),2000)</f>
        <v>2000</v>
      </c>
      <c r="K901" s="1" t="str">
        <f ca="1">IFERROR(__xludf.DUMMYFUNCTION("""COMPUTED_VALUE"""),"Biomedical and Life Sciences")</f>
        <v>Biomedical and Life Sciences</v>
      </c>
      <c r="L901" s="1" t="str">
        <f ca="1">IFERROR(__xludf.DUMMYFUNCTION("""COMPUTED_VALUE"""),"〇")</f>
        <v>〇</v>
      </c>
      <c r="M901" s="1" t="str">
        <f ca="1">IFERROR(__xludf.DUMMYFUNCTION("""COMPUTED_VALUE"""),"〇")</f>
        <v>〇</v>
      </c>
      <c r="N901" s="1"/>
      <c r="O901" s="1"/>
      <c r="P901" s="1"/>
    </row>
    <row r="902" spans="1:16" ht="14.25" customHeight="1" x14ac:dyDescent="0.25">
      <c r="A902" s="1"/>
      <c r="B902" s="1">
        <f ca="1"/>
        <v>890</v>
      </c>
      <c r="C902" s="1">
        <f ca="1">IFERROR(__xludf.DUMMYFUNCTION("""COMPUTED_VALUE"""),2023)</f>
        <v>2023</v>
      </c>
      <c r="D902" s="1">
        <f ca="1">IFERROR(__xludf.DUMMYFUNCTION("""COMPUTED_VALUE"""),12026)</f>
        <v>12026</v>
      </c>
      <c r="E902" s="1" t="str">
        <f ca="1">IFERROR(__xludf.DUMMYFUNCTION("""COMPUTED_VALUE"""),"Immunologic Research")</f>
        <v>Immunologic Research</v>
      </c>
      <c r="F902" s="1" t="str">
        <f ca="1">IFERROR(__xludf.DUMMYFUNCTION("""COMPUTED_VALUE"""),"1559-0755")</f>
        <v>1559-0755</v>
      </c>
      <c r="G902" s="1" t="str">
        <f ca="1">IFERROR(__xludf.DUMMYFUNCTION("""COMPUTED_VALUE"""),"0257-277X")</f>
        <v>0257-277X</v>
      </c>
      <c r="H902" s="27" t="str">
        <f ca="1">IFERROR(__xludf.DUMMYFUNCTION("""COMPUTED_VALUE"""),"https://link.springer.com/journal/12026")</f>
        <v>https://link.springer.com/journal/12026</v>
      </c>
      <c r="I902" s="1" t="str">
        <f ca="1">IFERROR(__xludf.DUMMYFUNCTION("""COMPUTED_VALUE"""),"Springer")</f>
        <v>Springer</v>
      </c>
      <c r="J902" s="1">
        <f ca="1">IFERROR(__xludf.DUMMYFUNCTION("""COMPUTED_VALUE"""),2000)</f>
        <v>2000</v>
      </c>
      <c r="K902" s="1" t="str">
        <f ca="1">IFERROR(__xludf.DUMMYFUNCTION("""COMPUTED_VALUE"""),"Biomedical and Life Sciences")</f>
        <v>Biomedical and Life Sciences</v>
      </c>
      <c r="L902" s="1" t="str">
        <f ca="1">IFERROR(__xludf.DUMMYFUNCTION("""COMPUTED_VALUE"""),"〇")</f>
        <v>〇</v>
      </c>
      <c r="M902" s="1" t="str">
        <f ca="1">IFERROR(__xludf.DUMMYFUNCTION("""COMPUTED_VALUE"""),"〇")</f>
        <v>〇</v>
      </c>
      <c r="N902" s="1" t="str">
        <f ca="1">IFERROR(__xludf.DUMMYFUNCTION("""COMPUTED_VALUE"""),"TO7")</f>
        <v>TO7</v>
      </c>
      <c r="O902" s="1"/>
      <c r="P902" s="1"/>
    </row>
    <row r="903" spans="1:16" ht="14.25" customHeight="1" x14ac:dyDescent="0.25">
      <c r="A903" s="1"/>
      <c r="B903" s="1">
        <f ca="1"/>
        <v>891</v>
      </c>
      <c r="C903" s="1">
        <f ca="1">IFERROR(__xludf.DUMMYFUNCTION("""COMPUTED_VALUE"""),2023)</f>
        <v>2023</v>
      </c>
      <c r="D903" s="1">
        <f ca="1">IFERROR(__xludf.DUMMYFUNCTION("""COMPUTED_VALUE"""),40203)</f>
        <v>40203</v>
      </c>
      <c r="E903" s="1" t="str">
        <f ca="1">IFERROR(__xludf.DUMMYFUNCTION("""COMPUTED_VALUE"""),"In Silico Pharmacology")</f>
        <v>In Silico Pharmacology</v>
      </c>
      <c r="F903" s="1" t="str">
        <f ca="1">IFERROR(__xludf.DUMMYFUNCTION("""COMPUTED_VALUE"""),"2193-9616")</f>
        <v>2193-9616</v>
      </c>
      <c r="G903" s="1"/>
      <c r="H903" s="27" t="str">
        <f ca="1">IFERROR(__xludf.DUMMYFUNCTION("""COMPUTED_VALUE"""),"https://link.springer.com/journal/40203")</f>
        <v>https://link.springer.com/journal/40203</v>
      </c>
      <c r="I903" s="1" t="str">
        <f ca="1">IFERROR(__xludf.DUMMYFUNCTION("""COMPUTED_VALUE"""),"Springer")</f>
        <v>Springer</v>
      </c>
      <c r="J903" s="1">
        <f ca="1">IFERROR(__xludf.DUMMYFUNCTION("""COMPUTED_VALUE"""),2013)</f>
        <v>2013</v>
      </c>
      <c r="K903" s="1" t="str">
        <f ca="1">IFERROR(__xludf.DUMMYFUNCTION("""COMPUTED_VALUE"""),"Biomedical and Life Sciences")</f>
        <v>Biomedical and Life Sciences</v>
      </c>
      <c r="L903" s="1"/>
      <c r="M903" s="1"/>
      <c r="N903" s="1"/>
      <c r="O903" s="1"/>
      <c r="P903" s="1"/>
    </row>
    <row r="904" spans="1:16" ht="14.25" customHeight="1" x14ac:dyDescent="0.25">
      <c r="A904" s="1"/>
      <c r="B904" s="1">
        <f ca="1"/>
        <v>892</v>
      </c>
      <c r="C904" s="1">
        <f ca="1">IFERROR(__xludf.DUMMYFUNCTION("""COMPUTED_VALUE"""),2023)</f>
        <v>2023</v>
      </c>
      <c r="D904" s="1">
        <f ca="1">IFERROR(__xludf.DUMMYFUNCTION("""COMPUTED_VALUE"""),11626)</f>
        <v>11626</v>
      </c>
      <c r="E904" s="1" t="str">
        <f ca="1">IFERROR(__xludf.DUMMYFUNCTION("""COMPUTED_VALUE"""),"In Vitro Cellular &amp; Developmental Biology - Animal")</f>
        <v>In Vitro Cellular &amp; Developmental Biology - Animal</v>
      </c>
      <c r="F904" s="1" t="str">
        <f ca="1">IFERROR(__xludf.DUMMYFUNCTION("""COMPUTED_VALUE"""),"1543-706X")</f>
        <v>1543-706X</v>
      </c>
      <c r="G904" s="1" t="str">
        <f ca="1">IFERROR(__xludf.DUMMYFUNCTION("""COMPUTED_VALUE"""),"1071-2690")</f>
        <v>1071-2690</v>
      </c>
      <c r="H904" s="27" t="str">
        <f ca="1">IFERROR(__xludf.DUMMYFUNCTION("""COMPUTED_VALUE"""),"https://link.springer.com/journal/11626")</f>
        <v>https://link.springer.com/journal/11626</v>
      </c>
      <c r="I904" s="1" t="str">
        <f ca="1">IFERROR(__xludf.DUMMYFUNCTION("""COMPUTED_VALUE"""),"Springer")</f>
        <v>Springer</v>
      </c>
      <c r="J904" s="1">
        <f ca="1">IFERROR(__xludf.DUMMYFUNCTION("""COMPUTED_VALUE"""),2000)</f>
        <v>2000</v>
      </c>
      <c r="K904" s="1" t="str">
        <f ca="1">IFERROR(__xludf.DUMMYFUNCTION("""COMPUTED_VALUE"""),"Biomedical and Life Sciences")</f>
        <v>Biomedical and Life Sciences</v>
      </c>
      <c r="L904" s="1" t="str">
        <f ca="1">IFERROR(__xludf.DUMMYFUNCTION("""COMPUTED_VALUE"""),"〇")</f>
        <v>〇</v>
      </c>
      <c r="M904" s="1" t="str">
        <f ca="1">IFERROR(__xludf.DUMMYFUNCTION("""COMPUTED_VALUE"""),"〇")</f>
        <v>〇</v>
      </c>
      <c r="N904" s="1" t="str">
        <f ca="1">IFERROR(__xludf.DUMMYFUNCTION("""COMPUTED_VALUE"""),"TO7")</f>
        <v>TO7</v>
      </c>
      <c r="O904" s="1"/>
      <c r="P904" s="1"/>
    </row>
    <row r="905" spans="1:16" ht="14.25" customHeight="1" x14ac:dyDescent="0.25">
      <c r="A905" s="1"/>
      <c r="B905" s="1">
        <f ca="1"/>
        <v>893</v>
      </c>
      <c r="C905" s="1">
        <f ca="1">IFERROR(__xludf.DUMMYFUNCTION("""COMPUTED_VALUE"""),2023)</f>
        <v>2023</v>
      </c>
      <c r="D905" s="1">
        <f ca="1">IFERROR(__xludf.DUMMYFUNCTION("""COMPUTED_VALUE"""),11627)</f>
        <v>11627</v>
      </c>
      <c r="E905" s="1" t="str">
        <f ca="1">IFERROR(__xludf.DUMMYFUNCTION("""COMPUTED_VALUE"""),"In Vitro Cellular &amp; Developmental Biology - Plant")</f>
        <v>In Vitro Cellular &amp; Developmental Biology - Plant</v>
      </c>
      <c r="F905" s="1" t="str">
        <f ca="1">IFERROR(__xludf.DUMMYFUNCTION("""COMPUTED_VALUE"""),"1475-2689")</f>
        <v>1475-2689</v>
      </c>
      <c r="G905" s="1" t="str">
        <f ca="1">IFERROR(__xludf.DUMMYFUNCTION("""COMPUTED_VALUE"""),"1054-5476")</f>
        <v>1054-5476</v>
      </c>
      <c r="H905" s="27" t="str">
        <f ca="1">IFERROR(__xludf.DUMMYFUNCTION("""COMPUTED_VALUE"""),"https://link.springer.com/journal/11627")</f>
        <v>https://link.springer.com/journal/11627</v>
      </c>
      <c r="I905" s="1" t="str">
        <f ca="1">IFERROR(__xludf.DUMMYFUNCTION("""COMPUTED_VALUE"""),"Springer")</f>
        <v>Springer</v>
      </c>
      <c r="J905" s="1">
        <f ca="1">IFERROR(__xludf.DUMMYFUNCTION("""COMPUTED_VALUE"""),2000)</f>
        <v>2000</v>
      </c>
      <c r="K905" s="1" t="str">
        <f ca="1">IFERROR(__xludf.DUMMYFUNCTION("""COMPUTED_VALUE"""),"Biomedical and Life Sciences")</f>
        <v>Biomedical and Life Sciences</v>
      </c>
      <c r="L905" s="1" t="str">
        <f ca="1">IFERROR(__xludf.DUMMYFUNCTION("""COMPUTED_VALUE"""),"〇")</f>
        <v>〇</v>
      </c>
      <c r="M905" s="1" t="str">
        <f ca="1">IFERROR(__xludf.DUMMYFUNCTION("""COMPUTED_VALUE"""),"〇")</f>
        <v>〇</v>
      </c>
      <c r="N905" s="1" t="str">
        <f ca="1">IFERROR(__xludf.DUMMYFUNCTION("""COMPUTED_VALUE"""),"TO7")</f>
        <v>TO7</v>
      </c>
      <c r="O905" s="1"/>
      <c r="P905" s="1"/>
    </row>
    <row r="906" spans="1:16" ht="14.25" customHeight="1" x14ac:dyDescent="0.25">
      <c r="A906" s="1"/>
      <c r="B906" s="1">
        <f ca="1"/>
        <v>894</v>
      </c>
      <c r="C906" s="1">
        <f ca="1">IFERROR(__xludf.DUMMYFUNCTION("""COMPUTED_VALUE"""),2023)</f>
        <v>2023</v>
      </c>
      <c r="D906" s="1">
        <f ca="1">IFERROR(__xludf.DUMMYFUNCTION("""COMPUTED_VALUE"""),44164)</f>
        <v>44164</v>
      </c>
      <c r="E906" s="1" t="str">
        <f ca="1">IFERROR(__xludf.DUMMYFUNCTION("""COMPUTED_VALUE"""),"In vitro models")</f>
        <v>In vitro models</v>
      </c>
      <c r="F906" s="1" t="str">
        <f ca="1">IFERROR(__xludf.DUMMYFUNCTION("""COMPUTED_VALUE"""),"2731-3441")</f>
        <v>2731-3441</v>
      </c>
      <c r="G906" s="1"/>
      <c r="H906" s="27" t="str">
        <f ca="1">IFERROR(__xludf.DUMMYFUNCTION("""COMPUTED_VALUE"""),"https://link.springer.com/journal/44164")</f>
        <v>https://link.springer.com/journal/44164</v>
      </c>
      <c r="I906" s="1" t="str">
        <f ca="1">IFERROR(__xludf.DUMMYFUNCTION("""COMPUTED_VALUE"""),"Springer")</f>
        <v>Springer</v>
      </c>
      <c r="J906" s="1">
        <f ca="1">IFERROR(__xludf.DUMMYFUNCTION("""COMPUTED_VALUE"""),2022)</f>
        <v>2022</v>
      </c>
      <c r="K906" s="1" t="str">
        <f ca="1">IFERROR(__xludf.DUMMYFUNCTION("""COMPUTED_VALUE"""),"Biomedical and Life Sciences")</f>
        <v>Biomedical and Life Sciences</v>
      </c>
      <c r="L906" s="1"/>
      <c r="M906" s="1"/>
      <c r="N906" s="1" t="str">
        <f ca="1">IFERROR(__xludf.DUMMYFUNCTION("""COMPUTED_VALUE"""),"SNS22")</f>
        <v>SNS22</v>
      </c>
      <c r="O906" s="1"/>
      <c r="P906" s="1"/>
    </row>
    <row r="907" spans="1:16" ht="14.25" customHeight="1" x14ac:dyDescent="0.25">
      <c r="A907" s="1"/>
      <c r="B907" s="1">
        <f ca="1"/>
        <v>895</v>
      </c>
      <c r="C907" s="1">
        <f ca="1">IFERROR(__xludf.DUMMYFUNCTION("""COMPUTED_VALUE"""),2023)</f>
        <v>2023</v>
      </c>
      <c r="D907" s="1">
        <f ca="1">IFERROR(__xludf.DUMMYFUNCTION("""COMPUTED_VALUE"""),41775)</f>
        <v>41775</v>
      </c>
      <c r="E907" s="1" t="str">
        <f ca="1">IFERROR(__xludf.DUMMYFUNCTION("""COMPUTED_VALUE"""),"Indian Economic Review")</f>
        <v>Indian Economic Review</v>
      </c>
      <c r="F907" s="1" t="str">
        <f ca="1">IFERROR(__xludf.DUMMYFUNCTION("""COMPUTED_VALUE"""),"2520-1778")</f>
        <v>2520-1778</v>
      </c>
      <c r="G907" s="1" t="str">
        <f ca="1">IFERROR(__xludf.DUMMYFUNCTION("""COMPUTED_VALUE"""),"0019-4670")</f>
        <v>0019-4670</v>
      </c>
      <c r="H907" s="27" t="str">
        <f ca="1">IFERROR(__xludf.DUMMYFUNCTION("""COMPUTED_VALUE"""),"https://link.springer.com/journal/41775")</f>
        <v>https://link.springer.com/journal/41775</v>
      </c>
      <c r="I907" s="1" t="str">
        <f ca="1">IFERROR(__xludf.DUMMYFUNCTION("""COMPUTED_VALUE"""),"Springer")</f>
        <v>Springer</v>
      </c>
      <c r="J907" s="1">
        <f ca="1">IFERROR(__xludf.DUMMYFUNCTION("""COMPUTED_VALUE"""),2017)</f>
        <v>2017</v>
      </c>
      <c r="K907" s="1" t="str">
        <f ca="1">IFERROR(__xludf.DUMMYFUNCTION("""COMPUTED_VALUE"""),"Economics and Finance")</f>
        <v>Economics and Finance</v>
      </c>
      <c r="L907" s="1" t="str">
        <f ca="1">IFERROR(__xludf.DUMMYFUNCTION("""COMPUTED_VALUE"""),"〇")</f>
        <v>〇</v>
      </c>
      <c r="M907" s="1"/>
      <c r="N907" s="1" t="str">
        <f ca="1">IFERROR(__xludf.DUMMYFUNCTION("""COMPUTED_VALUE"""),"TO17")</f>
        <v>TO17</v>
      </c>
      <c r="O907" s="1"/>
      <c r="P907" s="1"/>
    </row>
    <row r="908" spans="1:16" ht="14.25" customHeight="1" x14ac:dyDescent="0.25">
      <c r="A908" s="1"/>
      <c r="B908" s="1">
        <f ca="1"/>
        <v>896</v>
      </c>
      <c r="C908" s="1">
        <f ca="1">IFERROR(__xludf.DUMMYFUNCTION("""COMPUTED_VALUE"""),2023)</f>
        <v>2023</v>
      </c>
      <c r="D908" s="1">
        <f ca="1">IFERROR(__xludf.DUMMYFUNCTION("""COMPUTED_VALUE"""),40098)</f>
        <v>40098</v>
      </c>
      <c r="E908" s="1" t="str">
        <f ca="1">IFERROR(__xludf.DUMMYFUNCTION("""COMPUTED_VALUE"""),"Indian Geotechnical Journal")</f>
        <v>Indian Geotechnical Journal</v>
      </c>
      <c r="F908" s="1" t="str">
        <f ca="1">IFERROR(__xludf.DUMMYFUNCTION("""COMPUTED_VALUE"""),"2277-3347")</f>
        <v>2277-3347</v>
      </c>
      <c r="G908" s="1" t="str">
        <f ca="1">IFERROR(__xludf.DUMMYFUNCTION("""COMPUTED_VALUE"""),"0971-9555")</f>
        <v>0971-9555</v>
      </c>
      <c r="H908" s="27" t="str">
        <f ca="1">IFERROR(__xludf.DUMMYFUNCTION("""COMPUTED_VALUE"""),"https://link.springer.com/journal/40098")</f>
        <v>https://link.springer.com/journal/40098</v>
      </c>
      <c r="I908" s="1" t="str">
        <f ca="1">IFERROR(__xludf.DUMMYFUNCTION("""COMPUTED_VALUE"""),"Springer")</f>
        <v>Springer</v>
      </c>
      <c r="J908" s="1">
        <f ca="1">IFERROR(__xludf.DUMMYFUNCTION("""COMPUTED_VALUE"""),2012)</f>
        <v>2012</v>
      </c>
      <c r="K908" s="1" t="str">
        <f ca="1">IFERROR(__xludf.DUMMYFUNCTION("""COMPUTED_VALUE"""),"Engineering")</f>
        <v>Engineering</v>
      </c>
      <c r="L908" s="1" t="str">
        <f ca="1">IFERROR(__xludf.DUMMYFUNCTION("""COMPUTED_VALUE"""),"〇")</f>
        <v>〇</v>
      </c>
      <c r="M908" s="1"/>
      <c r="N908" s="1" t="str">
        <f ca="1">IFERROR(__xludf.DUMMYFUNCTION("""COMPUTED_VALUE"""),"TO12")</f>
        <v>TO12</v>
      </c>
      <c r="O908" s="1"/>
      <c r="P908" s="1"/>
    </row>
    <row r="909" spans="1:16" ht="14.25" customHeight="1" x14ac:dyDescent="0.25">
      <c r="A909" s="1"/>
      <c r="B909" s="1">
        <f ca="1"/>
        <v>897</v>
      </c>
      <c r="C909" s="1">
        <f ca="1">IFERROR(__xludf.DUMMYFUNCTION("""COMPUTED_VALUE"""),2023)</f>
        <v>2023</v>
      </c>
      <c r="D909" s="1">
        <f ca="1">IFERROR(__xludf.DUMMYFUNCTION("""COMPUTED_VALUE"""),12291)</f>
        <v>12291</v>
      </c>
      <c r="E909" s="1" t="str">
        <f ca="1">IFERROR(__xludf.DUMMYFUNCTION("""COMPUTED_VALUE"""),"Indian Journal of Clinical Biochemistry")</f>
        <v>Indian Journal of Clinical Biochemistry</v>
      </c>
      <c r="F909" s="1" t="str">
        <f ca="1">IFERROR(__xludf.DUMMYFUNCTION("""COMPUTED_VALUE"""),"0974-0422")</f>
        <v>0974-0422</v>
      </c>
      <c r="G909" s="1" t="str">
        <f ca="1">IFERROR(__xludf.DUMMYFUNCTION("""COMPUTED_VALUE"""),"0970-1915")</f>
        <v>0970-1915</v>
      </c>
      <c r="H909" s="27" t="str">
        <f ca="1">IFERROR(__xludf.DUMMYFUNCTION("""COMPUTED_VALUE"""),"https://link.springer.com/journal/12291")</f>
        <v>https://link.springer.com/journal/12291</v>
      </c>
      <c r="I909" s="1" t="str">
        <f ca="1">IFERROR(__xludf.DUMMYFUNCTION("""COMPUTED_VALUE"""),"Springer")</f>
        <v>Springer</v>
      </c>
      <c r="J909" s="1">
        <f ca="1">IFERROR(__xludf.DUMMYFUNCTION("""COMPUTED_VALUE"""),2000)</f>
        <v>2000</v>
      </c>
      <c r="K909" s="1" t="str">
        <f ca="1">IFERROR(__xludf.DUMMYFUNCTION("""COMPUTED_VALUE"""),"Biomedical and Life Sciences")</f>
        <v>Biomedical and Life Sciences</v>
      </c>
      <c r="L909" s="1" t="str">
        <f ca="1">IFERROR(__xludf.DUMMYFUNCTION("""COMPUTED_VALUE"""),"〇")</f>
        <v>〇</v>
      </c>
      <c r="M909" s="1" t="str">
        <f ca="1">IFERROR(__xludf.DUMMYFUNCTION("""COMPUTED_VALUE"""),"〇")</f>
        <v>〇</v>
      </c>
      <c r="N909" s="1" t="str">
        <f ca="1">IFERROR(__xludf.DUMMYFUNCTION("""COMPUTED_VALUE"""),"TO8")</f>
        <v>TO8</v>
      </c>
      <c r="O909" s="1"/>
      <c r="P909" s="1"/>
    </row>
    <row r="910" spans="1:16" ht="14.25" customHeight="1" x14ac:dyDescent="0.25">
      <c r="A910" s="1"/>
      <c r="B910" s="1">
        <f ca="1"/>
        <v>898</v>
      </c>
      <c r="C910" s="1">
        <f ca="1">IFERROR(__xludf.DUMMYFUNCTION("""COMPUTED_VALUE"""),2023)</f>
        <v>2023</v>
      </c>
      <c r="D910" s="1">
        <f ca="1">IFERROR(__xludf.DUMMYFUNCTION("""COMPUTED_VALUE"""),12664)</f>
        <v>12664</v>
      </c>
      <c r="E910" s="1" t="str">
        <f ca="1">IFERROR(__xludf.DUMMYFUNCTION("""COMPUTED_VALUE"""),"Indian Journal of Gastroenterology")</f>
        <v>Indian Journal of Gastroenterology</v>
      </c>
      <c r="F910" s="1" t="str">
        <f ca="1">IFERROR(__xludf.DUMMYFUNCTION("""COMPUTED_VALUE"""),"0975-0711")</f>
        <v>0975-0711</v>
      </c>
      <c r="G910" s="1" t="str">
        <f ca="1">IFERROR(__xludf.DUMMYFUNCTION("""COMPUTED_VALUE"""),"0254-8860")</f>
        <v>0254-8860</v>
      </c>
      <c r="H910" s="27" t="str">
        <f ca="1">IFERROR(__xludf.DUMMYFUNCTION("""COMPUTED_VALUE"""),"https://link.springer.com/journal/12664")</f>
        <v>https://link.springer.com/journal/12664</v>
      </c>
      <c r="I910" s="1" t="str">
        <f ca="1">IFERROR(__xludf.DUMMYFUNCTION("""COMPUTED_VALUE"""),"Springer")</f>
        <v>Springer</v>
      </c>
      <c r="J910" s="1">
        <f ca="1">IFERROR(__xludf.DUMMYFUNCTION("""COMPUTED_VALUE"""),2009)</f>
        <v>2009</v>
      </c>
      <c r="K910" s="1" t="str">
        <f ca="1">IFERROR(__xludf.DUMMYFUNCTION("""COMPUTED_VALUE"""),"Medicine")</f>
        <v>Medicine</v>
      </c>
      <c r="L910" s="1" t="str">
        <f ca="1">IFERROR(__xludf.DUMMYFUNCTION("""COMPUTED_VALUE"""),"〇")</f>
        <v>〇</v>
      </c>
      <c r="M910" s="1"/>
      <c r="N910" s="1" t="str">
        <f ca="1">IFERROR(__xludf.DUMMYFUNCTION("""COMPUTED_VALUE"""),"TO9")</f>
        <v>TO9</v>
      </c>
      <c r="O910" s="1"/>
      <c r="P910" s="1"/>
    </row>
    <row r="911" spans="1:16" ht="14.25" customHeight="1" x14ac:dyDescent="0.25">
      <c r="A911" s="1"/>
      <c r="B911" s="1">
        <f ca="1"/>
        <v>899</v>
      </c>
      <c r="C911" s="1">
        <f ca="1">IFERROR(__xludf.DUMMYFUNCTION("""COMPUTED_VALUE"""),2023)</f>
        <v>2023</v>
      </c>
      <c r="D911" s="1">
        <f ca="1">IFERROR(__xludf.DUMMYFUNCTION("""COMPUTED_VALUE"""),40944)</f>
        <v>40944</v>
      </c>
      <c r="E911" s="1" t="str">
        <f ca="1">IFERROR(__xludf.DUMMYFUNCTION("""COMPUTED_VALUE"""),"Indian Journal of Gynecologic Oncology")</f>
        <v>Indian Journal of Gynecologic Oncology</v>
      </c>
      <c r="F911" s="1" t="str">
        <f ca="1">IFERROR(__xludf.DUMMYFUNCTION("""COMPUTED_VALUE"""),"2363-8400")</f>
        <v>2363-8400</v>
      </c>
      <c r="G911" s="1" t="str">
        <f ca="1">IFERROR(__xludf.DUMMYFUNCTION("""COMPUTED_VALUE"""),"2363-8397")</f>
        <v>2363-8397</v>
      </c>
      <c r="H911" s="27" t="str">
        <f ca="1">IFERROR(__xludf.DUMMYFUNCTION("""COMPUTED_VALUE"""),"https://link.springer.com/journal/40944")</f>
        <v>https://link.springer.com/journal/40944</v>
      </c>
      <c r="I911" s="1" t="str">
        <f ca="1">IFERROR(__xludf.DUMMYFUNCTION("""COMPUTED_VALUE"""),"Springer")</f>
        <v>Springer</v>
      </c>
      <c r="J911" s="1">
        <f ca="1">IFERROR(__xludf.DUMMYFUNCTION("""COMPUTED_VALUE"""),2015)</f>
        <v>2015</v>
      </c>
      <c r="K911" s="1" t="str">
        <f ca="1">IFERROR(__xludf.DUMMYFUNCTION("""COMPUTED_VALUE"""),"Medicine")</f>
        <v>Medicine</v>
      </c>
      <c r="L911" s="1" t="str">
        <f ca="1">IFERROR(__xludf.DUMMYFUNCTION("""COMPUTED_VALUE"""),"〇")</f>
        <v>〇</v>
      </c>
      <c r="M911" s="1"/>
      <c r="N911" s="1" t="str">
        <f ca="1">IFERROR(__xludf.DUMMYFUNCTION("""COMPUTED_VALUE"""),"TO15")</f>
        <v>TO15</v>
      </c>
      <c r="O911" s="1"/>
      <c r="P911" s="1"/>
    </row>
    <row r="912" spans="1:16" ht="14.25" customHeight="1" x14ac:dyDescent="0.25">
      <c r="A912" s="1"/>
      <c r="B912" s="1">
        <f ca="1"/>
        <v>900</v>
      </c>
      <c r="C912" s="1">
        <f ca="1">IFERROR(__xludf.DUMMYFUNCTION("""COMPUTED_VALUE"""),2023)</f>
        <v>2023</v>
      </c>
      <c r="D912" s="1">
        <f ca="1">IFERROR(__xludf.DUMMYFUNCTION("""COMPUTED_VALUE"""),12288)</f>
        <v>12288</v>
      </c>
      <c r="E912" s="1" t="str">
        <f ca="1">IFERROR(__xludf.DUMMYFUNCTION("""COMPUTED_VALUE"""),"Indian Journal of Hematology and Blood Transfusion")</f>
        <v>Indian Journal of Hematology and Blood Transfusion</v>
      </c>
      <c r="F912" s="1" t="str">
        <f ca="1">IFERROR(__xludf.DUMMYFUNCTION("""COMPUTED_VALUE"""),"0974-0449")</f>
        <v>0974-0449</v>
      </c>
      <c r="G912" s="1" t="str">
        <f ca="1">IFERROR(__xludf.DUMMYFUNCTION("""COMPUTED_VALUE"""),"0971-4502")</f>
        <v>0971-4502</v>
      </c>
      <c r="H912" s="27" t="str">
        <f ca="1">IFERROR(__xludf.DUMMYFUNCTION("""COMPUTED_VALUE"""),"https://link.springer.com/journal/12288")</f>
        <v>https://link.springer.com/journal/12288</v>
      </c>
      <c r="I912" s="1" t="str">
        <f ca="1">IFERROR(__xludf.DUMMYFUNCTION("""COMPUTED_VALUE"""),"Springer")</f>
        <v>Springer</v>
      </c>
      <c r="J912" s="1">
        <f ca="1">IFERROR(__xludf.DUMMYFUNCTION("""COMPUTED_VALUE"""),2007)</f>
        <v>2007</v>
      </c>
      <c r="K912" s="1" t="str">
        <f ca="1">IFERROR(__xludf.DUMMYFUNCTION("""COMPUTED_VALUE"""),"Medicine")</f>
        <v>Medicine</v>
      </c>
      <c r="L912" s="1" t="str">
        <f ca="1">IFERROR(__xludf.DUMMYFUNCTION("""COMPUTED_VALUE"""),"〇")</f>
        <v>〇</v>
      </c>
      <c r="M912" s="1" t="str">
        <f ca="1">IFERROR(__xludf.DUMMYFUNCTION("""COMPUTED_VALUE"""),"〇")</f>
        <v>〇</v>
      </c>
      <c r="N912" s="1" t="str">
        <f ca="1">IFERROR(__xludf.DUMMYFUNCTION("""COMPUTED_VALUE"""),"TO7")</f>
        <v>TO7</v>
      </c>
      <c r="O912" s="1"/>
      <c r="P912" s="1"/>
    </row>
    <row r="913" spans="1:16" ht="14.25" customHeight="1" x14ac:dyDescent="0.25">
      <c r="A913" s="1"/>
      <c r="B913" s="1">
        <f ca="1"/>
        <v>901</v>
      </c>
      <c r="C913" s="1">
        <f ca="1">IFERROR(__xludf.DUMMYFUNCTION("""COMPUTED_VALUE"""),2023)</f>
        <v>2023</v>
      </c>
      <c r="D913" s="1">
        <f ca="1">IFERROR(__xludf.DUMMYFUNCTION("""COMPUTED_VALUE"""),12088)</f>
        <v>12088</v>
      </c>
      <c r="E913" s="1" t="str">
        <f ca="1">IFERROR(__xludf.DUMMYFUNCTION("""COMPUTED_VALUE"""),"Indian Journal of Microbiology")</f>
        <v>Indian Journal of Microbiology</v>
      </c>
      <c r="F913" s="1" t="str">
        <f ca="1">IFERROR(__xludf.DUMMYFUNCTION("""COMPUTED_VALUE"""),"0973-7715")</f>
        <v>0973-7715</v>
      </c>
      <c r="G913" s="1" t="str">
        <f ca="1">IFERROR(__xludf.DUMMYFUNCTION("""COMPUTED_VALUE"""),"0046-8991")</f>
        <v>0046-8991</v>
      </c>
      <c r="H913" s="27" t="str">
        <f ca="1">IFERROR(__xludf.DUMMYFUNCTION("""COMPUTED_VALUE"""),"https://link.springer.com/journal/12088")</f>
        <v>https://link.springer.com/journal/12088</v>
      </c>
      <c r="I913" s="1" t="str">
        <f ca="1">IFERROR(__xludf.DUMMYFUNCTION("""COMPUTED_VALUE"""),"Springer")</f>
        <v>Springer</v>
      </c>
      <c r="J913" s="1">
        <f ca="1">IFERROR(__xludf.DUMMYFUNCTION("""COMPUTED_VALUE"""),2007)</f>
        <v>2007</v>
      </c>
      <c r="K913" s="1" t="str">
        <f ca="1">IFERROR(__xludf.DUMMYFUNCTION("""COMPUTED_VALUE"""),"Biomedical and Life Sciences")</f>
        <v>Biomedical and Life Sciences</v>
      </c>
      <c r="L913" s="1" t="str">
        <f ca="1">IFERROR(__xludf.DUMMYFUNCTION("""COMPUTED_VALUE"""),"〇")</f>
        <v>〇</v>
      </c>
      <c r="M913" s="1" t="str">
        <f ca="1">IFERROR(__xludf.DUMMYFUNCTION("""COMPUTED_VALUE"""),"〇")</f>
        <v>〇</v>
      </c>
      <c r="N913" s="1" t="str">
        <f ca="1">IFERROR(__xludf.DUMMYFUNCTION("""COMPUTED_VALUE"""),"TO7")</f>
        <v>TO7</v>
      </c>
      <c r="O913" s="1"/>
      <c r="P913" s="1"/>
    </row>
    <row r="914" spans="1:16" ht="14.25" customHeight="1" x14ac:dyDescent="0.25">
      <c r="A914" s="1"/>
      <c r="B914" s="1">
        <f ca="1"/>
        <v>902</v>
      </c>
      <c r="C914" s="1">
        <f ca="1">IFERROR(__xludf.DUMMYFUNCTION("""COMPUTED_VALUE"""),2023)</f>
        <v>2023</v>
      </c>
      <c r="D914" s="1">
        <f ca="1">IFERROR(__xludf.DUMMYFUNCTION("""COMPUTED_VALUE"""),43465)</f>
        <v>43465</v>
      </c>
      <c r="E914" s="1" t="str">
        <f ca="1">IFERROR(__xludf.DUMMYFUNCTION("""COMPUTED_VALUE"""),"Indian Journal of Orthopaedics")</f>
        <v>Indian Journal of Orthopaedics</v>
      </c>
      <c r="F914" s="1" t="str">
        <f ca="1">IFERROR(__xludf.DUMMYFUNCTION("""COMPUTED_VALUE"""),"1998-3727")</f>
        <v>1998-3727</v>
      </c>
      <c r="G914" s="1" t="str">
        <f ca="1">IFERROR(__xludf.DUMMYFUNCTION("""COMPUTED_VALUE"""),"0019-5413")</f>
        <v>0019-5413</v>
      </c>
      <c r="H914" s="27" t="str">
        <f ca="1">IFERROR(__xludf.DUMMYFUNCTION("""COMPUTED_VALUE"""),"https://link.springer.com/journal/43465")</f>
        <v>https://link.springer.com/journal/43465</v>
      </c>
      <c r="I914" s="1" t="str">
        <f ca="1">IFERROR(__xludf.DUMMYFUNCTION("""COMPUTED_VALUE"""),"Springer")</f>
        <v>Springer</v>
      </c>
      <c r="J914" s="1">
        <f ca="1">IFERROR(__xludf.DUMMYFUNCTION("""COMPUTED_VALUE"""),2010)</f>
        <v>2010</v>
      </c>
      <c r="K914" s="1" t="str">
        <f ca="1">IFERROR(__xludf.DUMMYFUNCTION("""COMPUTED_VALUE"""),"Medicine")</f>
        <v>Medicine</v>
      </c>
      <c r="L914" s="1" t="str">
        <f ca="1">IFERROR(__xludf.DUMMYFUNCTION("""COMPUTED_VALUE"""),"〇")</f>
        <v>〇</v>
      </c>
      <c r="M914" s="1"/>
      <c r="N914" s="1" t="str">
        <f ca="1">IFERROR(__xludf.DUMMYFUNCTION("""COMPUTED_VALUE"""),"TO20")</f>
        <v>TO20</v>
      </c>
      <c r="O914" s="1"/>
      <c r="P914" s="1"/>
    </row>
    <row r="915" spans="1:16" ht="14.25" customHeight="1" x14ac:dyDescent="0.25">
      <c r="A915" s="1"/>
      <c r="B915" s="1">
        <f ca="1"/>
        <v>903</v>
      </c>
      <c r="C915" s="1">
        <f ca="1">IFERROR(__xludf.DUMMYFUNCTION("""COMPUTED_VALUE"""),2023)</f>
        <v>2023</v>
      </c>
      <c r="D915" s="1">
        <f ca="1">IFERROR(__xludf.DUMMYFUNCTION("""COMPUTED_VALUE"""),12070)</f>
        <v>12070</v>
      </c>
      <c r="E915" s="1" t="str">
        <f ca="1">IFERROR(__xludf.DUMMYFUNCTION("""COMPUTED_VALUE"""),"Indian Journal of Otolaryngology and Head &amp; Neck Surgery")</f>
        <v>Indian Journal of Otolaryngology and Head &amp; Neck Surgery</v>
      </c>
      <c r="F915" s="1" t="str">
        <f ca="1">IFERROR(__xludf.DUMMYFUNCTION("""COMPUTED_VALUE"""),"0973-7707")</f>
        <v>0973-7707</v>
      </c>
      <c r="G915" s="1" t="str">
        <f ca="1">IFERROR(__xludf.DUMMYFUNCTION("""COMPUTED_VALUE"""),"2231-3796")</f>
        <v>2231-3796</v>
      </c>
      <c r="H915" s="27" t="str">
        <f ca="1">IFERROR(__xludf.DUMMYFUNCTION("""COMPUTED_VALUE"""),"https://link.springer.com/journal/12070")</f>
        <v>https://link.springer.com/journal/12070</v>
      </c>
      <c r="I915" s="1" t="str">
        <f ca="1">IFERROR(__xludf.DUMMYFUNCTION("""COMPUTED_VALUE"""),"Springer")</f>
        <v>Springer</v>
      </c>
      <c r="J915" s="1">
        <f ca="1">IFERROR(__xludf.DUMMYFUNCTION("""COMPUTED_VALUE"""),2000)</f>
        <v>2000</v>
      </c>
      <c r="K915" s="1" t="str">
        <f ca="1">IFERROR(__xludf.DUMMYFUNCTION("""COMPUTED_VALUE"""),"Medicine")</f>
        <v>Medicine</v>
      </c>
      <c r="L915" s="1" t="str">
        <f ca="1">IFERROR(__xludf.DUMMYFUNCTION("""COMPUTED_VALUE"""),"〇")</f>
        <v>〇</v>
      </c>
      <c r="M915" s="1" t="str">
        <f ca="1">IFERROR(__xludf.DUMMYFUNCTION("""COMPUTED_VALUE"""),"〇")</f>
        <v>〇</v>
      </c>
      <c r="N915" s="1" t="str">
        <f ca="1">IFERROR(__xludf.DUMMYFUNCTION("""COMPUTED_VALUE"""),"TO7")</f>
        <v>TO7</v>
      </c>
      <c r="O915" s="1"/>
      <c r="P915" s="1"/>
    </row>
    <row r="916" spans="1:16" ht="14.25" customHeight="1" x14ac:dyDescent="0.25">
      <c r="A916" s="1"/>
      <c r="B916" s="1">
        <f ca="1"/>
        <v>904</v>
      </c>
      <c r="C916" s="1">
        <f ca="1">IFERROR(__xludf.DUMMYFUNCTION("""COMPUTED_VALUE"""),2023)</f>
        <v>2023</v>
      </c>
      <c r="D916" s="1">
        <f ca="1">IFERROR(__xludf.DUMMYFUNCTION("""COMPUTED_VALUE"""),12098)</f>
        <v>12098</v>
      </c>
      <c r="E916" s="1" t="str">
        <f ca="1">IFERROR(__xludf.DUMMYFUNCTION("""COMPUTED_VALUE"""),"Indian Journal of Pediatrics")</f>
        <v>Indian Journal of Pediatrics</v>
      </c>
      <c r="F916" s="1" t="str">
        <f ca="1">IFERROR(__xludf.DUMMYFUNCTION("""COMPUTED_VALUE"""),"0973-7693")</f>
        <v>0973-7693</v>
      </c>
      <c r="G916" s="1" t="str">
        <f ca="1">IFERROR(__xludf.DUMMYFUNCTION("""COMPUTED_VALUE"""),"0019-5456")</f>
        <v>0019-5456</v>
      </c>
      <c r="H916" s="27" t="str">
        <f ca="1">IFERROR(__xludf.DUMMYFUNCTION("""COMPUTED_VALUE"""),"https://link.springer.com/journal/12098")</f>
        <v>https://link.springer.com/journal/12098</v>
      </c>
      <c r="I916" s="1" t="str">
        <f ca="1">IFERROR(__xludf.DUMMYFUNCTION("""COMPUTED_VALUE"""),"Springer")</f>
        <v>Springer</v>
      </c>
      <c r="J916" s="1">
        <f ca="1">IFERROR(__xludf.DUMMYFUNCTION("""COMPUTED_VALUE"""),2000)</f>
        <v>2000</v>
      </c>
      <c r="K916" s="1" t="str">
        <f ca="1">IFERROR(__xludf.DUMMYFUNCTION("""COMPUTED_VALUE"""),"Medicine")</f>
        <v>Medicine</v>
      </c>
      <c r="L916" s="1" t="str">
        <f ca="1">IFERROR(__xludf.DUMMYFUNCTION("""COMPUTED_VALUE"""),"〇")</f>
        <v>〇</v>
      </c>
      <c r="M916" s="1" t="str">
        <f ca="1">IFERROR(__xludf.DUMMYFUNCTION("""COMPUTED_VALUE"""),"〇")</f>
        <v>〇</v>
      </c>
      <c r="N916" s="1" t="str">
        <f ca="1">IFERROR(__xludf.DUMMYFUNCTION("""COMPUTED_VALUE"""),"TO7")</f>
        <v>TO7</v>
      </c>
      <c r="O916" s="1"/>
      <c r="P916" s="1"/>
    </row>
    <row r="917" spans="1:16" ht="14.25" customHeight="1" x14ac:dyDescent="0.25">
      <c r="A917" s="1"/>
      <c r="B917" s="1">
        <f ca="1"/>
        <v>905</v>
      </c>
      <c r="C917" s="1">
        <f ca="1">IFERROR(__xludf.DUMMYFUNCTION("""COMPUTED_VALUE"""),2023)</f>
        <v>2023</v>
      </c>
      <c r="D917" s="1">
        <f ca="1">IFERROR(__xludf.DUMMYFUNCTION("""COMPUTED_VALUE"""),12648)</f>
        <v>12648</v>
      </c>
      <c r="E917" s="1" t="str">
        <f ca="1">IFERROR(__xludf.DUMMYFUNCTION("""COMPUTED_VALUE"""),"Indian Journal of Physics")</f>
        <v>Indian Journal of Physics</v>
      </c>
      <c r="F917" s="1" t="str">
        <f ca="1">IFERROR(__xludf.DUMMYFUNCTION("""COMPUTED_VALUE"""),"0974-9845")</f>
        <v>0974-9845</v>
      </c>
      <c r="G917" s="1" t="str">
        <f ca="1">IFERROR(__xludf.DUMMYFUNCTION("""COMPUTED_VALUE"""),"0973-1458")</f>
        <v>0973-1458</v>
      </c>
      <c r="H917" s="27" t="str">
        <f ca="1">IFERROR(__xludf.DUMMYFUNCTION("""COMPUTED_VALUE"""),"https://link.springer.com/journal/12648")</f>
        <v>https://link.springer.com/journal/12648</v>
      </c>
      <c r="I917" s="1" t="str">
        <f ca="1">IFERROR(__xludf.DUMMYFUNCTION("""COMPUTED_VALUE"""),"Springer")</f>
        <v>Springer</v>
      </c>
      <c r="J917" s="1">
        <f ca="1">IFERROR(__xludf.DUMMYFUNCTION("""COMPUTED_VALUE"""),2009)</f>
        <v>2009</v>
      </c>
      <c r="K917" s="1" t="str">
        <f ca="1">IFERROR(__xludf.DUMMYFUNCTION("""COMPUTED_VALUE"""),"Physics and Astronomy")</f>
        <v>Physics and Astronomy</v>
      </c>
      <c r="L917" s="1" t="str">
        <f ca="1">IFERROR(__xludf.DUMMYFUNCTION("""COMPUTED_VALUE"""),"〇")</f>
        <v>〇</v>
      </c>
      <c r="M917" s="1"/>
      <c r="N917" s="1" t="str">
        <f ca="1">IFERROR(__xludf.DUMMYFUNCTION("""COMPUTED_VALUE"""),"TO9")</f>
        <v>TO9</v>
      </c>
      <c r="O917" s="1"/>
      <c r="P917" s="1"/>
    </row>
    <row r="918" spans="1:16" ht="14.25" customHeight="1" x14ac:dyDescent="0.25">
      <c r="A918" s="1"/>
      <c r="B918" s="1">
        <f ca="1"/>
        <v>906</v>
      </c>
      <c r="C918" s="1">
        <f ca="1">IFERROR(__xludf.DUMMYFUNCTION("""COMPUTED_VALUE"""),2023)</f>
        <v>2023</v>
      </c>
      <c r="D918" s="1">
        <f ca="1">IFERROR(__xludf.DUMMYFUNCTION("""COMPUTED_VALUE"""),13226)</f>
        <v>13226</v>
      </c>
      <c r="E918" s="1" t="str">
        <f ca="1">IFERROR(__xludf.DUMMYFUNCTION("""COMPUTED_VALUE"""),"Indian Journal of Pure and Applied Mathematics")</f>
        <v>Indian Journal of Pure and Applied Mathematics</v>
      </c>
      <c r="F918" s="1" t="str">
        <f ca="1">IFERROR(__xludf.DUMMYFUNCTION("""COMPUTED_VALUE"""),"0975-7465")</f>
        <v>0975-7465</v>
      </c>
      <c r="G918" s="1" t="str">
        <f ca="1">IFERROR(__xludf.DUMMYFUNCTION("""COMPUTED_VALUE"""),"0019-5588")</f>
        <v>0019-5588</v>
      </c>
      <c r="H918" s="27" t="str">
        <f ca="1">IFERROR(__xludf.DUMMYFUNCTION("""COMPUTED_VALUE"""),"https://link.springer.com/journal/13226")</f>
        <v>https://link.springer.com/journal/13226</v>
      </c>
      <c r="I918" s="1" t="str">
        <f ca="1">IFERROR(__xludf.DUMMYFUNCTION("""COMPUTED_VALUE"""),"Indian National Science Academy, co-published with Springer")</f>
        <v>Indian National Science Academy, co-published with Springer</v>
      </c>
      <c r="J918" s="1">
        <f ca="1">IFERROR(__xludf.DUMMYFUNCTION("""COMPUTED_VALUE"""),2010)</f>
        <v>2010</v>
      </c>
      <c r="K918" s="1" t="str">
        <f ca="1">IFERROR(__xludf.DUMMYFUNCTION("""COMPUTED_VALUE"""),"Mathematics and Statistics")</f>
        <v>Mathematics and Statistics</v>
      </c>
      <c r="L918" s="1" t="str">
        <f ca="1">IFERROR(__xludf.DUMMYFUNCTION("""COMPUTED_VALUE"""),"〇")</f>
        <v>〇</v>
      </c>
      <c r="M918" s="1"/>
      <c r="N918" s="1" t="str">
        <f ca="1">IFERROR(__xludf.DUMMYFUNCTION("""COMPUTED_VALUE"""),"TO10")</f>
        <v>TO10</v>
      </c>
      <c r="O918" s="1"/>
      <c r="P918" s="1"/>
    </row>
    <row r="919" spans="1:16" ht="14.25" customHeight="1" x14ac:dyDescent="0.25">
      <c r="A919" s="1"/>
      <c r="B919" s="1">
        <f ca="1"/>
        <v>907</v>
      </c>
      <c r="C919" s="1">
        <f ca="1">IFERROR(__xludf.DUMMYFUNCTION("""COMPUTED_VALUE"""),2023)</f>
        <v>2023</v>
      </c>
      <c r="D919" s="1">
        <f ca="1">IFERROR(__xludf.DUMMYFUNCTION("""COMPUTED_VALUE"""),12262)</f>
        <v>12262</v>
      </c>
      <c r="E919" s="1" t="str">
        <f ca="1">IFERROR(__xludf.DUMMYFUNCTION("""COMPUTED_VALUE"""),"Indian Journal of Surgery")</f>
        <v>Indian Journal of Surgery</v>
      </c>
      <c r="F919" s="1" t="str">
        <f ca="1">IFERROR(__xludf.DUMMYFUNCTION("""COMPUTED_VALUE"""),"0973-9793")</f>
        <v>0973-9793</v>
      </c>
      <c r="G919" s="1" t="str">
        <f ca="1">IFERROR(__xludf.DUMMYFUNCTION("""COMPUTED_VALUE"""),"0972-2068")</f>
        <v>0972-2068</v>
      </c>
      <c r="H919" s="27" t="str">
        <f ca="1">IFERROR(__xludf.DUMMYFUNCTION("""COMPUTED_VALUE"""),"https://link.springer.com/journal/12262")</f>
        <v>https://link.springer.com/journal/12262</v>
      </c>
      <c r="I919" s="1" t="str">
        <f ca="1">IFERROR(__xludf.DUMMYFUNCTION("""COMPUTED_VALUE"""),"Springer")</f>
        <v>Springer</v>
      </c>
      <c r="J919" s="1">
        <f ca="1">IFERROR(__xludf.DUMMYFUNCTION("""COMPUTED_VALUE"""),2007)</f>
        <v>2007</v>
      </c>
      <c r="K919" s="1" t="str">
        <f ca="1">IFERROR(__xludf.DUMMYFUNCTION("""COMPUTED_VALUE"""),"Medicine")</f>
        <v>Medicine</v>
      </c>
      <c r="L919" s="1" t="str">
        <f ca="1">IFERROR(__xludf.DUMMYFUNCTION("""COMPUTED_VALUE"""),"〇")</f>
        <v>〇</v>
      </c>
      <c r="M919" s="1" t="str">
        <f ca="1">IFERROR(__xludf.DUMMYFUNCTION("""COMPUTED_VALUE"""),"〇")</f>
        <v>〇</v>
      </c>
      <c r="N919" s="1" t="str">
        <f ca="1">IFERROR(__xludf.DUMMYFUNCTION("""COMPUTED_VALUE"""),"TO7")</f>
        <v>TO7</v>
      </c>
      <c r="O919" s="1"/>
      <c r="P919" s="1"/>
    </row>
    <row r="920" spans="1:16" ht="14.25" customHeight="1" x14ac:dyDescent="0.25">
      <c r="A920" s="1"/>
      <c r="B920" s="1">
        <f ca="1"/>
        <v>908</v>
      </c>
      <c r="C920" s="1">
        <f ca="1">IFERROR(__xludf.DUMMYFUNCTION("""COMPUTED_VALUE"""),2023)</f>
        <v>2023</v>
      </c>
      <c r="D920" s="1">
        <f ca="1">IFERROR(__xludf.DUMMYFUNCTION("""COMPUTED_VALUE"""),13193)</f>
        <v>13193</v>
      </c>
      <c r="E920" s="1" t="str">
        <f ca="1">IFERROR(__xludf.DUMMYFUNCTION("""COMPUTED_VALUE"""),"Indian Journal of Surgical Oncology")</f>
        <v>Indian Journal of Surgical Oncology</v>
      </c>
      <c r="F920" s="1" t="str">
        <f ca="1">IFERROR(__xludf.DUMMYFUNCTION("""COMPUTED_VALUE"""),"0976-6952")</f>
        <v>0976-6952</v>
      </c>
      <c r="G920" s="1" t="str">
        <f ca="1">IFERROR(__xludf.DUMMYFUNCTION("""COMPUTED_VALUE"""),"0975-7651")</f>
        <v>0975-7651</v>
      </c>
      <c r="H920" s="27" t="str">
        <f ca="1">IFERROR(__xludf.DUMMYFUNCTION("""COMPUTED_VALUE"""),"https://link.springer.com/journal/13193")</f>
        <v>https://link.springer.com/journal/13193</v>
      </c>
      <c r="I920" s="1" t="str">
        <f ca="1">IFERROR(__xludf.DUMMYFUNCTION("""COMPUTED_VALUE"""),"Springer")</f>
        <v>Springer</v>
      </c>
      <c r="J920" s="1">
        <f ca="1">IFERROR(__xludf.DUMMYFUNCTION("""COMPUTED_VALUE"""),2010)</f>
        <v>2010</v>
      </c>
      <c r="K920" s="1" t="str">
        <f ca="1">IFERROR(__xludf.DUMMYFUNCTION("""COMPUTED_VALUE"""),"Medicine")</f>
        <v>Medicine</v>
      </c>
      <c r="L920" s="1" t="str">
        <f ca="1">IFERROR(__xludf.DUMMYFUNCTION("""COMPUTED_VALUE"""),"〇")</f>
        <v>〇</v>
      </c>
      <c r="M920" s="1" t="str">
        <f ca="1">IFERROR(__xludf.DUMMYFUNCTION("""COMPUTED_VALUE"""),"〇")</f>
        <v>〇</v>
      </c>
      <c r="N920" s="1" t="str">
        <f ca="1">IFERROR(__xludf.DUMMYFUNCTION("""COMPUTED_VALUE"""),"SNS10")</f>
        <v>SNS10</v>
      </c>
      <c r="O920" s="1"/>
      <c r="P920" s="1"/>
    </row>
    <row r="921" spans="1:16" ht="14.25" customHeight="1" x14ac:dyDescent="0.25">
      <c r="A921" s="1"/>
      <c r="B921" s="1">
        <f ca="1"/>
        <v>909</v>
      </c>
      <c r="C921" s="1">
        <f ca="1">IFERROR(__xludf.DUMMYFUNCTION("""COMPUTED_VALUE"""),2023)</f>
        <v>2023</v>
      </c>
      <c r="D921" s="1">
        <f ca="1">IFERROR(__xludf.DUMMYFUNCTION("""COMPUTED_VALUE"""),12055)</f>
        <v>12055</v>
      </c>
      <c r="E921" s="1" t="str">
        <f ca="1">IFERROR(__xludf.DUMMYFUNCTION("""COMPUTED_VALUE"""),"Indian Journal of Thoracic and Cardiovascular Surgery")</f>
        <v>Indian Journal of Thoracic and Cardiovascular Surgery</v>
      </c>
      <c r="F921" s="1" t="str">
        <f ca="1">IFERROR(__xludf.DUMMYFUNCTION("""COMPUTED_VALUE"""),"0973-7723")</f>
        <v>0973-7723</v>
      </c>
      <c r="G921" s="1" t="str">
        <f ca="1">IFERROR(__xludf.DUMMYFUNCTION("""COMPUTED_VALUE"""),"0970-9134")</f>
        <v>0970-9134</v>
      </c>
      <c r="H921" s="27" t="str">
        <f ca="1">IFERROR(__xludf.DUMMYFUNCTION("""COMPUTED_VALUE"""),"https://link.springer.com/journal/12055")</f>
        <v>https://link.springer.com/journal/12055</v>
      </c>
      <c r="I921" s="1" t="str">
        <f ca="1">IFERROR(__xludf.DUMMYFUNCTION("""COMPUTED_VALUE"""),"Springer")</f>
        <v>Springer</v>
      </c>
      <c r="J921" s="1">
        <f ca="1">IFERROR(__xludf.DUMMYFUNCTION("""COMPUTED_VALUE"""),2000)</f>
        <v>2000</v>
      </c>
      <c r="K921" s="1" t="str">
        <f ca="1">IFERROR(__xludf.DUMMYFUNCTION("""COMPUTED_VALUE"""),"Medicine")</f>
        <v>Medicine</v>
      </c>
      <c r="L921" s="1" t="str">
        <f ca="1">IFERROR(__xludf.DUMMYFUNCTION("""COMPUTED_VALUE"""),"〇")</f>
        <v>〇</v>
      </c>
      <c r="M921" s="1" t="str">
        <f ca="1">IFERROR(__xludf.DUMMYFUNCTION("""COMPUTED_VALUE"""),"〇")</f>
        <v>〇</v>
      </c>
      <c r="N921" s="1" t="str">
        <f ca="1">IFERROR(__xludf.DUMMYFUNCTION("""COMPUTED_VALUE"""),"TO7")</f>
        <v>TO7</v>
      </c>
      <c r="O921" s="1"/>
      <c r="P921" s="1"/>
    </row>
    <row r="922" spans="1:16" ht="14.25" customHeight="1" x14ac:dyDescent="0.25">
      <c r="A922" s="1"/>
      <c r="B922" s="1">
        <f ca="1"/>
        <v>910</v>
      </c>
      <c r="C922" s="1">
        <f ca="1">IFERROR(__xludf.DUMMYFUNCTION("""COMPUTED_VALUE"""),2023)</f>
        <v>2023</v>
      </c>
      <c r="D922" s="1">
        <f ca="1">IFERROR(__xludf.DUMMYFUNCTION("""COMPUTED_VALUE"""),13312)</f>
        <v>13312</v>
      </c>
      <c r="E922" s="1" t="str">
        <f ca="1">IFERROR(__xludf.DUMMYFUNCTION("""COMPUTED_VALUE"""),"Indian Pediatrics")</f>
        <v>Indian Pediatrics</v>
      </c>
      <c r="F922" s="1" t="str">
        <f ca="1">IFERROR(__xludf.DUMMYFUNCTION("""COMPUTED_VALUE"""),"0974-7559")</f>
        <v>0974-7559</v>
      </c>
      <c r="G922" s="1" t="str">
        <f ca="1">IFERROR(__xludf.DUMMYFUNCTION("""COMPUTED_VALUE"""),"0019-6061")</f>
        <v>0019-6061</v>
      </c>
      <c r="H922" s="27" t="str">
        <f ca="1">IFERROR(__xludf.DUMMYFUNCTION("""COMPUTED_VALUE"""),"https://link.springer.com/journal/13312")</f>
        <v>https://link.springer.com/journal/13312</v>
      </c>
      <c r="I922" s="1" t="str">
        <f ca="1">IFERROR(__xludf.DUMMYFUNCTION("""COMPUTED_VALUE"""),"Springer")</f>
        <v>Springer</v>
      </c>
      <c r="J922" s="1">
        <f ca="1">IFERROR(__xludf.DUMMYFUNCTION("""COMPUTED_VALUE"""),2010)</f>
        <v>2010</v>
      </c>
      <c r="K922" s="1" t="str">
        <f ca="1">IFERROR(__xludf.DUMMYFUNCTION("""COMPUTED_VALUE"""),"Medicine")</f>
        <v>Medicine</v>
      </c>
      <c r="L922" s="1" t="str">
        <f ca="1">IFERROR(__xludf.DUMMYFUNCTION("""COMPUTED_VALUE"""),"〇")</f>
        <v>〇</v>
      </c>
      <c r="M922" s="1"/>
      <c r="N922" s="1" t="str">
        <f ca="1">IFERROR(__xludf.DUMMYFUNCTION("""COMPUTED_VALUE"""),"TO10")</f>
        <v>TO10</v>
      </c>
      <c r="O922" s="1"/>
      <c r="P922" s="1"/>
    </row>
    <row r="923" spans="1:16" ht="14.25" customHeight="1" x14ac:dyDescent="0.25">
      <c r="A923" s="1"/>
      <c r="B923" s="1">
        <f ca="1"/>
        <v>911</v>
      </c>
      <c r="C923" s="1">
        <f ca="1">IFERROR(__xludf.DUMMYFUNCTION("""COMPUTED_VALUE"""),2023)</f>
        <v>2023</v>
      </c>
      <c r="D923" s="1">
        <f ca="1">IFERROR(__xludf.DUMMYFUNCTION("""COMPUTED_VALUE"""),42360)</f>
        <v>42360</v>
      </c>
      <c r="E923" s="1" t="str">
        <f ca="1">IFERROR(__xludf.DUMMYFUNCTION("""COMPUTED_VALUE"""),"Indian Phytopathology")</f>
        <v>Indian Phytopathology</v>
      </c>
      <c r="F923" s="1" t="str">
        <f ca="1">IFERROR(__xludf.DUMMYFUNCTION("""COMPUTED_VALUE"""),"2248-9800")</f>
        <v>2248-9800</v>
      </c>
      <c r="G923" s="1" t="str">
        <f ca="1">IFERROR(__xludf.DUMMYFUNCTION("""COMPUTED_VALUE"""),"0367-973X")</f>
        <v>0367-973X</v>
      </c>
      <c r="H923" s="27" t="str">
        <f ca="1">IFERROR(__xludf.DUMMYFUNCTION("""COMPUTED_VALUE"""),"https://link.springer.com/journal/42360")</f>
        <v>https://link.springer.com/journal/42360</v>
      </c>
      <c r="I923" s="1" t="str">
        <f ca="1">IFERROR(__xludf.DUMMYFUNCTION("""COMPUTED_VALUE"""),"Springer")</f>
        <v>Springer</v>
      </c>
      <c r="J923" s="1">
        <f ca="1">IFERROR(__xludf.DUMMYFUNCTION("""COMPUTED_VALUE"""),2018)</f>
        <v>2018</v>
      </c>
      <c r="K923" s="1" t="str">
        <f ca="1">IFERROR(__xludf.DUMMYFUNCTION("""COMPUTED_VALUE"""),"Biomedical and Life Sciences")</f>
        <v>Biomedical and Life Sciences</v>
      </c>
      <c r="L923" s="1" t="str">
        <f ca="1">IFERROR(__xludf.DUMMYFUNCTION("""COMPUTED_VALUE"""),"〇")</f>
        <v>〇</v>
      </c>
      <c r="M923" s="1"/>
      <c r="N923" s="1" t="str">
        <f ca="1">IFERROR(__xludf.DUMMYFUNCTION("""COMPUTED_VALUE"""),"TO18")</f>
        <v>TO18</v>
      </c>
      <c r="O923" s="1"/>
      <c r="P923" s="1"/>
    </row>
    <row r="924" spans="1:16" ht="14.25" customHeight="1" x14ac:dyDescent="0.25">
      <c r="A924" s="1"/>
      <c r="B924" s="1">
        <f ca="1"/>
        <v>912</v>
      </c>
      <c r="C924" s="1">
        <f ca="1">IFERROR(__xludf.DUMMYFUNCTION("""COMPUTED_VALUE"""),2023)</f>
        <v>2023</v>
      </c>
      <c r="D924" s="1">
        <f ca="1">IFERROR(__xludf.DUMMYFUNCTION("""COMPUTED_VALUE"""),15010)</f>
        <v>15010</v>
      </c>
      <c r="E924" s="1" t="str">
        <f ca="1">IFERROR(__xludf.DUMMYFUNCTION("""COMPUTED_VALUE"""),"Infection")</f>
        <v>Infection</v>
      </c>
      <c r="F924" s="1" t="str">
        <f ca="1">IFERROR(__xludf.DUMMYFUNCTION("""COMPUTED_VALUE"""),"1439-0973")</f>
        <v>1439-0973</v>
      </c>
      <c r="G924" s="1" t="str">
        <f ca="1">IFERROR(__xludf.DUMMYFUNCTION("""COMPUTED_VALUE"""),"0300-8126")</f>
        <v>0300-8126</v>
      </c>
      <c r="H924" s="27" t="str">
        <f ca="1">IFERROR(__xludf.DUMMYFUNCTION("""COMPUTED_VALUE"""),"https://link.springer.com/journal/15010")</f>
        <v>https://link.springer.com/journal/15010</v>
      </c>
      <c r="I924" s="1" t="str">
        <f ca="1">IFERROR(__xludf.DUMMYFUNCTION("""COMPUTED_VALUE"""),"Springer")</f>
        <v>Springer</v>
      </c>
      <c r="J924" s="1">
        <f ca="1">IFERROR(__xludf.DUMMYFUNCTION("""COMPUTED_VALUE"""),2000)</f>
        <v>2000</v>
      </c>
      <c r="K924" s="1" t="str">
        <f ca="1">IFERROR(__xludf.DUMMYFUNCTION("""COMPUTED_VALUE"""),"Medicine")</f>
        <v>Medicine</v>
      </c>
      <c r="L924" s="1" t="str">
        <f ca="1">IFERROR(__xludf.DUMMYFUNCTION("""COMPUTED_VALUE"""),"〇")</f>
        <v>〇</v>
      </c>
      <c r="M924" s="1" t="str">
        <f ca="1">IFERROR(__xludf.DUMMYFUNCTION("""COMPUTED_VALUE"""),"〇")</f>
        <v>〇</v>
      </c>
      <c r="N924" s="1"/>
      <c r="O924" s="1"/>
      <c r="P924" s="1"/>
    </row>
    <row r="925" spans="1:16" ht="14.25" customHeight="1" x14ac:dyDescent="0.25">
      <c r="A925" s="1"/>
      <c r="B925" s="1">
        <f ca="1"/>
        <v>913</v>
      </c>
      <c r="C925" s="1">
        <f ca="1">IFERROR(__xludf.DUMMYFUNCTION("""COMPUTED_VALUE"""),2023)</f>
        <v>2023</v>
      </c>
      <c r="D925" s="1">
        <f ca="1">IFERROR(__xludf.DUMMYFUNCTION("""COMPUTED_VALUE"""),10753)</f>
        <v>10753</v>
      </c>
      <c r="E925" s="1" t="str">
        <f ca="1">IFERROR(__xludf.DUMMYFUNCTION("""COMPUTED_VALUE"""),"Inflammation")</f>
        <v>Inflammation</v>
      </c>
      <c r="F925" s="1" t="str">
        <f ca="1">IFERROR(__xludf.DUMMYFUNCTION("""COMPUTED_VALUE"""),"1573-2576")</f>
        <v>1573-2576</v>
      </c>
      <c r="G925" s="1" t="str">
        <f ca="1">IFERROR(__xludf.DUMMYFUNCTION("""COMPUTED_VALUE"""),"0360-3997")</f>
        <v>0360-3997</v>
      </c>
      <c r="H925" s="27" t="str">
        <f ca="1">IFERROR(__xludf.DUMMYFUNCTION("""COMPUTED_VALUE"""),"https://link.springer.com/journal/10753")</f>
        <v>https://link.springer.com/journal/10753</v>
      </c>
      <c r="I925" s="1" t="str">
        <f ca="1">IFERROR(__xludf.DUMMYFUNCTION("""COMPUTED_VALUE"""),"Springer")</f>
        <v>Springer</v>
      </c>
      <c r="J925" s="1">
        <f ca="1">IFERROR(__xludf.DUMMYFUNCTION("""COMPUTED_VALUE"""),2000)</f>
        <v>2000</v>
      </c>
      <c r="K925" s="1" t="str">
        <f ca="1">IFERROR(__xludf.DUMMYFUNCTION("""COMPUTED_VALUE"""),"Biomedical and Life Sciences")</f>
        <v>Biomedical and Life Sciences</v>
      </c>
      <c r="L925" s="1" t="str">
        <f ca="1">IFERROR(__xludf.DUMMYFUNCTION("""COMPUTED_VALUE"""),"〇")</f>
        <v>〇</v>
      </c>
      <c r="M925" s="1" t="str">
        <f ca="1">IFERROR(__xludf.DUMMYFUNCTION("""COMPUTED_VALUE"""),"〇")</f>
        <v>〇</v>
      </c>
      <c r="N925" s="1"/>
      <c r="O925" s="1"/>
      <c r="P925" s="1"/>
    </row>
    <row r="926" spans="1:16" ht="14.25" customHeight="1" x14ac:dyDescent="0.25">
      <c r="A926" s="1"/>
      <c r="B926" s="1">
        <f ca="1"/>
        <v>914</v>
      </c>
      <c r="C926" s="1">
        <f ca="1">IFERROR(__xludf.DUMMYFUNCTION("""COMPUTED_VALUE"""),2023)</f>
        <v>2023</v>
      </c>
      <c r="D926" s="1">
        <f ca="1">IFERROR(__xludf.DUMMYFUNCTION("""COMPUTED_VALUE"""),11)</f>
        <v>11</v>
      </c>
      <c r="E926" s="1" t="str">
        <f ca="1">IFERROR(__xludf.DUMMYFUNCTION("""COMPUTED_VALUE"""),"Inflammation Research")</f>
        <v>Inflammation Research</v>
      </c>
      <c r="F926" s="1" t="str">
        <f ca="1">IFERROR(__xludf.DUMMYFUNCTION("""COMPUTED_VALUE"""),"1420-908X")</f>
        <v>1420-908X</v>
      </c>
      <c r="G926" s="1" t="str">
        <f ca="1">IFERROR(__xludf.DUMMYFUNCTION("""COMPUTED_VALUE"""),"1023-3830")</f>
        <v>1023-3830</v>
      </c>
      <c r="H926" s="27" t="str">
        <f ca="1">IFERROR(__xludf.DUMMYFUNCTION("""COMPUTED_VALUE"""),"https://link.springer.com/journal/11")</f>
        <v>https://link.springer.com/journal/11</v>
      </c>
      <c r="I926" s="1" t="str">
        <f ca="1">IFERROR(__xludf.DUMMYFUNCTION("""COMPUTED_VALUE"""),"Springer")</f>
        <v>Springer</v>
      </c>
      <c r="J926" s="1">
        <f ca="1">IFERROR(__xludf.DUMMYFUNCTION("""COMPUTED_VALUE"""),2000)</f>
        <v>2000</v>
      </c>
      <c r="K926" s="1" t="str">
        <f ca="1">IFERROR(__xludf.DUMMYFUNCTION("""COMPUTED_VALUE"""),"Biomedical and Life Sciences")</f>
        <v>Biomedical and Life Sciences</v>
      </c>
      <c r="L926" s="1" t="str">
        <f ca="1">IFERROR(__xludf.DUMMYFUNCTION("""COMPUTED_VALUE"""),"〇")</f>
        <v>〇</v>
      </c>
      <c r="M926" s="1" t="str">
        <f ca="1">IFERROR(__xludf.DUMMYFUNCTION("""COMPUTED_VALUE"""),"〇")</f>
        <v>〇</v>
      </c>
      <c r="N926" s="1"/>
      <c r="O926" s="1"/>
      <c r="P926" s="1"/>
    </row>
    <row r="927" spans="1:16" ht="14.25" customHeight="1" x14ac:dyDescent="0.25">
      <c r="A927" s="1"/>
      <c r="B927" s="1">
        <f ca="1"/>
        <v>915</v>
      </c>
      <c r="C927" s="1">
        <f ca="1">IFERROR(__xludf.DUMMYFUNCTION("""COMPUTED_VALUE"""),2023)</f>
        <v>2023</v>
      </c>
      <c r="D927" s="1">
        <f ca="1">IFERROR(__xludf.DUMMYFUNCTION("""COMPUTED_VALUE"""),10787)</f>
        <v>10787</v>
      </c>
      <c r="E927" s="1" t="str">
        <f ca="1">IFERROR(__xludf.DUMMYFUNCTION("""COMPUTED_VALUE"""),"Inflammopharmacology")</f>
        <v>Inflammopharmacology</v>
      </c>
      <c r="F927" s="1" t="str">
        <f ca="1">IFERROR(__xludf.DUMMYFUNCTION("""COMPUTED_VALUE"""),"1568-5608")</f>
        <v>1568-5608</v>
      </c>
      <c r="G927" s="1" t="str">
        <f ca="1">IFERROR(__xludf.DUMMYFUNCTION("""COMPUTED_VALUE"""),"0925-4692")</f>
        <v>0925-4692</v>
      </c>
      <c r="H927" s="27" t="str">
        <f ca="1">IFERROR(__xludf.DUMMYFUNCTION("""COMPUTED_VALUE"""),"https://link.springer.com/journal/10787")</f>
        <v>https://link.springer.com/journal/10787</v>
      </c>
      <c r="I927" s="1" t="str">
        <f ca="1">IFERROR(__xludf.DUMMYFUNCTION("""COMPUTED_VALUE"""),"Springer")</f>
        <v>Springer</v>
      </c>
      <c r="J927" s="1">
        <f ca="1">IFERROR(__xludf.DUMMYFUNCTION("""COMPUTED_VALUE"""),2000)</f>
        <v>2000</v>
      </c>
      <c r="K927" s="1" t="str">
        <f ca="1">IFERROR(__xludf.DUMMYFUNCTION("""COMPUTED_VALUE"""),"Biomedical and Life Sciences")</f>
        <v>Biomedical and Life Sciences</v>
      </c>
      <c r="L927" s="1" t="str">
        <f ca="1">IFERROR(__xludf.DUMMYFUNCTION("""COMPUTED_VALUE"""),"〇")</f>
        <v>〇</v>
      </c>
      <c r="M927" s="1" t="str">
        <f ca="1">IFERROR(__xludf.DUMMYFUNCTION("""COMPUTED_VALUE"""),"〇")</f>
        <v>〇</v>
      </c>
      <c r="N927" s="1"/>
      <c r="O927" s="1"/>
      <c r="P927" s="1"/>
    </row>
    <row r="928" spans="1:16" ht="14.25" customHeight="1" x14ac:dyDescent="0.25">
      <c r="A928" s="1"/>
      <c r="B928" s="1">
        <f ca="1"/>
        <v>916</v>
      </c>
      <c r="C928" s="1">
        <f ca="1">IFERROR(__xludf.DUMMYFUNCTION("""COMPUTED_VALUE"""),2023)</f>
        <v>2023</v>
      </c>
      <c r="D928" s="1">
        <f ca="1">IFERROR(__xludf.DUMMYFUNCTION("""COMPUTED_VALUE"""),15034)</f>
        <v>15034</v>
      </c>
      <c r="E928" s="1" t="str">
        <f ca="1">IFERROR(__xludf.DUMMYFUNCTION("""COMPUTED_VALUE"""),"Info Diabetologie")</f>
        <v>Info Diabetologie</v>
      </c>
      <c r="F928" s="1" t="str">
        <f ca="1">IFERROR(__xludf.DUMMYFUNCTION("""COMPUTED_VALUE"""),"2196-6362")</f>
        <v>2196-6362</v>
      </c>
      <c r="G928" s="1" t="str">
        <f ca="1">IFERROR(__xludf.DUMMYFUNCTION("""COMPUTED_VALUE"""),"1865-5459")</f>
        <v>1865-5459</v>
      </c>
      <c r="H928" s="27" t="str">
        <f ca="1">IFERROR(__xludf.DUMMYFUNCTION("""COMPUTED_VALUE"""),"https://link.springer.com/journal/15034")</f>
        <v>https://link.springer.com/journal/15034</v>
      </c>
      <c r="I928" s="1" t="str">
        <f ca="1">IFERROR(__xludf.DUMMYFUNCTION("""COMPUTED_VALUE"""),"SpringerMedizin")</f>
        <v>SpringerMedizin</v>
      </c>
      <c r="J928" s="1">
        <f ca="1">IFERROR(__xludf.DUMMYFUNCTION("""COMPUTED_VALUE"""),2009)</f>
        <v>2009</v>
      </c>
      <c r="K928" s="1" t="str">
        <f ca="1">IFERROR(__xludf.DUMMYFUNCTION("""COMPUTED_VALUE"""),"Medicine")</f>
        <v>Medicine</v>
      </c>
      <c r="L928" s="1" t="str">
        <f ca="1">IFERROR(__xludf.DUMMYFUNCTION("""COMPUTED_VALUE"""),"〇")</f>
        <v>〇</v>
      </c>
      <c r="M928" s="1"/>
      <c r="N928" s="1"/>
      <c r="O928" s="1"/>
      <c r="P928" s="1"/>
    </row>
    <row r="929" spans="1:16" ht="14.25" customHeight="1" x14ac:dyDescent="0.25">
      <c r="A929" s="1"/>
      <c r="B929" s="1">
        <f ca="1"/>
        <v>917</v>
      </c>
      <c r="C929" s="1">
        <f ca="1">IFERROR(__xludf.DUMMYFUNCTION("""COMPUTED_VALUE"""),2023)</f>
        <v>2023</v>
      </c>
      <c r="D929" s="1">
        <f ca="1">IFERROR(__xludf.DUMMYFUNCTION("""COMPUTED_VALUE"""),15004)</f>
        <v>15004</v>
      </c>
      <c r="E929" s="1" t="str">
        <f ca="1">IFERROR(__xludf.DUMMYFUNCTION("""COMPUTED_VALUE"""),"InFo Hämatologie + Onkologie")</f>
        <v>InFo Hämatologie + Onkologie</v>
      </c>
      <c r="F929" s="1" t="str">
        <f ca="1">IFERROR(__xludf.DUMMYFUNCTION("""COMPUTED_VALUE"""),"2662-1762")</f>
        <v>2662-1762</v>
      </c>
      <c r="G929" s="1" t="str">
        <f ca="1">IFERROR(__xludf.DUMMYFUNCTION("""COMPUTED_VALUE"""),"2662-1754")</f>
        <v>2662-1754</v>
      </c>
      <c r="H929" s="27" t="str">
        <f ca="1">IFERROR(__xludf.DUMMYFUNCTION("""COMPUTED_VALUE"""),"https://link.springer.com/journal/15004")</f>
        <v>https://link.springer.com/journal/15004</v>
      </c>
      <c r="I929" s="1" t="str">
        <f ca="1">IFERROR(__xludf.DUMMYFUNCTION("""COMPUTED_VALUE"""),"SpringerMedizin")</f>
        <v>SpringerMedizin</v>
      </c>
      <c r="J929" s="1">
        <f ca="1">IFERROR(__xludf.DUMMYFUNCTION("""COMPUTED_VALUE"""),2009)</f>
        <v>2009</v>
      </c>
      <c r="K929" s="1" t="str">
        <f ca="1">IFERROR(__xludf.DUMMYFUNCTION("""COMPUTED_VALUE"""),"Medicine")</f>
        <v>Medicine</v>
      </c>
      <c r="L929" s="1" t="str">
        <f ca="1">IFERROR(__xludf.DUMMYFUNCTION("""COMPUTED_VALUE"""),"〇")</f>
        <v>〇</v>
      </c>
      <c r="M929" s="1"/>
      <c r="N929" s="1"/>
      <c r="O929" s="1"/>
      <c r="P929" s="1"/>
    </row>
    <row r="930" spans="1:16" ht="14.25" customHeight="1" x14ac:dyDescent="0.25">
      <c r="A930" s="1"/>
      <c r="B930" s="1">
        <f ca="1"/>
        <v>918</v>
      </c>
      <c r="C930" s="1">
        <f ca="1">IFERROR(__xludf.DUMMYFUNCTION("""COMPUTED_VALUE"""),2023)</f>
        <v>2023</v>
      </c>
      <c r="D930" s="1">
        <f ca="1">IFERROR(__xludf.DUMMYFUNCTION("""COMPUTED_VALUE"""),15005)</f>
        <v>15005</v>
      </c>
      <c r="E930" s="1" t="str">
        <f ca="1">IFERROR(__xludf.DUMMYFUNCTION("""COMPUTED_VALUE"""),"InFo Neurologie + Psychiatrie")</f>
        <v>InFo Neurologie + Psychiatrie</v>
      </c>
      <c r="F930" s="1" t="str">
        <f ca="1">IFERROR(__xludf.DUMMYFUNCTION("""COMPUTED_VALUE"""),"2195-5166")</f>
        <v>2195-5166</v>
      </c>
      <c r="G930" s="1" t="str">
        <f ca="1">IFERROR(__xludf.DUMMYFUNCTION("""COMPUTED_VALUE"""),"1437-062X")</f>
        <v>1437-062X</v>
      </c>
      <c r="H930" s="27" t="str">
        <f ca="1">IFERROR(__xludf.DUMMYFUNCTION("""COMPUTED_VALUE"""),"https://link.springer.com/journal/15005")</f>
        <v>https://link.springer.com/journal/15005</v>
      </c>
      <c r="I930" s="1" t="str">
        <f ca="1">IFERROR(__xludf.DUMMYFUNCTION("""COMPUTED_VALUE"""),"SpringerMedizin")</f>
        <v>SpringerMedizin</v>
      </c>
      <c r="J930" s="1">
        <f ca="1">IFERROR(__xludf.DUMMYFUNCTION("""COMPUTED_VALUE"""),2012)</f>
        <v>2012</v>
      </c>
      <c r="K930" s="1" t="str">
        <f ca="1">IFERROR(__xludf.DUMMYFUNCTION("""COMPUTED_VALUE"""),"Medicine")</f>
        <v>Medicine</v>
      </c>
      <c r="L930" s="1" t="str">
        <f ca="1">IFERROR(__xludf.DUMMYFUNCTION("""COMPUTED_VALUE"""),"〇")</f>
        <v>〇</v>
      </c>
      <c r="M930" s="1"/>
      <c r="N930" s="1"/>
      <c r="O930" s="1"/>
      <c r="P930" s="1"/>
    </row>
    <row r="931" spans="1:16" ht="14.25" customHeight="1" x14ac:dyDescent="0.25">
      <c r="A931" s="1"/>
      <c r="B931" s="1">
        <f ca="1"/>
        <v>919</v>
      </c>
      <c r="C931" s="1">
        <f ca="1">IFERROR(__xludf.DUMMYFUNCTION("""COMPUTED_VALUE"""),2023)</f>
        <v>2023</v>
      </c>
      <c r="D931" s="1">
        <f ca="1">IFERROR(__xludf.DUMMYFUNCTION("""COMPUTED_VALUE"""),287)</f>
        <v>287</v>
      </c>
      <c r="E931" s="1" t="str">
        <f ca="1">IFERROR(__xludf.DUMMYFUNCTION("""COMPUTED_VALUE"""),"Informatik Spektrum")</f>
        <v>Informatik Spektrum</v>
      </c>
      <c r="F931" s="1" t="str">
        <f ca="1">IFERROR(__xludf.DUMMYFUNCTION("""COMPUTED_VALUE"""),"1432-122X")</f>
        <v>1432-122X</v>
      </c>
      <c r="G931" s="1" t="str">
        <f ca="1">IFERROR(__xludf.DUMMYFUNCTION("""COMPUTED_VALUE"""),"0170-6012")</f>
        <v>0170-6012</v>
      </c>
      <c r="H931" s="27" t="str">
        <f ca="1">IFERROR(__xludf.DUMMYFUNCTION("""COMPUTED_VALUE"""),"https://link.springer.com/journal/287")</f>
        <v>https://link.springer.com/journal/287</v>
      </c>
      <c r="I931" s="1" t="str">
        <f ca="1">IFERROR(__xludf.DUMMYFUNCTION("""COMPUTED_VALUE"""),"Springer")</f>
        <v>Springer</v>
      </c>
      <c r="J931" s="1">
        <f ca="1">IFERROR(__xludf.DUMMYFUNCTION("""COMPUTED_VALUE"""),2000)</f>
        <v>2000</v>
      </c>
      <c r="K931" s="1" t="str">
        <f ca="1">IFERROR(__xludf.DUMMYFUNCTION("""COMPUTED_VALUE"""),"Computer Science")</f>
        <v>Computer Science</v>
      </c>
      <c r="L931" s="1" t="str">
        <f ca="1">IFERROR(__xludf.DUMMYFUNCTION("""COMPUTED_VALUE"""),"〇")</f>
        <v>〇</v>
      </c>
      <c r="M931" s="1" t="str">
        <f ca="1">IFERROR(__xludf.DUMMYFUNCTION("""COMPUTED_VALUE"""),"〇")</f>
        <v>〇</v>
      </c>
      <c r="N931" s="1"/>
      <c r="O931" s="1"/>
      <c r="P931" s="1"/>
    </row>
    <row r="932" spans="1:16" ht="14.25" customHeight="1" x14ac:dyDescent="0.25">
      <c r="A932" s="1"/>
      <c r="B932" s="1">
        <f ca="1"/>
        <v>920</v>
      </c>
      <c r="C932" s="1">
        <f ca="1">IFERROR(__xludf.DUMMYFUNCTION("""COMPUTED_VALUE"""),2023)</f>
        <v>2023</v>
      </c>
      <c r="D932" s="1">
        <f ca="1">IFERROR(__xludf.DUMMYFUNCTION("""COMPUTED_VALUE"""),41884)</f>
        <v>41884</v>
      </c>
      <c r="E932" s="1" t="str">
        <f ca="1">IFERROR(__xludf.DUMMYFUNCTION("""COMPUTED_VALUE"""),"Information Geometry")</f>
        <v>Information Geometry</v>
      </c>
      <c r="F932" s="1" t="str">
        <f ca="1">IFERROR(__xludf.DUMMYFUNCTION("""COMPUTED_VALUE"""),"2511-249X")</f>
        <v>2511-249X</v>
      </c>
      <c r="G932" s="1" t="str">
        <f ca="1">IFERROR(__xludf.DUMMYFUNCTION("""COMPUTED_VALUE"""),"2511-2481")</f>
        <v>2511-2481</v>
      </c>
      <c r="H932" s="27" t="str">
        <f ca="1">IFERROR(__xludf.DUMMYFUNCTION("""COMPUTED_VALUE"""),"https://link.springer.com/journal/41884")</f>
        <v>https://link.springer.com/journal/41884</v>
      </c>
      <c r="I932" s="1" t="str">
        <f ca="1">IFERROR(__xludf.DUMMYFUNCTION("""COMPUTED_VALUE"""),"Springer")</f>
        <v>Springer</v>
      </c>
      <c r="J932" s="1">
        <f ca="1">IFERROR(__xludf.DUMMYFUNCTION("""COMPUTED_VALUE"""),2018)</f>
        <v>2018</v>
      </c>
      <c r="K932" s="1" t="str">
        <f ca="1">IFERROR(__xludf.DUMMYFUNCTION("""COMPUTED_VALUE"""),"Mathematics and Statistics")</f>
        <v>Mathematics and Statistics</v>
      </c>
      <c r="L932" s="1" t="str">
        <f ca="1">IFERROR(__xludf.DUMMYFUNCTION("""COMPUTED_VALUE"""),"〇")</f>
        <v>〇</v>
      </c>
      <c r="M932" s="1"/>
      <c r="N932" s="1" t="str">
        <f ca="1">IFERROR(__xludf.DUMMYFUNCTION("""COMPUTED_VALUE"""),"SNS18")</f>
        <v>SNS18</v>
      </c>
      <c r="O932" s="1"/>
      <c r="P932" s="1"/>
    </row>
    <row r="933" spans="1:16" ht="14.25" customHeight="1" x14ac:dyDescent="0.25">
      <c r="A933" s="1"/>
      <c r="B933" s="1">
        <f ca="1"/>
        <v>921</v>
      </c>
      <c r="C933" s="1">
        <f ca="1">IFERROR(__xludf.DUMMYFUNCTION("""COMPUTED_VALUE"""),2023)</f>
        <v>2023</v>
      </c>
      <c r="D933" s="1">
        <f ca="1">IFERROR(__xludf.DUMMYFUNCTION("""COMPUTED_VALUE"""),10791)</f>
        <v>10791</v>
      </c>
      <c r="E933" s="1" t="str">
        <f ca="1">IFERROR(__xludf.DUMMYFUNCTION("""COMPUTED_VALUE"""),"Information Retrieval Journal")</f>
        <v>Information Retrieval Journal</v>
      </c>
      <c r="F933" s="1" t="str">
        <f ca="1">IFERROR(__xludf.DUMMYFUNCTION("""COMPUTED_VALUE"""),"1573-7659")</f>
        <v>1573-7659</v>
      </c>
      <c r="G933" s="1" t="str">
        <f ca="1">IFERROR(__xludf.DUMMYFUNCTION("""COMPUTED_VALUE"""),"1386-4564")</f>
        <v>1386-4564</v>
      </c>
      <c r="H933" s="27" t="str">
        <f ca="1">IFERROR(__xludf.DUMMYFUNCTION("""COMPUTED_VALUE"""),"https://link.springer.com/journal/10791")</f>
        <v>https://link.springer.com/journal/10791</v>
      </c>
      <c r="I933" s="1" t="str">
        <f ca="1">IFERROR(__xludf.DUMMYFUNCTION("""COMPUTED_VALUE"""),"Springer")</f>
        <v>Springer</v>
      </c>
      <c r="J933" s="1">
        <f ca="1">IFERROR(__xludf.DUMMYFUNCTION("""COMPUTED_VALUE"""),2000)</f>
        <v>2000</v>
      </c>
      <c r="K933" s="1" t="str">
        <f ca="1">IFERROR(__xludf.DUMMYFUNCTION("""COMPUTED_VALUE"""),"Computer Science")</f>
        <v>Computer Science</v>
      </c>
      <c r="L933" s="1" t="str">
        <f ca="1">IFERROR(__xludf.DUMMYFUNCTION("""COMPUTED_VALUE"""),"〇")</f>
        <v>〇</v>
      </c>
      <c r="M933" s="1" t="str">
        <f ca="1">IFERROR(__xludf.DUMMYFUNCTION("""COMPUTED_VALUE"""),"〇")</f>
        <v>〇</v>
      </c>
      <c r="N933" s="1"/>
      <c r="O933" s="1"/>
      <c r="P933" s="1"/>
    </row>
    <row r="934" spans="1:16" ht="14.25" customHeight="1" x14ac:dyDescent="0.25">
      <c r="A934" s="1"/>
      <c r="B934" s="1">
        <f ca="1"/>
        <v>922</v>
      </c>
      <c r="C934" s="1">
        <f ca="1">IFERROR(__xludf.DUMMYFUNCTION("""COMPUTED_VALUE"""),2023)</f>
        <v>2023</v>
      </c>
      <c r="D934" s="1">
        <f ca="1">IFERROR(__xludf.DUMMYFUNCTION("""COMPUTED_VALUE"""),10257)</f>
        <v>10257</v>
      </c>
      <c r="E934" s="1" t="str">
        <f ca="1">IFERROR(__xludf.DUMMYFUNCTION("""COMPUTED_VALUE"""),"Information Systems and e-Business Management")</f>
        <v>Information Systems and e-Business Management</v>
      </c>
      <c r="F934" s="1" t="str">
        <f ca="1">IFERROR(__xludf.DUMMYFUNCTION("""COMPUTED_VALUE"""),"1617-9854")</f>
        <v>1617-9854</v>
      </c>
      <c r="G934" s="1" t="str">
        <f ca="1">IFERROR(__xludf.DUMMYFUNCTION("""COMPUTED_VALUE"""),"1617-9846")</f>
        <v>1617-9846</v>
      </c>
      <c r="H934" s="27" t="str">
        <f ca="1">IFERROR(__xludf.DUMMYFUNCTION("""COMPUTED_VALUE"""),"https://link.springer.com/journal/10257")</f>
        <v>https://link.springer.com/journal/10257</v>
      </c>
      <c r="I934" s="1" t="str">
        <f ca="1">IFERROR(__xludf.DUMMYFUNCTION("""COMPUTED_VALUE"""),"Springer")</f>
        <v>Springer</v>
      </c>
      <c r="J934" s="1">
        <f ca="1">IFERROR(__xludf.DUMMYFUNCTION("""COMPUTED_VALUE"""),2003)</f>
        <v>2003</v>
      </c>
      <c r="K934" s="1" t="str">
        <f ca="1">IFERROR(__xludf.DUMMYFUNCTION("""COMPUTED_VALUE"""),"Business and Management")</f>
        <v>Business and Management</v>
      </c>
      <c r="L934" s="1" t="str">
        <f ca="1">IFERROR(__xludf.DUMMYFUNCTION("""COMPUTED_VALUE"""),"〇")</f>
        <v>〇</v>
      </c>
      <c r="M934" s="1" t="str">
        <f ca="1">IFERROR(__xludf.DUMMYFUNCTION("""COMPUTED_VALUE"""),"〇")</f>
        <v>〇</v>
      </c>
      <c r="N934" s="1"/>
      <c r="O934" s="1"/>
      <c r="P934" s="1"/>
    </row>
    <row r="935" spans="1:16" ht="14.25" customHeight="1" x14ac:dyDescent="0.25">
      <c r="A935" s="1"/>
      <c r="B935" s="1">
        <f ca="1"/>
        <v>923</v>
      </c>
      <c r="C935" s="1">
        <f ca="1">IFERROR(__xludf.DUMMYFUNCTION("""COMPUTED_VALUE"""),2023)</f>
        <v>2023</v>
      </c>
      <c r="D935" s="1">
        <f ca="1">IFERROR(__xludf.DUMMYFUNCTION("""COMPUTED_VALUE"""),10796)</f>
        <v>10796</v>
      </c>
      <c r="E935" s="1" t="str">
        <f ca="1">IFERROR(__xludf.DUMMYFUNCTION("""COMPUTED_VALUE"""),"Information Systems Frontiers")</f>
        <v>Information Systems Frontiers</v>
      </c>
      <c r="F935" s="1" t="str">
        <f ca="1">IFERROR(__xludf.DUMMYFUNCTION("""COMPUTED_VALUE"""),"1572-9419")</f>
        <v>1572-9419</v>
      </c>
      <c r="G935" s="1" t="str">
        <f ca="1">IFERROR(__xludf.DUMMYFUNCTION("""COMPUTED_VALUE"""),"1387-3326")</f>
        <v>1387-3326</v>
      </c>
      <c r="H935" s="27" t="str">
        <f ca="1">IFERROR(__xludf.DUMMYFUNCTION("""COMPUTED_VALUE"""),"https://link.springer.com/journal/10796")</f>
        <v>https://link.springer.com/journal/10796</v>
      </c>
      <c r="I935" s="1" t="str">
        <f ca="1">IFERROR(__xludf.DUMMYFUNCTION("""COMPUTED_VALUE"""),"Springer")</f>
        <v>Springer</v>
      </c>
      <c r="J935" s="1">
        <f ca="1">IFERROR(__xludf.DUMMYFUNCTION("""COMPUTED_VALUE"""),2000)</f>
        <v>2000</v>
      </c>
      <c r="K935" s="1" t="str">
        <f ca="1">IFERROR(__xludf.DUMMYFUNCTION("""COMPUTED_VALUE"""),"Business and Management")</f>
        <v>Business and Management</v>
      </c>
      <c r="L935" s="1" t="str">
        <f ca="1">IFERROR(__xludf.DUMMYFUNCTION("""COMPUTED_VALUE"""),"〇")</f>
        <v>〇</v>
      </c>
      <c r="M935" s="1" t="str">
        <f ca="1">IFERROR(__xludf.DUMMYFUNCTION("""COMPUTED_VALUE"""),"〇")</f>
        <v>〇</v>
      </c>
      <c r="N935" s="1"/>
      <c r="O935" s="1"/>
      <c r="P935" s="1"/>
    </row>
    <row r="936" spans="1:16" ht="14.25" customHeight="1" x14ac:dyDescent="0.25">
      <c r="A936" s="1"/>
      <c r="B936" s="1">
        <f ca="1"/>
        <v>924</v>
      </c>
      <c r="C936" s="1">
        <f ca="1">IFERROR(__xludf.DUMMYFUNCTION("""COMPUTED_VALUE"""),2023)</f>
        <v>2023</v>
      </c>
      <c r="D936" s="1">
        <f ca="1">IFERROR(__xludf.DUMMYFUNCTION("""COMPUTED_VALUE"""),40558)</f>
        <v>40558</v>
      </c>
      <c r="E936" s="1" t="str">
        <f ca="1">IFERROR(__xludf.DUMMYFUNCTION("""COMPUTED_VALUE"""),"Information Technology &amp; Tourism")</f>
        <v>Information Technology &amp; Tourism</v>
      </c>
      <c r="F936" s="1" t="str">
        <f ca="1">IFERROR(__xludf.DUMMYFUNCTION("""COMPUTED_VALUE"""),"1943-4294")</f>
        <v>1943-4294</v>
      </c>
      <c r="G936" s="1" t="str">
        <f ca="1">IFERROR(__xludf.DUMMYFUNCTION("""COMPUTED_VALUE"""),"1098-3058")</f>
        <v>1098-3058</v>
      </c>
      <c r="H936" s="27" t="str">
        <f ca="1">IFERROR(__xludf.DUMMYFUNCTION("""COMPUTED_VALUE"""),"https://link.springer.com/journal/40558")</f>
        <v>https://link.springer.com/journal/40558</v>
      </c>
      <c r="I936" s="1" t="str">
        <f ca="1">IFERROR(__xludf.DUMMYFUNCTION("""COMPUTED_VALUE"""),"Springer")</f>
        <v>Springer</v>
      </c>
      <c r="J936" s="1">
        <f ca="1">IFERROR(__xludf.DUMMYFUNCTION("""COMPUTED_VALUE"""),2014)</f>
        <v>2014</v>
      </c>
      <c r="K936" s="1" t="str">
        <f ca="1">IFERROR(__xludf.DUMMYFUNCTION("""COMPUTED_VALUE"""),"Business and Management")</f>
        <v>Business and Management</v>
      </c>
      <c r="L936" s="1" t="str">
        <f ca="1">IFERROR(__xludf.DUMMYFUNCTION("""COMPUTED_VALUE"""),"〇")</f>
        <v>〇</v>
      </c>
      <c r="M936" s="1"/>
      <c r="N936" s="1" t="str">
        <f ca="1">IFERROR(__xludf.DUMMYFUNCTION("""COMPUTED_VALUE"""),"TO12")</f>
        <v>TO12</v>
      </c>
      <c r="O936" s="1"/>
      <c r="P936" s="1"/>
    </row>
    <row r="937" spans="1:16" ht="14.25" customHeight="1" x14ac:dyDescent="0.25">
      <c r="A937" s="1"/>
      <c r="B937" s="1">
        <f ca="1"/>
        <v>925</v>
      </c>
      <c r="C937" s="1">
        <f ca="1">IFERROR(__xludf.DUMMYFUNCTION("""COMPUTED_VALUE"""),2023)</f>
        <v>2023</v>
      </c>
      <c r="D937" s="1">
        <f ca="1">IFERROR(__xludf.DUMMYFUNCTION("""COMPUTED_VALUE"""),10799)</f>
        <v>10799</v>
      </c>
      <c r="E937" s="1" t="str">
        <f ca="1">IFERROR(__xludf.DUMMYFUNCTION("""COMPUTED_VALUE"""),"Information Technology and Management")</f>
        <v>Information Technology and Management</v>
      </c>
      <c r="F937" s="1" t="str">
        <f ca="1">IFERROR(__xludf.DUMMYFUNCTION("""COMPUTED_VALUE"""),"1573-7667")</f>
        <v>1573-7667</v>
      </c>
      <c r="G937" s="1" t="str">
        <f ca="1">IFERROR(__xludf.DUMMYFUNCTION("""COMPUTED_VALUE"""),"1385-951X")</f>
        <v>1385-951X</v>
      </c>
      <c r="H937" s="27" t="str">
        <f ca="1">IFERROR(__xludf.DUMMYFUNCTION("""COMPUTED_VALUE"""),"https://link.springer.com/journal/10799")</f>
        <v>https://link.springer.com/journal/10799</v>
      </c>
      <c r="I937" s="1" t="str">
        <f ca="1">IFERROR(__xludf.DUMMYFUNCTION("""COMPUTED_VALUE"""),"Springer")</f>
        <v>Springer</v>
      </c>
      <c r="J937" s="1">
        <f ca="1">IFERROR(__xludf.DUMMYFUNCTION("""COMPUTED_VALUE"""),2000)</f>
        <v>2000</v>
      </c>
      <c r="K937" s="1" t="str">
        <f ca="1">IFERROR(__xludf.DUMMYFUNCTION("""COMPUTED_VALUE"""),"Business and Management")</f>
        <v>Business and Management</v>
      </c>
      <c r="L937" s="1" t="str">
        <f ca="1">IFERROR(__xludf.DUMMYFUNCTION("""COMPUTED_VALUE"""),"〇")</f>
        <v>〇</v>
      </c>
      <c r="M937" s="1" t="str">
        <f ca="1">IFERROR(__xludf.DUMMYFUNCTION("""COMPUTED_VALUE"""),"〇")</f>
        <v>〇</v>
      </c>
      <c r="N937" s="1"/>
      <c r="O937" s="1"/>
      <c r="P937" s="1"/>
    </row>
    <row r="938" spans="1:16" ht="14.25" customHeight="1" x14ac:dyDescent="0.25">
      <c r="A938" s="1"/>
      <c r="B938" s="1">
        <f ca="1"/>
        <v>926</v>
      </c>
      <c r="C938" s="1">
        <f ca="1">IFERROR(__xludf.DUMMYFUNCTION("""COMPUTED_VALUE"""),2023)</f>
        <v>2023</v>
      </c>
      <c r="D938" s="1">
        <f ca="1">IFERROR(__xludf.DUMMYFUNCTION("""COMPUTED_VALUE"""),12212)</f>
        <v>12212</v>
      </c>
      <c r="E938" s="1" t="str">
        <f ca="1">IFERROR(__xludf.DUMMYFUNCTION("""COMPUTED_VALUE"""),"Inland Water Biology")</f>
        <v>Inland Water Biology</v>
      </c>
      <c r="F938" s="1" t="str">
        <f ca="1">IFERROR(__xludf.DUMMYFUNCTION("""COMPUTED_VALUE"""),"1995-0837")</f>
        <v>1995-0837</v>
      </c>
      <c r="G938" s="1" t="str">
        <f ca="1">IFERROR(__xludf.DUMMYFUNCTION("""COMPUTED_VALUE"""),"1995-0829")</f>
        <v>1995-0829</v>
      </c>
      <c r="H938" s="27" t="str">
        <f ca="1">IFERROR(__xludf.DUMMYFUNCTION("""COMPUTED_VALUE"""),"https://link.springer.com/journal/12212")</f>
        <v>https://link.springer.com/journal/12212</v>
      </c>
      <c r="I938" s="1" t="str">
        <f ca="1">IFERROR(__xludf.DUMMYFUNCTION("""COMPUTED_VALUE"""),"Pleiades Publishing")</f>
        <v>Pleiades Publishing</v>
      </c>
      <c r="J938" s="1">
        <f ca="1">IFERROR(__xludf.DUMMYFUNCTION("""COMPUTED_VALUE"""),2008)</f>
        <v>2008</v>
      </c>
      <c r="K938" s="1" t="str">
        <f ca="1">IFERROR(__xludf.DUMMYFUNCTION("""COMPUTED_VALUE"""),"Biomedical and Life Sciences")</f>
        <v>Biomedical and Life Sciences</v>
      </c>
      <c r="L938" s="1" t="str">
        <f ca="1">IFERROR(__xludf.DUMMYFUNCTION("""COMPUTED_VALUE"""),"〇")</f>
        <v>〇</v>
      </c>
      <c r="M938" s="1" t="str">
        <f ca="1">IFERROR(__xludf.DUMMYFUNCTION("""COMPUTED_VALUE"""),"〇")</f>
        <v>〇</v>
      </c>
      <c r="N938" s="1" t="str">
        <f ca="1">IFERROR(__xludf.DUMMYFUNCTION("""COMPUTED_VALUE"""),"SNS8")</f>
        <v>SNS8</v>
      </c>
      <c r="O938" s="1"/>
      <c r="P938" s="1"/>
    </row>
    <row r="939" spans="1:16" ht="14.25" customHeight="1" x14ac:dyDescent="0.25">
      <c r="A939" s="1"/>
      <c r="B939" s="1">
        <f ca="1"/>
        <v>927</v>
      </c>
      <c r="C939" s="1">
        <f ca="1">IFERROR(__xludf.DUMMYFUNCTION("""COMPUTED_VALUE"""),2023)</f>
        <v>2023</v>
      </c>
      <c r="D939" s="1">
        <f ca="1">IFERROR(__xludf.DUMMYFUNCTION("""COMPUTED_VALUE"""),11334)</f>
        <v>11334</v>
      </c>
      <c r="E939" s="1" t="str">
        <f ca="1">IFERROR(__xludf.DUMMYFUNCTION("""COMPUTED_VALUE"""),"Innovations in Systems and Software Engineering")</f>
        <v>Innovations in Systems and Software Engineering</v>
      </c>
      <c r="F939" s="1" t="str">
        <f ca="1">IFERROR(__xludf.DUMMYFUNCTION("""COMPUTED_VALUE"""),"1614-5054")</f>
        <v>1614-5054</v>
      </c>
      <c r="G939" s="1" t="str">
        <f ca="1">IFERROR(__xludf.DUMMYFUNCTION("""COMPUTED_VALUE"""),"1614-5046")</f>
        <v>1614-5046</v>
      </c>
      <c r="H939" s="27" t="str">
        <f ca="1">IFERROR(__xludf.DUMMYFUNCTION("""COMPUTED_VALUE"""),"https://link.springer.com/journal/11334")</f>
        <v>https://link.springer.com/journal/11334</v>
      </c>
      <c r="I939" s="1" t="str">
        <f ca="1">IFERROR(__xludf.DUMMYFUNCTION("""COMPUTED_VALUE"""),"Springer")</f>
        <v>Springer</v>
      </c>
      <c r="J939" s="1">
        <f ca="1">IFERROR(__xludf.DUMMYFUNCTION("""COMPUTED_VALUE"""),2005)</f>
        <v>2005</v>
      </c>
      <c r="K939" s="1" t="str">
        <f ca="1">IFERROR(__xludf.DUMMYFUNCTION("""COMPUTED_VALUE"""),"Computer Science")</f>
        <v>Computer Science</v>
      </c>
      <c r="L939" s="1" t="str">
        <f ca="1">IFERROR(__xludf.DUMMYFUNCTION("""COMPUTED_VALUE"""),"〇")</f>
        <v>〇</v>
      </c>
      <c r="M939" s="1" t="str">
        <f ca="1">IFERROR(__xludf.DUMMYFUNCTION("""COMPUTED_VALUE"""),"〇")</f>
        <v>〇</v>
      </c>
      <c r="N939" s="1"/>
      <c r="O939" s="1"/>
      <c r="P939" s="1"/>
    </row>
    <row r="940" spans="1:16" ht="14.25" customHeight="1" x14ac:dyDescent="0.25">
      <c r="A940" s="1"/>
      <c r="B940" s="1">
        <f ca="1"/>
        <v>928</v>
      </c>
      <c r="C940" s="1">
        <f ca="1">IFERROR(__xludf.DUMMYFUNCTION("""COMPUTED_VALUE"""),2023)</f>
        <v>2023</v>
      </c>
      <c r="D940" s="1">
        <f ca="1">IFERROR(__xludf.DUMMYFUNCTION("""COMPUTED_VALUE"""),10755)</f>
        <v>10755</v>
      </c>
      <c r="E940" s="1" t="str">
        <f ca="1">IFERROR(__xludf.DUMMYFUNCTION("""COMPUTED_VALUE"""),"Innovative Higher Education")</f>
        <v>Innovative Higher Education</v>
      </c>
      <c r="F940" s="1" t="str">
        <f ca="1">IFERROR(__xludf.DUMMYFUNCTION("""COMPUTED_VALUE"""),"1573-1758")</f>
        <v>1573-1758</v>
      </c>
      <c r="G940" s="1" t="str">
        <f ca="1">IFERROR(__xludf.DUMMYFUNCTION("""COMPUTED_VALUE"""),"0742-5627")</f>
        <v>0742-5627</v>
      </c>
      <c r="H940" s="27" t="str">
        <f ca="1">IFERROR(__xludf.DUMMYFUNCTION("""COMPUTED_VALUE"""),"https://link.springer.com/journal/10755")</f>
        <v>https://link.springer.com/journal/10755</v>
      </c>
      <c r="I940" s="1" t="str">
        <f ca="1">IFERROR(__xludf.DUMMYFUNCTION("""COMPUTED_VALUE"""),"Springer")</f>
        <v>Springer</v>
      </c>
      <c r="J940" s="1">
        <f ca="1">IFERROR(__xludf.DUMMYFUNCTION("""COMPUTED_VALUE"""),2000)</f>
        <v>2000</v>
      </c>
      <c r="K940" s="1" t="str">
        <f ca="1">IFERROR(__xludf.DUMMYFUNCTION("""COMPUTED_VALUE"""),"Education")</f>
        <v>Education</v>
      </c>
      <c r="L940" s="1" t="str">
        <f ca="1">IFERROR(__xludf.DUMMYFUNCTION("""COMPUTED_VALUE"""),"〇")</f>
        <v>〇</v>
      </c>
      <c r="M940" s="1" t="str">
        <f ca="1">IFERROR(__xludf.DUMMYFUNCTION("""COMPUTED_VALUE"""),"〇")</f>
        <v>〇</v>
      </c>
      <c r="N940" s="1"/>
      <c r="O940" s="1"/>
      <c r="P940" s="1"/>
    </row>
    <row r="941" spans="1:16" ht="14.25" customHeight="1" x14ac:dyDescent="0.25">
      <c r="A941" s="1"/>
      <c r="B941" s="1">
        <f ca="1"/>
        <v>929</v>
      </c>
      <c r="C941" s="1">
        <f ca="1">IFERROR(__xludf.DUMMYFUNCTION("""COMPUTED_VALUE"""),2023)</f>
        <v>2023</v>
      </c>
      <c r="D941" s="1">
        <f ca="1">IFERROR(__xludf.DUMMYFUNCTION("""COMPUTED_VALUE"""),41062)</f>
        <v>41062</v>
      </c>
      <c r="E941" s="1" t="str">
        <f ca="1">IFERROR(__xludf.DUMMYFUNCTION("""COMPUTED_VALUE"""),"Innovative Infrastructure Solutions")</f>
        <v>Innovative Infrastructure Solutions</v>
      </c>
      <c r="F941" s="1" t="str">
        <f ca="1">IFERROR(__xludf.DUMMYFUNCTION("""COMPUTED_VALUE"""),"2364-4184")</f>
        <v>2364-4184</v>
      </c>
      <c r="G941" s="1"/>
      <c r="H941" s="27" t="str">
        <f ca="1">IFERROR(__xludf.DUMMYFUNCTION("""COMPUTED_VALUE"""),"https://link.springer.com/journal/41062")</f>
        <v>https://link.springer.com/journal/41062</v>
      </c>
      <c r="I941" s="1" t="str">
        <f ca="1">IFERROR(__xludf.DUMMYFUNCTION("""COMPUTED_VALUE"""),"Springer")</f>
        <v>Springer</v>
      </c>
      <c r="J941" s="1">
        <f ca="1">IFERROR(__xludf.DUMMYFUNCTION("""COMPUTED_VALUE"""),2016)</f>
        <v>2016</v>
      </c>
      <c r="K941" s="1" t="str">
        <f ca="1">IFERROR(__xludf.DUMMYFUNCTION("""COMPUTED_VALUE"""),"Earth and Environmental Science")</f>
        <v>Earth and Environmental Science</v>
      </c>
      <c r="L941" s="1"/>
      <c r="M941" s="1"/>
      <c r="N941" s="1" t="str">
        <f ca="1">IFERROR(__xludf.DUMMYFUNCTION("""COMPUTED_VALUE"""),"SNS16")</f>
        <v>SNS16</v>
      </c>
      <c r="O941" s="1"/>
      <c r="P941" s="1"/>
    </row>
    <row r="942" spans="1:16" ht="14.25" customHeight="1" x14ac:dyDescent="0.25">
      <c r="A942" s="1"/>
      <c r="B942" s="1">
        <f ca="1"/>
        <v>930</v>
      </c>
      <c r="C942" s="1">
        <f ca="1">IFERROR(__xludf.DUMMYFUNCTION("""COMPUTED_VALUE"""),2023)</f>
        <v>2023</v>
      </c>
      <c r="D942" s="1">
        <f ca="1">IFERROR(__xludf.DUMMYFUNCTION("""COMPUTED_VALUE"""),10789)</f>
        <v>10789</v>
      </c>
      <c r="E942" s="1" t="str">
        <f ca="1">IFERROR(__xludf.DUMMYFUNCTION("""COMPUTED_VALUE"""),"Inorganic Materials")</f>
        <v>Inorganic Materials</v>
      </c>
      <c r="F942" s="1" t="str">
        <f ca="1">IFERROR(__xludf.DUMMYFUNCTION("""COMPUTED_VALUE"""),"1608-3172")</f>
        <v>1608-3172</v>
      </c>
      <c r="G942" s="1" t="str">
        <f ca="1">IFERROR(__xludf.DUMMYFUNCTION("""COMPUTED_VALUE"""),"0020-1685")</f>
        <v>0020-1685</v>
      </c>
      <c r="H942" s="27" t="str">
        <f ca="1">IFERROR(__xludf.DUMMYFUNCTION("""COMPUTED_VALUE"""),"https://link.springer.com/journal/10789")</f>
        <v>https://link.springer.com/journal/10789</v>
      </c>
      <c r="I942" s="1" t="str">
        <f ca="1">IFERROR(__xludf.DUMMYFUNCTION("""COMPUTED_VALUE"""),"Pleiades Publishing")</f>
        <v>Pleiades Publishing</v>
      </c>
      <c r="J942" s="1">
        <f ca="1">IFERROR(__xludf.DUMMYFUNCTION("""COMPUTED_VALUE"""),2000)</f>
        <v>2000</v>
      </c>
      <c r="K942" s="1" t="str">
        <f ca="1">IFERROR(__xludf.DUMMYFUNCTION("""COMPUTED_VALUE"""),"Chemistry and Materials Science")</f>
        <v>Chemistry and Materials Science</v>
      </c>
      <c r="L942" s="1" t="str">
        <f ca="1">IFERROR(__xludf.DUMMYFUNCTION("""COMPUTED_VALUE"""),"〇")</f>
        <v>〇</v>
      </c>
      <c r="M942" s="1" t="str">
        <f ca="1">IFERROR(__xludf.DUMMYFUNCTION("""COMPUTED_VALUE"""),"〇")</f>
        <v>〇</v>
      </c>
      <c r="N942" s="1"/>
      <c r="O942" s="1"/>
      <c r="P942" s="1"/>
    </row>
    <row r="943" spans="1:16" ht="14.25" customHeight="1" x14ac:dyDescent="0.25">
      <c r="A943" s="1"/>
      <c r="B943" s="1">
        <f ca="1"/>
        <v>931</v>
      </c>
      <c r="C943" s="1">
        <f ca="1">IFERROR(__xludf.DUMMYFUNCTION("""COMPUTED_VALUE"""),2023)</f>
        <v>2023</v>
      </c>
      <c r="D943" s="1">
        <f ca="1">IFERROR(__xludf.DUMMYFUNCTION("""COMPUTED_VALUE"""),13188)</f>
        <v>13188</v>
      </c>
      <c r="E943" s="1" t="str">
        <f ca="1">IFERROR(__xludf.DUMMYFUNCTION("""COMPUTED_VALUE"""),"Inorganic Materials: Applied Research")</f>
        <v>Inorganic Materials: Applied Research</v>
      </c>
      <c r="F943" s="1" t="str">
        <f ca="1">IFERROR(__xludf.DUMMYFUNCTION("""COMPUTED_VALUE"""),"2075-115X")</f>
        <v>2075-115X</v>
      </c>
      <c r="G943" s="1" t="str">
        <f ca="1">IFERROR(__xludf.DUMMYFUNCTION("""COMPUTED_VALUE"""),"2075-1133")</f>
        <v>2075-1133</v>
      </c>
      <c r="H943" s="27" t="str">
        <f ca="1">IFERROR(__xludf.DUMMYFUNCTION("""COMPUTED_VALUE"""),"https://link.springer.com/journal/13188")</f>
        <v>https://link.springer.com/journal/13188</v>
      </c>
      <c r="I943" s="1" t="str">
        <f ca="1">IFERROR(__xludf.DUMMYFUNCTION("""COMPUTED_VALUE"""),"Pleiades Publishing")</f>
        <v>Pleiades Publishing</v>
      </c>
      <c r="J943" s="1">
        <f ca="1">IFERROR(__xludf.DUMMYFUNCTION("""COMPUTED_VALUE"""),2010)</f>
        <v>2010</v>
      </c>
      <c r="K943" s="1" t="str">
        <f ca="1">IFERROR(__xludf.DUMMYFUNCTION("""COMPUTED_VALUE"""),"Chemistry and Materials Science")</f>
        <v>Chemistry and Materials Science</v>
      </c>
      <c r="L943" s="1" t="str">
        <f ca="1">IFERROR(__xludf.DUMMYFUNCTION("""COMPUTED_VALUE"""),"〇")</f>
        <v>〇</v>
      </c>
      <c r="M943" s="1" t="str">
        <f ca="1">IFERROR(__xludf.DUMMYFUNCTION("""COMPUTED_VALUE"""),"〇")</f>
        <v>〇</v>
      </c>
      <c r="N943" s="1" t="str">
        <f ca="1">IFERROR(__xludf.DUMMYFUNCTION("""COMPUTED_VALUE"""),"SNS10")</f>
        <v>SNS10</v>
      </c>
      <c r="O943" s="1"/>
      <c r="P943" s="1"/>
    </row>
    <row r="944" spans="1:16" ht="14.25" customHeight="1" x14ac:dyDescent="0.25">
      <c r="A944" s="1"/>
      <c r="B944" s="1">
        <f ca="1"/>
        <v>932</v>
      </c>
      <c r="C944" s="1">
        <f ca="1">IFERROR(__xludf.DUMMYFUNCTION("""COMPUTED_VALUE"""),2023)</f>
        <v>2023</v>
      </c>
      <c r="D944" s="1">
        <f ca="1">IFERROR(__xludf.DUMMYFUNCTION("""COMPUTED_VALUE"""),40)</f>
        <v>40</v>
      </c>
      <c r="E944" s="1" t="str">
        <f ca="1">IFERROR(__xludf.DUMMYFUNCTION("""COMPUTED_VALUE"""),"Insectes Sociaux")</f>
        <v>Insectes Sociaux</v>
      </c>
      <c r="F944" s="1" t="str">
        <f ca="1">IFERROR(__xludf.DUMMYFUNCTION("""COMPUTED_VALUE"""),"1420-9098")</f>
        <v>1420-9098</v>
      </c>
      <c r="G944" s="1" t="str">
        <f ca="1">IFERROR(__xludf.DUMMYFUNCTION("""COMPUTED_VALUE"""),"0020-1812")</f>
        <v>0020-1812</v>
      </c>
      <c r="H944" s="27" t="str">
        <f ca="1">IFERROR(__xludf.DUMMYFUNCTION("""COMPUTED_VALUE"""),"https://link.springer.com/journal/40")</f>
        <v>https://link.springer.com/journal/40</v>
      </c>
      <c r="I944" s="1" t="str">
        <f ca="1">IFERROR(__xludf.DUMMYFUNCTION("""COMPUTED_VALUE"""),"Springer")</f>
        <v>Springer</v>
      </c>
      <c r="J944" s="1">
        <f ca="1">IFERROR(__xludf.DUMMYFUNCTION("""COMPUTED_VALUE"""),2000)</f>
        <v>2000</v>
      </c>
      <c r="K944" s="1" t="str">
        <f ca="1">IFERROR(__xludf.DUMMYFUNCTION("""COMPUTED_VALUE"""),"Biomedical and Life Sciences")</f>
        <v>Biomedical and Life Sciences</v>
      </c>
      <c r="L944" s="1" t="str">
        <f ca="1">IFERROR(__xludf.DUMMYFUNCTION("""COMPUTED_VALUE"""),"〇")</f>
        <v>〇</v>
      </c>
      <c r="M944" s="1" t="str">
        <f ca="1">IFERROR(__xludf.DUMMYFUNCTION("""COMPUTED_VALUE"""),"〇")</f>
        <v>〇</v>
      </c>
      <c r="N944" s="1"/>
      <c r="O944" s="1"/>
      <c r="P944" s="1"/>
    </row>
    <row r="945" spans="1:16" ht="14.25" customHeight="1" x14ac:dyDescent="0.25">
      <c r="A945" s="1"/>
      <c r="B945" s="1">
        <f ca="1"/>
        <v>933</v>
      </c>
      <c r="C945" s="1">
        <f ca="1">IFERROR(__xludf.DUMMYFUNCTION("""COMPUTED_VALUE"""),2023)</f>
        <v>2023</v>
      </c>
      <c r="D945" s="1">
        <f ca="1">IFERROR(__xludf.DUMMYFUNCTION("""COMPUTED_VALUE"""),11251)</f>
        <v>11251</v>
      </c>
      <c r="E945" s="1" t="str">
        <f ca="1">IFERROR(__xludf.DUMMYFUNCTION("""COMPUTED_VALUE"""),"Instructional Science")</f>
        <v>Instructional Science</v>
      </c>
      <c r="F945" s="1" t="str">
        <f ca="1">IFERROR(__xludf.DUMMYFUNCTION("""COMPUTED_VALUE"""),"1573-1952")</f>
        <v>1573-1952</v>
      </c>
      <c r="G945" s="1" t="str">
        <f ca="1">IFERROR(__xludf.DUMMYFUNCTION("""COMPUTED_VALUE"""),"0020-4277")</f>
        <v>0020-4277</v>
      </c>
      <c r="H945" s="27" t="str">
        <f ca="1">IFERROR(__xludf.DUMMYFUNCTION("""COMPUTED_VALUE"""),"https://link.springer.com/journal/11251")</f>
        <v>https://link.springer.com/journal/11251</v>
      </c>
      <c r="I945" s="1" t="str">
        <f ca="1">IFERROR(__xludf.DUMMYFUNCTION("""COMPUTED_VALUE"""),"Springer")</f>
        <v>Springer</v>
      </c>
      <c r="J945" s="1">
        <f ca="1">IFERROR(__xludf.DUMMYFUNCTION("""COMPUTED_VALUE"""),2000)</f>
        <v>2000</v>
      </c>
      <c r="K945" s="1" t="str">
        <f ca="1">IFERROR(__xludf.DUMMYFUNCTION("""COMPUTED_VALUE"""),"Education")</f>
        <v>Education</v>
      </c>
      <c r="L945" s="1" t="str">
        <f ca="1">IFERROR(__xludf.DUMMYFUNCTION("""COMPUTED_VALUE"""),"〇")</f>
        <v>〇</v>
      </c>
      <c r="M945" s="1" t="str">
        <f ca="1">IFERROR(__xludf.DUMMYFUNCTION("""COMPUTED_VALUE"""),"〇")</f>
        <v>〇</v>
      </c>
      <c r="N945" s="1"/>
      <c r="O945" s="1"/>
      <c r="P945" s="1"/>
    </row>
    <row r="946" spans="1:16" ht="14.25" customHeight="1" x14ac:dyDescent="0.25">
      <c r="A946" s="1"/>
      <c r="B946" s="1">
        <f ca="1"/>
        <v>934</v>
      </c>
      <c r="C946" s="1">
        <f ca="1">IFERROR(__xludf.DUMMYFUNCTION("""COMPUTED_VALUE"""),2023)</f>
        <v>2023</v>
      </c>
      <c r="D946" s="1">
        <f ca="1">IFERROR(__xludf.DUMMYFUNCTION("""COMPUTED_VALUE"""),10786)</f>
        <v>10786</v>
      </c>
      <c r="E946" s="1" t="str">
        <f ca="1">IFERROR(__xludf.DUMMYFUNCTION("""COMPUTED_VALUE"""),"Instruments and Experimental Techniques")</f>
        <v>Instruments and Experimental Techniques</v>
      </c>
      <c r="F946" s="1" t="str">
        <f ca="1">IFERROR(__xludf.DUMMYFUNCTION("""COMPUTED_VALUE"""),"1608-3180")</f>
        <v>1608-3180</v>
      </c>
      <c r="G946" s="1" t="str">
        <f ca="1">IFERROR(__xludf.DUMMYFUNCTION("""COMPUTED_VALUE"""),"0020-4412")</f>
        <v>0020-4412</v>
      </c>
      <c r="H946" s="27" t="str">
        <f ca="1">IFERROR(__xludf.DUMMYFUNCTION("""COMPUTED_VALUE"""),"https://link.springer.com/journal/10786")</f>
        <v>https://link.springer.com/journal/10786</v>
      </c>
      <c r="I946" s="1" t="str">
        <f ca="1">IFERROR(__xludf.DUMMYFUNCTION("""COMPUTED_VALUE"""),"Pleiades Publishing")</f>
        <v>Pleiades Publishing</v>
      </c>
      <c r="J946" s="1">
        <f ca="1">IFERROR(__xludf.DUMMYFUNCTION("""COMPUTED_VALUE"""),2000)</f>
        <v>2000</v>
      </c>
      <c r="K946" s="1" t="str">
        <f ca="1">IFERROR(__xludf.DUMMYFUNCTION("""COMPUTED_VALUE"""),"Physics and Astronomy")</f>
        <v>Physics and Astronomy</v>
      </c>
      <c r="L946" s="1" t="str">
        <f ca="1">IFERROR(__xludf.DUMMYFUNCTION("""COMPUTED_VALUE"""),"〇")</f>
        <v>〇</v>
      </c>
      <c r="M946" s="1" t="str">
        <f ca="1">IFERROR(__xludf.DUMMYFUNCTION("""COMPUTED_VALUE"""),"〇")</f>
        <v>〇</v>
      </c>
      <c r="N946" s="1"/>
      <c r="O946" s="1"/>
      <c r="P946" s="1"/>
    </row>
    <row r="947" spans="1:16" ht="14.25" customHeight="1" x14ac:dyDescent="0.25">
      <c r="A947" s="1"/>
      <c r="B947" s="1">
        <f ca="1"/>
        <v>935</v>
      </c>
      <c r="C947" s="1">
        <f ca="1">IFERROR(__xludf.DUMMYFUNCTION("""COMPUTED_VALUE"""),2023)</f>
        <v>2023</v>
      </c>
      <c r="D947" s="1">
        <f ca="1">IFERROR(__xludf.DUMMYFUNCTION("""COMPUTED_VALUE"""),20)</f>
        <v>20</v>
      </c>
      <c r="E947" s="1" t="str">
        <f ca="1">IFERROR(__xludf.DUMMYFUNCTION("""COMPUTED_VALUE"""),"Integral Equations and Operator Theory")</f>
        <v>Integral Equations and Operator Theory</v>
      </c>
      <c r="F947" s="1" t="str">
        <f ca="1">IFERROR(__xludf.DUMMYFUNCTION("""COMPUTED_VALUE"""),"1420-8989")</f>
        <v>1420-8989</v>
      </c>
      <c r="G947" s="1" t="str">
        <f ca="1">IFERROR(__xludf.DUMMYFUNCTION("""COMPUTED_VALUE"""),"0378-620X")</f>
        <v>0378-620X</v>
      </c>
      <c r="H947" s="27" t="str">
        <f ca="1">IFERROR(__xludf.DUMMYFUNCTION("""COMPUTED_VALUE"""),"https://link.springer.com/journal/20")</f>
        <v>https://link.springer.com/journal/20</v>
      </c>
      <c r="I947" s="1" t="str">
        <f ca="1">IFERROR(__xludf.DUMMYFUNCTION("""COMPUTED_VALUE"""),"Birkhäuser")</f>
        <v>Birkhäuser</v>
      </c>
      <c r="J947" s="1">
        <f ca="1">IFERROR(__xludf.DUMMYFUNCTION("""COMPUTED_VALUE"""),2000)</f>
        <v>2000</v>
      </c>
      <c r="K947" s="1" t="str">
        <f ca="1">IFERROR(__xludf.DUMMYFUNCTION("""COMPUTED_VALUE"""),"Mathematics and Statistics")</f>
        <v>Mathematics and Statistics</v>
      </c>
      <c r="L947" s="1" t="str">
        <f ca="1">IFERROR(__xludf.DUMMYFUNCTION("""COMPUTED_VALUE"""),"〇")</f>
        <v>〇</v>
      </c>
      <c r="M947" s="1" t="str">
        <f ca="1">IFERROR(__xludf.DUMMYFUNCTION("""COMPUTED_VALUE"""),"〇")</f>
        <v>〇</v>
      </c>
      <c r="N947" s="1"/>
      <c r="O947" s="1"/>
      <c r="P947" s="1"/>
    </row>
    <row r="948" spans="1:16" ht="14.25" customHeight="1" x14ac:dyDescent="0.25">
      <c r="A948" s="1"/>
      <c r="B948" s="1">
        <f ca="1"/>
        <v>936</v>
      </c>
      <c r="C948" s="1">
        <f ca="1">IFERROR(__xludf.DUMMYFUNCTION("""COMPUTED_VALUE"""),2023)</f>
        <v>2023</v>
      </c>
      <c r="D948" s="1">
        <f ca="1">IFERROR(__xludf.DUMMYFUNCTION("""COMPUTED_VALUE"""),40192)</f>
        <v>40192</v>
      </c>
      <c r="E948" s="1" t="str">
        <f ca="1">IFERROR(__xludf.DUMMYFUNCTION("""COMPUTED_VALUE"""),"Integrating Materials and Manufacturing Innovation")</f>
        <v>Integrating Materials and Manufacturing Innovation</v>
      </c>
      <c r="F948" s="1" t="str">
        <f ca="1">IFERROR(__xludf.DUMMYFUNCTION("""COMPUTED_VALUE"""),"2193-9772")</f>
        <v>2193-9772</v>
      </c>
      <c r="G948" s="1"/>
      <c r="H948" s="27" t="str">
        <f ca="1">IFERROR(__xludf.DUMMYFUNCTION("""COMPUTED_VALUE"""),"https://link.springer.com/journal/40192")</f>
        <v>https://link.springer.com/journal/40192</v>
      </c>
      <c r="I948" s="1" t="str">
        <f ca="1">IFERROR(__xludf.DUMMYFUNCTION("""COMPUTED_VALUE"""),"Springer")</f>
        <v>Springer</v>
      </c>
      <c r="J948" s="1">
        <f ca="1">IFERROR(__xludf.DUMMYFUNCTION("""COMPUTED_VALUE"""),2012)</f>
        <v>2012</v>
      </c>
      <c r="K948" s="1" t="str">
        <f ca="1">IFERROR(__xludf.DUMMYFUNCTION("""COMPUTED_VALUE"""),"Chemistry and Materials Science")</f>
        <v>Chemistry and Materials Science</v>
      </c>
      <c r="L948" s="1"/>
      <c r="M948" s="1"/>
      <c r="N948" s="1"/>
      <c r="O948" s="1"/>
      <c r="P948" s="1"/>
    </row>
    <row r="949" spans="1:16" ht="14.25" customHeight="1" x14ac:dyDescent="0.25">
      <c r="A949" s="1"/>
      <c r="B949" s="1">
        <f ca="1"/>
        <v>937</v>
      </c>
      <c r="C949" s="1">
        <f ca="1">IFERROR(__xludf.DUMMYFUNCTION("""COMPUTED_VALUE"""),2023)</f>
        <v>2023</v>
      </c>
      <c r="D949" s="1">
        <f ca="1">IFERROR(__xludf.DUMMYFUNCTION("""COMPUTED_VALUE"""),12124)</f>
        <v>12124</v>
      </c>
      <c r="E949" s="1" t="str">
        <f ca="1">IFERROR(__xludf.DUMMYFUNCTION("""COMPUTED_VALUE"""),"Integrative Psychological and Behavioral Science")</f>
        <v>Integrative Psychological and Behavioral Science</v>
      </c>
      <c r="F949" s="1" t="str">
        <f ca="1">IFERROR(__xludf.DUMMYFUNCTION("""COMPUTED_VALUE"""),"1936-3567")</f>
        <v>1936-3567</v>
      </c>
      <c r="G949" s="1" t="str">
        <f ca="1">IFERROR(__xludf.DUMMYFUNCTION("""COMPUTED_VALUE"""),"1932-4502")</f>
        <v>1932-4502</v>
      </c>
      <c r="H949" s="27" t="str">
        <f ca="1">IFERROR(__xludf.DUMMYFUNCTION("""COMPUTED_VALUE"""),"https://link.springer.com/journal/12124")</f>
        <v>https://link.springer.com/journal/12124</v>
      </c>
      <c r="I949" s="1" t="str">
        <f ca="1">IFERROR(__xludf.DUMMYFUNCTION("""COMPUTED_VALUE"""),"Springer")</f>
        <v>Springer</v>
      </c>
      <c r="J949" s="1">
        <f ca="1">IFERROR(__xludf.DUMMYFUNCTION("""COMPUTED_VALUE"""),2000)</f>
        <v>2000</v>
      </c>
      <c r="K949" s="1" t="str">
        <f ca="1">IFERROR(__xludf.DUMMYFUNCTION("""COMPUTED_VALUE"""),"Behavioral Science and Psychology")</f>
        <v>Behavioral Science and Psychology</v>
      </c>
      <c r="L949" s="1" t="str">
        <f ca="1">IFERROR(__xludf.DUMMYFUNCTION("""COMPUTED_VALUE"""),"〇")</f>
        <v>〇</v>
      </c>
      <c r="M949" s="1" t="str">
        <f ca="1">IFERROR(__xludf.DUMMYFUNCTION("""COMPUTED_VALUE"""),"〇")</f>
        <v>〇</v>
      </c>
      <c r="N949" s="1" t="str">
        <f ca="1">IFERROR(__xludf.DUMMYFUNCTION("""COMPUTED_VALUE"""),"TO7")</f>
        <v>TO7</v>
      </c>
      <c r="O949" s="1"/>
      <c r="P949" s="1"/>
    </row>
    <row r="950" spans="1:16" ht="14.25" customHeight="1" x14ac:dyDescent="0.25">
      <c r="A950" s="1"/>
      <c r="B950" s="1">
        <f ca="1"/>
        <v>938</v>
      </c>
      <c r="C950" s="1">
        <f ca="1">IFERROR(__xludf.DUMMYFUNCTION("""COMPUTED_VALUE"""),2023)</f>
        <v>2023</v>
      </c>
      <c r="D950" s="1">
        <f ca="1">IFERROR(__xludf.DUMMYFUNCTION("""COMPUTED_VALUE"""),11370)</f>
        <v>11370</v>
      </c>
      <c r="E950" s="1" t="str">
        <f ca="1">IFERROR(__xludf.DUMMYFUNCTION("""COMPUTED_VALUE"""),"Intelligent Service Robotics")</f>
        <v>Intelligent Service Robotics</v>
      </c>
      <c r="F950" s="1" t="str">
        <f ca="1">IFERROR(__xludf.DUMMYFUNCTION("""COMPUTED_VALUE"""),"1861-2784")</f>
        <v>1861-2784</v>
      </c>
      <c r="G950" s="1"/>
      <c r="H950" s="27" t="str">
        <f ca="1">IFERROR(__xludf.DUMMYFUNCTION("""COMPUTED_VALUE"""),"https://link.springer.com/journal/11370")</f>
        <v>https://link.springer.com/journal/11370</v>
      </c>
      <c r="I950" s="1" t="str">
        <f ca="1">IFERROR(__xludf.DUMMYFUNCTION("""COMPUTED_VALUE"""),"Springer")</f>
        <v>Springer</v>
      </c>
      <c r="J950" s="1">
        <f ca="1">IFERROR(__xludf.DUMMYFUNCTION("""COMPUTED_VALUE"""),2008)</f>
        <v>2008</v>
      </c>
      <c r="K950" s="1" t="str">
        <f ca="1">IFERROR(__xludf.DUMMYFUNCTION("""COMPUTED_VALUE"""),"Engineering")</f>
        <v>Engineering</v>
      </c>
      <c r="L950" s="1"/>
      <c r="M950" s="1" t="str">
        <f ca="1">IFERROR(__xludf.DUMMYFUNCTION("""COMPUTED_VALUE"""),"〇")</f>
        <v>〇</v>
      </c>
      <c r="N950" s="1"/>
      <c r="O950" s="1"/>
      <c r="P950" s="1"/>
    </row>
    <row r="951" spans="1:16" ht="14.25" customHeight="1" x14ac:dyDescent="0.25">
      <c r="A951" s="1"/>
      <c r="B951" s="1">
        <f ca="1"/>
        <v>939</v>
      </c>
      <c r="C951" s="1">
        <f ca="1">IFERROR(__xludf.DUMMYFUNCTION("""COMPUTED_VALUE"""),2023)</f>
        <v>2023</v>
      </c>
      <c r="D951" s="1">
        <f ca="1">IFERROR(__xludf.DUMMYFUNCTION("""COMPUTED_VALUE"""),134)</f>
        <v>134</v>
      </c>
      <c r="E951" s="1" t="str">
        <f ca="1">IFERROR(__xludf.DUMMYFUNCTION("""COMPUTED_VALUE"""),"Intensive Care Medicine")</f>
        <v>Intensive Care Medicine</v>
      </c>
      <c r="F951" s="1" t="str">
        <f ca="1">IFERROR(__xludf.DUMMYFUNCTION("""COMPUTED_VALUE"""),"1432-1238")</f>
        <v>1432-1238</v>
      </c>
      <c r="G951" s="1" t="str">
        <f ca="1">IFERROR(__xludf.DUMMYFUNCTION("""COMPUTED_VALUE"""),"0342-4642")</f>
        <v>0342-4642</v>
      </c>
      <c r="H951" s="27" t="str">
        <f ca="1">IFERROR(__xludf.DUMMYFUNCTION("""COMPUTED_VALUE"""),"https://link.springer.com/journal/134")</f>
        <v>https://link.springer.com/journal/134</v>
      </c>
      <c r="I951" s="1" t="str">
        <f ca="1">IFERROR(__xludf.DUMMYFUNCTION("""COMPUTED_VALUE"""),"Springer")</f>
        <v>Springer</v>
      </c>
      <c r="J951" s="1">
        <f ca="1">IFERROR(__xludf.DUMMYFUNCTION("""COMPUTED_VALUE"""),2000)</f>
        <v>2000</v>
      </c>
      <c r="K951" s="1" t="str">
        <f ca="1">IFERROR(__xludf.DUMMYFUNCTION("""COMPUTED_VALUE"""),"Medicine")</f>
        <v>Medicine</v>
      </c>
      <c r="L951" s="1" t="str">
        <f ca="1">IFERROR(__xludf.DUMMYFUNCTION("""COMPUTED_VALUE"""),"〇")</f>
        <v>〇</v>
      </c>
      <c r="M951" s="1" t="str">
        <f ca="1">IFERROR(__xludf.DUMMYFUNCTION("""COMPUTED_VALUE"""),"〇")</f>
        <v>〇</v>
      </c>
      <c r="N951" s="1"/>
      <c r="O951" s="1"/>
      <c r="P951" s="1"/>
    </row>
    <row r="952" spans="1:16" ht="14.25" customHeight="1" x14ac:dyDescent="0.25">
      <c r="A952" s="1"/>
      <c r="B952" s="1">
        <f ca="1"/>
        <v>940</v>
      </c>
      <c r="C952" s="1">
        <f ca="1">IFERROR(__xludf.DUMMYFUNCTION("""COMPUTED_VALUE"""),2023)</f>
        <v>2023</v>
      </c>
      <c r="D952" s="1">
        <f ca="1">IFERROR(__xludf.DUMMYFUNCTION("""COMPUTED_VALUE"""),42411)</f>
        <v>42411</v>
      </c>
      <c r="E952" s="1" t="str">
        <f ca="1">IFERROR(__xludf.DUMMYFUNCTION("""COMPUTED_VALUE"""),"Interceram - International Ceramic Review")</f>
        <v>Interceram - International Ceramic Review</v>
      </c>
      <c r="F952" s="1" t="str">
        <f ca="1">IFERROR(__xludf.DUMMYFUNCTION("""COMPUTED_VALUE"""),"2523-8957")</f>
        <v>2523-8957</v>
      </c>
      <c r="G952" s="1" t="str">
        <f ca="1">IFERROR(__xludf.DUMMYFUNCTION("""COMPUTED_VALUE"""),"0020-5214")</f>
        <v>0020-5214</v>
      </c>
      <c r="H952" s="27" t="str">
        <f ca="1">IFERROR(__xludf.DUMMYFUNCTION("""COMPUTED_VALUE"""),"https://link.springer.com/journal/42411")</f>
        <v>https://link.springer.com/journal/42411</v>
      </c>
      <c r="I952" s="1" t="str">
        <f ca="1">IFERROR(__xludf.DUMMYFUNCTION("""COMPUTED_VALUE"""),"Springer Vieweg")</f>
        <v>Springer Vieweg</v>
      </c>
      <c r="J952" s="1">
        <f ca="1">IFERROR(__xludf.DUMMYFUNCTION("""COMPUTED_VALUE"""),2014)</f>
        <v>2014</v>
      </c>
      <c r="K952" s="1" t="str">
        <f ca="1">IFERROR(__xludf.DUMMYFUNCTION("""COMPUTED_VALUE"""),"Chemistry and Materials Science")</f>
        <v>Chemistry and Materials Science</v>
      </c>
      <c r="L952" s="1" t="str">
        <f ca="1">IFERROR(__xludf.DUMMYFUNCTION("""COMPUTED_VALUE"""),"〇")</f>
        <v>〇</v>
      </c>
      <c r="M952" s="1"/>
      <c r="N952" s="1" t="str">
        <f ca="1">IFERROR(__xludf.DUMMYFUNCTION("""COMPUTED_VALUE"""),"TO18")</f>
        <v>TO18</v>
      </c>
      <c r="O952" s="1"/>
      <c r="P952" s="1"/>
    </row>
    <row r="953" spans="1:16" ht="14.25" customHeight="1" x14ac:dyDescent="0.25">
      <c r="A953" s="1"/>
      <c r="B953" s="1">
        <f ca="1"/>
        <v>941</v>
      </c>
      <c r="C953" s="1">
        <f ca="1">IFERROR(__xludf.DUMMYFUNCTION("""COMPUTED_VALUE"""),2023)</f>
        <v>2023</v>
      </c>
      <c r="D953" s="1">
        <f ca="1">IFERROR(__xludf.DUMMYFUNCTION("""COMPUTED_VALUE"""),10780)</f>
        <v>10780</v>
      </c>
      <c r="E953" s="1" t="str">
        <f ca="1">IFERROR(__xludf.DUMMYFUNCTION("""COMPUTED_VALUE"""),"Interchange")</f>
        <v>Interchange</v>
      </c>
      <c r="F953" s="1" t="str">
        <f ca="1">IFERROR(__xludf.DUMMYFUNCTION("""COMPUTED_VALUE"""),"1573-1790")</f>
        <v>1573-1790</v>
      </c>
      <c r="G953" s="1" t="str">
        <f ca="1">IFERROR(__xludf.DUMMYFUNCTION("""COMPUTED_VALUE"""),"0826-4805")</f>
        <v>0826-4805</v>
      </c>
      <c r="H953" s="27" t="str">
        <f ca="1">IFERROR(__xludf.DUMMYFUNCTION("""COMPUTED_VALUE"""),"https://link.springer.com/journal/10780")</f>
        <v>https://link.springer.com/journal/10780</v>
      </c>
      <c r="I953" s="1" t="str">
        <f ca="1">IFERROR(__xludf.DUMMYFUNCTION("""COMPUTED_VALUE"""),"Springer")</f>
        <v>Springer</v>
      </c>
      <c r="J953" s="1">
        <f ca="1">IFERROR(__xludf.DUMMYFUNCTION("""COMPUTED_VALUE"""),2000)</f>
        <v>2000</v>
      </c>
      <c r="K953" s="1" t="str">
        <f ca="1">IFERROR(__xludf.DUMMYFUNCTION("""COMPUTED_VALUE"""),"Education")</f>
        <v>Education</v>
      </c>
      <c r="L953" s="1" t="str">
        <f ca="1">IFERROR(__xludf.DUMMYFUNCTION("""COMPUTED_VALUE"""),"〇")</f>
        <v>〇</v>
      </c>
      <c r="M953" s="1" t="str">
        <f ca="1">IFERROR(__xludf.DUMMYFUNCTION("""COMPUTED_VALUE"""),"〇")</f>
        <v>〇</v>
      </c>
      <c r="N953" s="1"/>
      <c r="O953" s="1"/>
      <c r="P953" s="1"/>
    </row>
    <row r="954" spans="1:16" ht="14.25" customHeight="1" x14ac:dyDescent="0.25">
      <c r="A954" s="1"/>
      <c r="B954" s="1">
        <f ca="1"/>
        <v>942</v>
      </c>
      <c r="C954" s="1">
        <f ca="1">IFERROR(__xludf.DUMMYFUNCTION("""COMPUTED_VALUE"""),2023)</f>
        <v>2023</v>
      </c>
      <c r="D954" s="1">
        <f ca="1">IFERROR(__xludf.DUMMYFUNCTION("""COMPUTED_VALUE"""),12539)</f>
        <v>12539</v>
      </c>
      <c r="E954" s="1" t="str">
        <f ca="1">IFERROR(__xludf.DUMMYFUNCTION("""COMPUTED_VALUE"""),"Interdisciplinary Sciences: Computational Life Sciences")</f>
        <v>Interdisciplinary Sciences: Computational Life Sciences</v>
      </c>
      <c r="F954" s="1" t="str">
        <f ca="1">IFERROR(__xludf.DUMMYFUNCTION("""COMPUTED_VALUE"""),"1867-1462")</f>
        <v>1867-1462</v>
      </c>
      <c r="G954" s="1" t="str">
        <f ca="1">IFERROR(__xludf.DUMMYFUNCTION("""COMPUTED_VALUE"""),"1913-2751")</f>
        <v>1913-2751</v>
      </c>
      <c r="H954" s="27" t="str">
        <f ca="1">IFERROR(__xludf.DUMMYFUNCTION("""COMPUTED_VALUE"""),"https://link.springer.com/journal/12539")</f>
        <v>https://link.springer.com/journal/12539</v>
      </c>
      <c r="I954" s="1" t="str">
        <f ca="1">IFERROR(__xludf.DUMMYFUNCTION("""COMPUTED_VALUE"""),"Springer")</f>
        <v>Springer</v>
      </c>
      <c r="J954" s="1">
        <f ca="1">IFERROR(__xludf.DUMMYFUNCTION("""COMPUTED_VALUE"""),2009)</f>
        <v>2009</v>
      </c>
      <c r="K954" s="1" t="str">
        <f ca="1">IFERROR(__xludf.DUMMYFUNCTION("""COMPUTED_VALUE"""),"Biomedical and Life Sciences")</f>
        <v>Biomedical and Life Sciences</v>
      </c>
      <c r="L954" s="1" t="str">
        <f ca="1">IFERROR(__xludf.DUMMYFUNCTION("""COMPUTED_VALUE"""),"〇")</f>
        <v>〇</v>
      </c>
      <c r="M954" s="1" t="str">
        <f ca="1">IFERROR(__xludf.DUMMYFUNCTION("""COMPUTED_VALUE"""),"〇")</f>
        <v>〇</v>
      </c>
      <c r="N954" s="1" t="str">
        <f ca="1">IFERROR(__xludf.DUMMYFUNCTION("""COMPUTED_VALUE"""),"SNS9")</f>
        <v>SNS9</v>
      </c>
      <c r="O954" s="1"/>
      <c r="P954" s="1"/>
    </row>
    <row r="955" spans="1:16" ht="14.25" customHeight="1" x14ac:dyDescent="0.25">
      <c r="A955" s="1"/>
      <c r="B955" s="1">
        <f ca="1"/>
        <v>943</v>
      </c>
      <c r="C955" s="1">
        <f ca="1">IFERROR(__xludf.DUMMYFUNCTION("""COMPUTED_VALUE"""),2023)</f>
        <v>2023</v>
      </c>
      <c r="D955" s="1">
        <f ca="1">IFERROR(__xludf.DUMMYFUNCTION("""COMPUTED_VALUE"""),11739)</f>
        <v>11739</v>
      </c>
      <c r="E955" s="1" t="str">
        <f ca="1">IFERROR(__xludf.DUMMYFUNCTION("""COMPUTED_VALUE"""),"Internal and Emergency Medicine")</f>
        <v>Internal and Emergency Medicine</v>
      </c>
      <c r="F955" s="1" t="str">
        <f ca="1">IFERROR(__xludf.DUMMYFUNCTION("""COMPUTED_VALUE"""),"1970-9366")</f>
        <v>1970-9366</v>
      </c>
      <c r="G955" s="1"/>
      <c r="H955" s="27" t="str">
        <f ca="1">IFERROR(__xludf.DUMMYFUNCTION("""COMPUTED_VALUE"""),"https://link.springer.com/journal/11739")</f>
        <v>https://link.springer.com/journal/11739</v>
      </c>
      <c r="I955" s="1" t="str">
        <f ca="1">IFERROR(__xludf.DUMMYFUNCTION("""COMPUTED_VALUE"""),"Springer")</f>
        <v>Springer</v>
      </c>
      <c r="J955" s="1">
        <f ca="1">IFERROR(__xludf.DUMMYFUNCTION("""COMPUTED_VALUE"""),2006)</f>
        <v>2006</v>
      </c>
      <c r="K955" s="1" t="str">
        <f ca="1">IFERROR(__xludf.DUMMYFUNCTION("""COMPUTED_VALUE"""),"Medicine")</f>
        <v>Medicine</v>
      </c>
      <c r="L955" s="1"/>
      <c r="M955" s="1" t="str">
        <f ca="1">IFERROR(__xludf.DUMMYFUNCTION("""COMPUTED_VALUE"""),"〇")</f>
        <v>〇</v>
      </c>
      <c r="N955" s="1" t="str">
        <f ca="1">IFERROR(__xludf.DUMMYFUNCTION("""COMPUTED_VALUE"""),"TO7")</f>
        <v>TO7</v>
      </c>
      <c r="O955" s="1"/>
      <c r="P955" s="1"/>
    </row>
    <row r="956" spans="1:16" ht="14.25" customHeight="1" x14ac:dyDescent="0.25">
      <c r="A956" s="1"/>
      <c r="B956" s="1">
        <f ca="1"/>
        <v>944</v>
      </c>
      <c r="C956" s="1">
        <f ca="1">IFERROR(__xludf.DUMMYFUNCTION("""COMPUTED_VALUE"""),2023)</f>
        <v>2023</v>
      </c>
      <c r="D956" s="1">
        <f ca="1">IFERROR(__xludf.DUMMYFUNCTION("""COMPUTED_VALUE"""),11294)</f>
        <v>11294</v>
      </c>
      <c r="E956" s="1" t="str">
        <f ca="1">IFERROR(__xludf.DUMMYFUNCTION("""COMPUTED_VALUE"""),"International Advances in Economic Research")</f>
        <v>International Advances in Economic Research</v>
      </c>
      <c r="F956" s="1" t="str">
        <f ca="1">IFERROR(__xludf.DUMMYFUNCTION("""COMPUTED_VALUE"""),"1573-966X")</f>
        <v>1573-966X</v>
      </c>
      <c r="G956" s="1" t="str">
        <f ca="1">IFERROR(__xludf.DUMMYFUNCTION("""COMPUTED_VALUE"""),"1083-0898")</f>
        <v>1083-0898</v>
      </c>
      <c r="H956" s="27" t="str">
        <f ca="1">IFERROR(__xludf.DUMMYFUNCTION("""COMPUTED_VALUE"""),"https://link.springer.com/journal/11294")</f>
        <v>https://link.springer.com/journal/11294</v>
      </c>
      <c r="I956" s="1" t="str">
        <f ca="1">IFERROR(__xludf.DUMMYFUNCTION("""COMPUTED_VALUE"""),"Springer")</f>
        <v>Springer</v>
      </c>
      <c r="J956" s="1">
        <f ca="1">IFERROR(__xludf.DUMMYFUNCTION("""COMPUTED_VALUE"""),2000)</f>
        <v>2000</v>
      </c>
      <c r="K956" s="1" t="str">
        <f ca="1">IFERROR(__xludf.DUMMYFUNCTION("""COMPUTED_VALUE"""),"Economics and Finance")</f>
        <v>Economics and Finance</v>
      </c>
      <c r="L956" s="1" t="str">
        <f ca="1">IFERROR(__xludf.DUMMYFUNCTION("""COMPUTED_VALUE"""),"〇")</f>
        <v>〇</v>
      </c>
      <c r="M956" s="1" t="str">
        <f ca="1">IFERROR(__xludf.DUMMYFUNCTION("""COMPUTED_VALUE"""),"〇")</f>
        <v>〇</v>
      </c>
      <c r="N956" s="1"/>
      <c r="O956" s="1"/>
      <c r="P956" s="1"/>
    </row>
    <row r="957" spans="1:16" ht="14.25" customHeight="1" x14ac:dyDescent="0.25">
      <c r="A957" s="1"/>
      <c r="B957" s="1">
        <f ca="1"/>
        <v>945</v>
      </c>
      <c r="C957" s="1">
        <f ca="1">IFERROR(__xludf.DUMMYFUNCTION("""COMPUTED_VALUE"""),2023)</f>
        <v>2023</v>
      </c>
      <c r="D957" s="1">
        <f ca="1">IFERROR(__xludf.DUMMYFUNCTION("""COMPUTED_VALUE"""),10778)</f>
        <v>10778</v>
      </c>
      <c r="E957" s="1" t="str">
        <f ca="1">IFERROR(__xludf.DUMMYFUNCTION("""COMPUTED_VALUE"""),"International Applied Mechanics")</f>
        <v>International Applied Mechanics</v>
      </c>
      <c r="F957" s="1" t="str">
        <f ca="1">IFERROR(__xludf.DUMMYFUNCTION("""COMPUTED_VALUE"""),"1573-8582")</f>
        <v>1573-8582</v>
      </c>
      <c r="G957" s="1" t="str">
        <f ca="1">IFERROR(__xludf.DUMMYFUNCTION("""COMPUTED_VALUE"""),"1063-7095")</f>
        <v>1063-7095</v>
      </c>
      <c r="H957" s="27" t="str">
        <f ca="1">IFERROR(__xludf.DUMMYFUNCTION("""COMPUTED_VALUE"""),"https://link.springer.com/journal/10778")</f>
        <v>https://link.springer.com/journal/10778</v>
      </c>
      <c r="I957" s="1" t="str">
        <f ca="1">IFERROR(__xludf.DUMMYFUNCTION("""COMPUTED_VALUE"""),"Springer")</f>
        <v>Springer</v>
      </c>
      <c r="J957" s="1">
        <f ca="1">IFERROR(__xludf.DUMMYFUNCTION("""COMPUTED_VALUE"""),2000)</f>
        <v>2000</v>
      </c>
      <c r="K957" s="1" t="str">
        <f ca="1">IFERROR(__xludf.DUMMYFUNCTION("""COMPUTED_VALUE"""),"Engineering")</f>
        <v>Engineering</v>
      </c>
      <c r="L957" s="1" t="str">
        <f ca="1">IFERROR(__xludf.DUMMYFUNCTION("""COMPUTED_VALUE"""),"〇")</f>
        <v>〇</v>
      </c>
      <c r="M957" s="1" t="str">
        <f ca="1">IFERROR(__xludf.DUMMYFUNCTION("""COMPUTED_VALUE"""),"〇")</f>
        <v>〇</v>
      </c>
      <c r="N957" s="1"/>
      <c r="O957" s="1"/>
      <c r="P957" s="1"/>
    </row>
    <row r="958" spans="1:16" ht="14.25" customHeight="1" x14ac:dyDescent="0.25">
      <c r="A958" s="1"/>
      <c r="B958" s="1">
        <f ca="1"/>
        <v>946</v>
      </c>
      <c r="C958" s="1">
        <f ca="1">IFERROR(__xludf.DUMMYFUNCTION("""COMPUTED_VALUE"""),2023)</f>
        <v>2023</v>
      </c>
      <c r="D958" s="1">
        <f ca="1">IFERROR(__xludf.DUMMYFUNCTION("""COMPUTED_VALUE"""),420)</f>
        <v>420</v>
      </c>
      <c r="E958" s="1" t="str">
        <f ca="1">IFERROR(__xludf.DUMMYFUNCTION("""COMPUTED_VALUE"""),"International Archives of Occupational and Environmental Health")</f>
        <v>International Archives of Occupational and Environmental Health</v>
      </c>
      <c r="F958" s="1" t="str">
        <f ca="1">IFERROR(__xludf.DUMMYFUNCTION("""COMPUTED_VALUE"""),"1432-1246")</f>
        <v>1432-1246</v>
      </c>
      <c r="G958" s="1" t="str">
        <f ca="1">IFERROR(__xludf.DUMMYFUNCTION("""COMPUTED_VALUE"""),"0340-0131")</f>
        <v>0340-0131</v>
      </c>
      <c r="H958" s="27" t="str">
        <f ca="1">IFERROR(__xludf.DUMMYFUNCTION("""COMPUTED_VALUE"""),"https://link.springer.com/journal/420")</f>
        <v>https://link.springer.com/journal/420</v>
      </c>
      <c r="I958" s="1" t="str">
        <f ca="1">IFERROR(__xludf.DUMMYFUNCTION("""COMPUTED_VALUE"""),"Springer")</f>
        <v>Springer</v>
      </c>
      <c r="J958" s="1">
        <f ca="1">IFERROR(__xludf.DUMMYFUNCTION("""COMPUTED_VALUE"""),2000)</f>
        <v>2000</v>
      </c>
      <c r="K958" s="1" t="str">
        <f ca="1">IFERROR(__xludf.DUMMYFUNCTION("""COMPUTED_VALUE"""),"Earth and Environmental Science")</f>
        <v>Earth and Environmental Science</v>
      </c>
      <c r="L958" s="1" t="str">
        <f ca="1">IFERROR(__xludf.DUMMYFUNCTION("""COMPUTED_VALUE"""),"〇")</f>
        <v>〇</v>
      </c>
      <c r="M958" s="1" t="str">
        <f ca="1">IFERROR(__xludf.DUMMYFUNCTION("""COMPUTED_VALUE"""),"〇")</f>
        <v>〇</v>
      </c>
      <c r="N958" s="1"/>
      <c r="O958" s="1"/>
      <c r="P958" s="1"/>
    </row>
    <row r="959" spans="1:16" ht="14.25" customHeight="1" x14ac:dyDescent="0.25">
      <c r="A959" s="1"/>
      <c r="B959" s="1">
        <f ca="1"/>
        <v>947</v>
      </c>
      <c r="C959" s="1">
        <f ca="1">IFERROR(__xludf.DUMMYFUNCTION("""COMPUTED_VALUE"""),2023)</f>
        <v>2023</v>
      </c>
      <c r="D959" s="1">
        <f ca="1">IFERROR(__xludf.DUMMYFUNCTION("""COMPUTED_VALUE"""),13691)</f>
        <v>13691</v>
      </c>
      <c r="E959" s="1" t="str">
        <f ca="1">IFERROR(__xludf.DUMMYFUNCTION("""COMPUTED_VALUE"""),"International Cancer Conference Journal")</f>
        <v>International Cancer Conference Journal</v>
      </c>
      <c r="F959" s="1" t="str">
        <f ca="1">IFERROR(__xludf.DUMMYFUNCTION("""COMPUTED_VALUE"""),"2192-3183")</f>
        <v>2192-3183</v>
      </c>
      <c r="G959" s="1"/>
      <c r="H959" s="27" t="str">
        <f ca="1">IFERROR(__xludf.DUMMYFUNCTION("""COMPUTED_VALUE"""),"https://link.springer.com/journal/13691")</f>
        <v>https://link.springer.com/journal/13691</v>
      </c>
      <c r="I959" s="1" t="str">
        <f ca="1">IFERROR(__xludf.DUMMYFUNCTION("""COMPUTED_VALUE"""),"Springer")</f>
        <v>Springer</v>
      </c>
      <c r="J959" s="1">
        <f ca="1">IFERROR(__xludf.DUMMYFUNCTION("""COMPUTED_VALUE"""),2012)</f>
        <v>2012</v>
      </c>
      <c r="K959" s="1" t="str">
        <f ca="1">IFERROR(__xludf.DUMMYFUNCTION("""COMPUTED_VALUE"""),"Medicine")</f>
        <v>Medicine</v>
      </c>
      <c r="L959" s="1"/>
      <c r="M959" s="1"/>
      <c r="N959" s="1" t="str">
        <f ca="1">IFERROR(__xludf.DUMMYFUNCTION("""COMPUTED_VALUE"""),"SNS12")</f>
        <v>SNS12</v>
      </c>
      <c r="O959" s="1"/>
      <c r="P959" s="1"/>
    </row>
    <row r="960" spans="1:16" ht="14.25" customHeight="1" x14ac:dyDescent="0.25">
      <c r="A960" s="1"/>
      <c r="B960" s="1">
        <f ca="1"/>
        <v>948</v>
      </c>
      <c r="C960" s="1">
        <f ca="1">IFERROR(__xludf.DUMMYFUNCTION("""COMPUTED_VALUE"""),2023)</f>
        <v>2023</v>
      </c>
      <c r="D960" s="1">
        <f ca="1">IFERROR(__xludf.DUMMYFUNCTION("""COMPUTED_VALUE"""),40636)</f>
        <v>40636</v>
      </c>
      <c r="E960" s="1" t="str">
        <f ca="1">IFERROR(__xludf.DUMMYFUNCTION("""COMPUTED_VALUE"""),"International Communication of Chinese Culture")</f>
        <v>International Communication of Chinese Culture</v>
      </c>
      <c r="F960" s="1" t="str">
        <f ca="1">IFERROR(__xludf.DUMMYFUNCTION("""COMPUTED_VALUE"""),"2197-4241")</f>
        <v>2197-4241</v>
      </c>
      <c r="G960" s="1" t="str">
        <f ca="1">IFERROR(__xludf.DUMMYFUNCTION("""COMPUTED_VALUE"""),"2197-4233")</f>
        <v>2197-4233</v>
      </c>
      <c r="H960" s="27" t="str">
        <f ca="1">IFERROR(__xludf.DUMMYFUNCTION("""COMPUTED_VALUE"""),"https://link.springer.com/journal/40636")</f>
        <v>https://link.springer.com/journal/40636</v>
      </c>
      <c r="I960" s="1" t="str">
        <f ca="1">IFERROR(__xludf.DUMMYFUNCTION("""COMPUTED_VALUE"""),"Springer")</f>
        <v>Springer</v>
      </c>
      <c r="J960" s="1">
        <f ca="1">IFERROR(__xludf.DUMMYFUNCTION("""COMPUTED_VALUE"""),2014)</f>
        <v>2014</v>
      </c>
      <c r="K960" s="1" t="str">
        <f ca="1">IFERROR(__xludf.DUMMYFUNCTION("""COMPUTED_VALUE"""),"Social Sciences")</f>
        <v>Social Sciences</v>
      </c>
      <c r="L960" s="1" t="str">
        <f ca="1">IFERROR(__xludf.DUMMYFUNCTION("""COMPUTED_VALUE"""),"〇")</f>
        <v>〇</v>
      </c>
      <c r="M960" s="1"/>
      <c r="N960" s="1" t="str">
        <f ca="1">IFERROR(__xludf.DUMMYFUNCTION("""COMPUTED_VALUE"""),"SNS14")</f>
        <v>SNS14</v>
      </c>
      <c r="O960" s="1"/>
      <c r="P960" s="1"/>
    </row>
    <row r="961" spans="1:16" ht="14.25" customHeight="1" x14ac:dyDescent="0.25">
      <c r="A961" s="1"/>
      <c r="B961" s="1">
        <f ca="1"/>
        <v>949</v>
      </c>
      <c r="C961" s="1">
        <f ca="1">IFERROR(__xludf.DUMMYFUNCTION("""COMPUTED_VALUE"""),2023)</f>
        <v>2023</v>
      </c>
      <c r="D961" s="1">
        <f ca="1">IFERROR(__xludf.DUMMYFUNCTION("""COMPUTED_VALUE"""),43576)</f>
        <v>43576</v>
      </c>
      <c r="E961" s="1" t="str">
        <f ca="1">IFERROR(__xludf.DUMMYFUNCTION("""COMPUTED_VALUE"""),"International Criminology")</f>
        <v>International Criminology</v>
      </c>
      <c r="F961" s="1" t="str">
        <f ca="1">IFERROR(__xludf.DUMMYFUNCTION("""COMPUTED_VALUE"""),"2662-9976")</f>
        <v>2662-9976</v>
      </c>
      <c r="G961" s="1" t="str">
        <f ca="1">IFERROR(__xludf.DUMMYFUNCTION("""COMPUTED_VALUE"""),"2662-9968")</f>
        <v>2662-9968</v>
      </c>
      <c r="H961" s="27" t="str">
        <f ca="1">IFERROR(__xludf.DUMMYFUNCTION("""COMPUTED_VALUE"""),"https://link.springer.com/journal/43576")</f>
        <v>https://link.springer.com/journal/43576</v>
      </c>
      <c r="I961" s="1" t="str">
        <f ca="1">IFERROR(__xludf.DUMMYFUNCTION("""COMPUTED_VALUE"""),"Springer")</f>
        <v>Springer</v>
      </c>
      <c r="J961" s="1">
        <f ca="1">IFERROR(__xludf.DUMMYFUNCTION("""COMPUTED_VALUE"""),2021)</f>
        <v>2021</v>
      </c>
      <c r="K961" s="1" t="str">
        <f ca="1">IFERROR(__xludf.DUMMYFUNCTION("""COMPUTED_VALUE"""),"Law and Criminology")</f>
        <v>Law and Criminology</v>
      </c>
      <c r="L961" s="1" t="str">
        <f ca="1">IFERROR(__xludf.DUMMYFUNCTION("""COMPUTED_VALUE"""),"〇")</f>
        <v>〇</v>
      </c>
      <c r="M961" s="1"/>
      <c r="N961" s="1" t="str">
        <f ca="1">IFERROR(__xludf.DUMMYFUNCTION("""COMPUTED_VALUE"""),"SNS21")</f>
        <v>SNS21</v>
      </c>
      <c r="O961" s="1"/>
      <c r="P961" s="1"/>
    </row>
    <row r="962" spans="1:16" ht="14.25" customHeight="1" x14ac:dyDescent="0.25">
      <c r="A962" s="1"/>
      <c r="B962" s="1">
        <f ca="1"/>
        <v>950</v>
      </c>
      <c r="C962" s="1">
        <f ca="1">IFERROR(__xludf.DUMMYFUNCTION("""COMPUTED_VALUE"""),2023)</f>
        <v>2023</v>
      </c>
      <c r="D962" s="1">
        <f ca="1">IFERROR(__xludf.DUMMYFUNCTION("""COMPUTED_VALUE"""),43439)</f>
        <v>43439</v>
      </c>
      <c r="E962" s="1" t="str">
        <f ca="1">IFERROR(__xludf.DUMMYFUNCTION("""COMPUTED_VALUE"""),"International Cybersecurity Law Review")</f>
        <v>International Cybersecurity Law Review</v>
      </c>
      <c r="F962" s="1" t="str">
        <f ca="1">IFERROR(__xludf.DUMMYFUNCTION("""COMPUTED_VALUE"""),"2662-9739")</f>
        <v>2662-9739</v>
      </c>
      <c r="G962" s="1" t="str">
        <f ca="1">IFERROR(__xludf.DUMMYFUNCTION("""COMPUTED_VALUE"""),"2662-9720")</f>
        <v>2662-9720</v>
      </c>
      <c r="H962" s="27" t="str">
        <f ca="1">IFERROR(__xludf.DUMMYFUNCTION("""COMPUTED_VALUE"""),"https://link.springer.com/journal/43439")</f>
        <v>https://link.springer.com/journal/43439</v>
      </c>
      <c r="I962" s="1" t="str">
        <f ca="1">IFERROR(__xludf.DUMMYFUNCTION("""COMPUTED_VALUE"""),"Springer Vieweg")</f>
        <v>Springer Vieweg</v>
      </c>
      <c r="J962" s="1">
        <f ca="1">IFERROR(__xludf.DUMMYFUNCTION("""COMPUTED_VALUE"""),2020)</f>
        <v>2020</v>
      </c>
      <c r="K962" s="1" t="str">
        <f ca="1">IFERROR(__xludf.DUMMYFUNCTION("""COMPUTED_VALUE"""),"Computer Science")</f>
        <v>Computer Science</v>
      </c>
      <c r="L962" s="1" t="str">
        <f ca="1">IFERROR(__xludf.DUMMYFUNCTION("""COMPUTED_VALUE"""),"〇")</f>
        <v>〇</v>
      </c>
      <c r="M962" s="1"/>
      <c r="N962" s="1" t="str">
        <f ca="1">IFERROR(__xludf.DUMMYFUNCTION("""COMPUTED_VALUE"""),"SNS20")</f>
        <v>SNS20</v>
      </c>
      <c r="O962" s="1"/>
      <c r="P962" s="1"/>
    </row>
    <row r="963" spans="1:16" ht="14.25" customHeight="1" x14ac:dyDescent="0.25">
      <c r="A963" s="1"/>
      <c r="B963" s="1">
        <f ca="1"/>
        <v>951</v>
      </c>
      <c r="C963" s="1">
        <f ca="1">IFERROR(__xludf.DUMMYFUNCTION("""COMPUTED_VALUE"""),2023)</f>
        <v>2023</v>
      </c>
      <c r="D963" s="1">
        <f ca="1">IFERROR(__xludf.DUMMYFUNCTION("""COMPUTED_VALUE"""),10368)</f>
        <v>10368</v>
      </c>
      <c r="E963" s="1" t="str">
        <f ca="1">IFERROR(__xludf.DUMMYFUNCTION("""COMPUTED_VALUE"""),"International Economics and Economic Policy")</f>
        <v>International Economics and Economic Policy</v>
      </c>
      <c r="F963" s="1" t="str">
        <f ca="1">IFERROR(__xludf.DUMMYFUNCTION("""COMPUTED_VALUE"""),"1612-4812")</f>
        <v>1612-4812</v>
      </c>
      <c r="G963" s="1" t="str">
        <f ca="1">IFERROR(__xludf.DUMMYFUNCTION("""COMPUTED_VALUE"""),"1612-4804")</f>
        <v>1612-4804</v>
      </c>
      <c r="H963" s="27" t="str">
        <f ca="1">IFERROR(__xludf.DUMMYFUNCTION("""COMPUTED_VALUE"""),"https://link.springer.com/journal/10368")</f>
        <v>https://link.springer.com/journal/10368</v>
      </c>
      <c r="I963" s="1" t="str">
        <f ca="1">IFERROR(__xludf.DUMMYFUNCTION("""COMPUTED_VALUE"""),"Springer")</f>
        <v>Springer</v>
      </c>
      <c r="J963" s="1">
        <f ca="1">IFERROR(__xludf.DUMMYFUNCTION("""COMPUTED_VALUE"""),2004)</f>
        <v>2004</v>
      </c>
      <c r="K963" s="1" t="str">
        <f ca="1">IFERROR(__xludf.DUMMYFUNCTION("""COMPUTED_VALUE"""),"Economics and Finance")</f>
        <v>Economics and Finance</v>
      </c>
      <c r="L963" s="1" t="str">
        <f ca="1">IFERROR(__xludf.DUMMYFUNCTION("""COMPUTED_VALUE"""),"〇")</f>
        <v>〇</v>
      </c>
      <c r="M963" s="1" t="str">
        <f ca="1">IFERROR(__xludf.DUMMYFUNCTION("""COMPUTED_VALUE"""),"〇")</f>
        <v>〇</v>
      </c>
      <c r="N963" s="1"/>
      <c r="O963" s="1"/>
      <c r="P963" s="1"/>
    </row>
    <row r="964" spans="1:16" ht="14.25" customHeight="1" x14ac:dyDescent="0.25">
      <c r="A964" s="1"/>
      <c r="B964" s="1">
        <f ca="1"/>
        <v>952</v>
      </c>
      <c r="C964" s="1">
        <f ca="1">IFERROR(__xludf.DUMMYFUNCTION("""COMPUTED_VALUE"""),2023)</f>
        <v>2023</v>
      </c>
      <c r="D964" s="1">
        <f ca="1">IFERROR(__xludf.DUMMYFUNCTION("""COMPUTED_VALUE"""),11365)</f>
        <v>11365</v>
      </c>
      <c r="E964" s="1" t="str">
        <f ca="1">IFERROR(__xludf.DUMMYFUNCTION("""COMPUTED_VALUE"""),"International Entrepreneurship and Management Journal")</f>
        <v>International Entrepreneurship and Management Journal</v>
      </c>
      <c r="F964" s="1" t="str">
        <f ca="1">IFERROR(__xludf.DUMMYFUNCTION("""COMPUTED_VALUE"""),"1555-1938")</f>
        <v>1555-1938</v>
      </c>
      <c r="G964" s="1" t="str">
        <f ca="1">IFERROR(__xludf.DUMMYFUNCTION("""COMPUTED_VALUE"""),"1554-7191")</f>
        <v>1554-7191</v>
      </c>
      <c r="H964" s="27" t="str">
        <f ca="1">IFERROR(__xludf.DUMMYFUNCTION("""COMPUTED_VALUE"""),"https://link.springer.com/journal/11365")</f>
        <v>https://link.springer.com/journal/11365</v>
      </c>
      <c r="I964" s="1" t="str">
        <f ca="1">IFERROR(__xludf.DUMMYFUNCTION("""COMPUTED_VALUE"""),"Springer")</f>
        <v>Springer</v>
      </c>
      <c r="J964" s="1">
        <f ca="1">IFERROR(__xludf.DUMMYFUNCTION("""COMPUTED_VALUE"""),2005)</f>
        <v>2005</v>
      </c>
      <c r="K964" s="1" t="str">
        <f ca="1">IFERROR(__xludf.DUMMYFUNCTION("""COMPUTED_VALUE"""),"Business and Management")</f>
        <v>Business and Management</v>
      </c>
      <c r="L964" s="1" t="str">
        <f ca="1">IFERROR(__xludf.DUMMYFUNCTION("""COMPUTED_VALUE"""),"〇")</f>
        <v>〇</v>
      </c>
      <c r="M964" s="1" t="str">
        <f ca="1">IFERROR(__xludf.DUMMYFUNCTION("""COMPUTED_VALUE"""),"〇")</f>
        <v>〇</v>
      </c>
      <c r="N964" s="1"/>
      <c r="O964" s="1"/>
      <c r="P964" s="1"/>
    </row>
    <row r="965" spans="1:16" ht="14.25" customHeight="1" x14ac:dyDescent="0.25">
      <c r="A965" s="1"/>
      <c r="B965" s="1">
        <f ca="1"/>
        <v>953</v>
      </c>
      <c r="C965" s="1">
        <f ca="1">IFERROR(__xludf.DUMMYFUNCTION("""COMPUTED_VALUE"""),2023)</f>
        <v>2023</v>
      </c>
      <c r="D965" s="1">
        <f ca="1">IFERROR(__xludf.DUMMYFUNCTION("""COMPUTED_VALUE"""),10784)</f>
        <v>10784</v>
      </c>
      <c r="E965" s="1" t="str">
        <f ca="1">IFERROR(__xludf.DUMMYFUNCTION("""COMPUTED_VALUE"""),"International Environmental Agreements: Politics, Law and Economics")</f>
        <v>International Environmental Agreements: Politics, Law and Economics</v>
      </c>
      <c r="F965" s="1" t="str">
        <f ca="1">IFERROR(__xludf.DUMMYFUNCTION("""COMPUTED_VALUE"""),"1573-1553")</f>
        <v>1573-1553</v>
      </c>
      <c r="G965" s="1" t="str">
        <f ca="1">IFERROR(__xludf.DUMMYFUNCTION("""COMPUTED_VALUE"""),"1567-9764")</f>
        <v>1567-9764</v>
      </c>
      <c r="H965" s="27" t="str">
        <f ca="1">IFERROR(__xludf.DUMMYFUNCTION("""COMPUTED_VALUE"""),"https://link.springer.com/journal/10784")</f>
        <v>https://link.springer.com/journal/10784</v>
      </c>
      <c r="I965" s="1" t="str">
        <f ca="1">IFERROR(__xludf.DUMMYFUNCTION("""COMPUTED_VALUE"""),"Springer")</f>
        <v>Springer</v>
      </c>
      <c r="J965" s="1">
        <f ca="1">IFERROR(__xludf.DUMMYFUNCTION("""COMPUTED_VALUE"""),2001)</f>
        <v>2001</v>
      </c>
      <c r="K965" s="1" t="str">
        <f ca="1">IFERROR(__xludf.DUMMYFUNCTION("""COMPUTED_VALUE"""),"Earth and Environmental Science")</f>
        <v>Earth and Environmental Science</v>
      </c>
      <c r="L965" s="1" t="str">
        <f ca="1">IFERROR(__xludf.DUMMYFUNCTION("""COMPUTED_VALUE"""),"〇")</f>
        <v>〇</v>
      </c>
      <c r="M965" s="1" t="str">
        <f ca="1">IFERROR(__xludf.DUMMYFUNCTION("""COMPUTED_VALUE"""),"〇")</f>
        <v>〇</v>
      </c>
      <c r="N965" s="1"/>
      <c r="O965" s="1"/>
      <c r="P965" s="1"/>
    </row>
    <row r="966" spans="1:16" ht="14.25" customHeight="1" x14ac:dyDescent="0.25">
      <c r="A966" s="1"/>
      <c r="B966" s="1">
        <f ca="1"/>
        <v>954</v>
      </c>
      <c r="C966" s="1">
        <f ca="1">IFERROR(__xludf.DUMMYFUNCTION("""COMPUTED_VALUE"""),2023)</f>
        <v>2023</v>
      </c>
      <c r="D966" s="1">
        <f ca="1">IFERROR(__xludf.DUMMYFUNCTION("""COMPUTED_VALUE"""),10775)</f>
        <v>10775</v>
      </c>
      <c r="E966" s="1" t="str">
        <f ca="1">IFERROR(__xludf.DUMMYFUNCTION("""COMPUTED_VALUE"""),"International Journal for Educational and Vocational Guidance")</f>
        <v>International Journal for Educational and Vocational Guidance</v>
      </c>
      <c r="F966" s="1" t="str">
        <f ca="1">IFERROR(__xludf.DUMMYFUNCTION("""COMPUTED_VALUE"""),"1573-1782")</f>
        <v>1573-1782</v>
      </c>
      <c r="G966" s="1" t="str">
        <f ca="1">IFERROR(__xludf.DUMMYFUNCTION("""COMPUTED_VALUE"""),"1873-0388")</f>
        <v>1873-0388</v>
      </c>
      <c r="H966" s="27" t="str">
        <f ca="1">IFERROR(__xludf.DUMMYFUNCTION("""COMPUTED_VALUE"""),"https://link.springer.com/journal/10775")</f>
        <v>https://link.springer.com/journal/10775</v>
      </c>
      <c r="I966" s="1" t="str">
        <f ca="1">IFERROR(__xludf.DUMMYFUNCTION("""COMPUTED_VALUE"""),"Springer")</f>
        <v>Springer</v>
      </c>
      <c r="J966" s="1">
        <f ca="1">IFERROR(__xludf.DUMMYFUNCTION("""COMPUTED_VALUE"""),2001)</f>
        <v>2001</v>
      </c>
      <c r="K966" s="1" t="str">
        <f ca="1">IFERROR(__xludf.DUMMYFUNCTION("""COMPUTED_VALUE"""),"Education")</f>
        <v>Education</v>
      </c>
      <c r="L966" s="1" t="str">
        <f ca="1">IFERROR(__xludf.DUMMYFUNCTION("""COMPUTED_VALUE"""),"〇")</f>
        <v>〇</v>
      </c>
      <c r="M966" s="1" t="str">
        <f ca="1">IFERROR(__xludf.DUMMYFUNCTION("""COMPUTED_VALUE"""),"〇")</f>
        <v>〇</v>
      </c>
      <c r="N966" s="1"/>
      <c r="O966" s="1"/>
      <c r="P966" s="1"/>
    </row>
    <row r="967" spans="1:16" ht="14.25" customHeight="1" x14ac:dyDescent="0.25">
      <c r="A967" s="1"/>
      <c r="B967" s="1">
        <f ca="1"/>
        <v>955</v>
      </c>
      <c r="C967" s="1">
        <f ca="1">IFERROR(__xludf.DUMMYFUNCTION("""COMPUTED_VALUE"""),2023)</f>
        <v>2023</v>
      </c>
      <c r="D967" s="1">
        <f ca="1">IFERROR(__xludf.DUMMYFUNCTION("""COMPUTED_VALUE"""),11153)</f>
        <v>11153</v>
      </c>
      <c r="E967" s="1" t="str">
        <f ca="1">IFERROR(__xludf.DUMMYFUNCTION("""COMPUTED_VALUE"""),"International Journal for Philosophy of Religion")</f>
        <v>International Journal for Philosophy of Religion</v>
      </c>
      <c r="F967" s="1" t="str">
        <f ca="1">IFERROR(__xludf.DUMMYFUNCTION("""COMPUTED_VALUE"""),"1572-8684")</f>
        <v>1572-8684</v>
      </c>
      <c r="G967" s="1" t="str">
        <f ca="1">IFERROR(__xludf.DUMMYFUNCTION("""COMPUTED_VALUE"""),"0020-7047")</f>
        <v>0020-7047</v>
      </c>
      <c r="H967" s="27" t="str">
        <f ca="1">IFERROR(__xludf.DUMMYFUNCTION("""COMPUTED_VALUE"""),"https://link.springer.com/journal/11153")</f>
        <v>https://link.springer.com/journal/11153</v>
      </c>
      <c r="I967" s="1" t="str">
        <f ca="1">IFERROR(__xludf.DUMMYFUNCTION("""COMPUTED_VALUE"""),"Springer")</f>
        <v>Springer</v>
      </c>
      <c r="J967" s="1">
        <f ca="1">IFERROR(__xludf.DUMMYFUNCTION("""COMPUTED_VALUE"""),2000)</f>
        <v>2000</v>
      </c>
      <c r="K967" s="1" t="str">
        <f ca="1">IFERROR(__xludf.DUMMYFUNCTION("""COMPUTED_VALUE"""),"Education")</f>
        <v>Education</v>
      </c>
      <c r="L967" s="1" t="str">
        <f ca="1">IFERROR(__xludf.DUMMYFUNCTION("""COMPUTED_VALUE"""),"〇")</f>
        <v>〇</v>
      </c>
      <c r="M967" s="1" t="str">
        <f ca="1">IFERROR(__xludf.DUMMYFUNCTION("""COMPUTED_VALUE"""),"〇")</f>
        <v>〇</v>
      </c>
      <c r="N967" s="1"/>
      <c r="O967" s="1"/>
      <c r="P967" s="1"/>
    </row>
    <row r="968" spans="1:16" ht="14.25" customHeight="1" x14ac:dyDescent="0.25">
      <c r="A968" s="1"/>
      <c r="B968" s="1">
        <f ca="1"/>
        <v>956</v>
      </c>
      <c r="C968" s="1">
        <f ca="1">IFERROR(__xludf.DUMMYFUNCTION("""COMPUTED_VALUE"""),2023)</f>
        <v>2023</v>
      </c>
      <c r="D968" s="1">
        <f ca="1">IFERROR(__xludf.DUMMYFUNCTION("""COMPUTED_VALUE"""),10447)</f>
        <v>10447</v>
      </c>
      <c r="E968" s="1" t="str">
        <f ca="1">IFERROR(__xludf.DUMMYFUNCTION("""COMPUTED_VALUE"""),"International Journal for the Advancement of Counselling")</f>
        <v>International Journal for the Advancement of Counselling</v>
      </c>
      <c r="F968" s="1" t="str">
        <f ca="1">IFERROR(__xludf.DUMMYFUNCTION("""COMPUTED_VALUE"""),"1573-3246")</f>
        <v>1573-3246</v>
      </c>
      <c r="G968" s="1" t="str">
        <f ca="1">IFERROR(__xludf.DUMMYFUNCTION("""COMPUTED_VALUE"""),"0165-0653")</f>
        <v>0165-0653</v>
      </c>
      <c r="H968" s="27" t="str">
        <f ca="1">IFERROR(__xludf.DUMMYFUNCTION("""COMPUTED_VALUE"""),"https://link.springer.com/journal/10447")</f>
        <v>https://link.springer.com/journal/10447</v>
      </c>
      <c r="I968" s="1" t="str">
        <f ca="1">IFERROR(__xludf.DUMMYFUNCTION("""COMPUTED_VALUE"""),"Springer")</f>
        <v>Springer</v>
      </c>
      <c r="J968" s="1">
        <f ca="1">IFERROR(__xludf.DUMMYFUNCTION("""COMPUTED_VALUE"""),2000)</f>
        <v>2000</v>
      </c>
      <c r="K968" s="1" t="str">
        <f ca="1">IFERROR(__xludf.DUMMYFUNCTION("""COMPUTED_VALUE"""),"Behavioral Science and Psychology")</f>
        <v>Behavioral Science and Psychology</v>
      </c>
      <c r="L968" s="1" t="str">
        <f ca="1">IFERROR(__xludf.DUMMYFUNCTION("""COMPUTED_VALUE"""),"〇")</f>
        <v>〇</v>
      </c>
      <c r="M968" s="1" t="str">
        <f ca="1">IFERROR(__xludf.DUMMYFUNCTION("""COMPUTED_VALUE"""),"〇")</f>
        <v>〇</v>
      </c>
      <c r="N968" s="1"/>
      <c r="O968" s="1"/>
      <c r="P968" s="1"/>
    </row>
    <row r="969" spans="1:16" ht="14.25" customHeight="1" x14ac:dyDescent="0.25">
      <c r="A969" s="1"/>
      <c r="B969" s="1">
        <f ca="1"/>
        <v>957</v>
      </c>
      <c r="C969" s="1">
        <f ca="1">IFERROR(__xludf.DUMMYFUNCTION("""COMPUTED_VALUE"""),2023)</f>
        <v>2023</v>
      </c>
      <c r="D969" s="1">
        <f ca="1">IFERROR(__xludf.DUMMYFUNCTION("""COMPUTED_VALUE"""),11196)</f>
        <v>11196</v>
      </c>
      <c r="E969" s="1" t="str">
        <f ca="1">IFERROR(__xludf.DUMMYFUNCTION("""COMPUTED_VALUE"""),"International Journal for the Semiotics of Law - Revue internationale de Sémiotique juridique")</f>
        <v>International Journal for the Semiotics of Law - Revue internationale de Sémiotique juridique</v>
      </c>
      <c r="F969" s="1" t="str">
        <f ca="1">IFERROR(__xludf.DUMMYFUNCTION("""COMPUTED_VALUE"""),"1572-8722")</f>
        <v>1572-8722</v>
      </c>
      <c r="G969" s="1" t="str">
        <f ca="1">IFERROR(__xludf.DUMMYFUNCTION("""COMPUTED_VALUE"""),"0952-8059")</f>
        <v>0952-8059</v>
      </c>
      <c r="H969" s="27" t="str">
        <f ca="1">IFERROR(__xludf.DUMMYFUNCTION("""COMPUTED_VALUE"""),"https://link.springer.com/journal/11196")</f>
        <v>https://link.springer.com/journal/11196</v>
      </c>
      <c r="I969" s="1" t="str">
        <f ca="1">IFERROR(__xludf.DUMMYFUNCTION("""COMPUTED_VALUE"""),"Springer")</f>
        <v>Springer</v>
      </c>
      <c r="J969" s="1">
        <f ca="1">IFERROR(__xludf.DUMMYFUNCTION("""COMPUTED_VALUE"""),2000)</f>
        <v>2000</v>
      </c>
      <c r="K969" s="1" t="str">
        <f ca="1">IFERROR(__xludf.DUMMYFUNCTION("""COMPUTED_VALUE"""),"Law and Criminology")</f>
        <v>Law and Criminology</v>
      </c>
      <c r="L969" s="1" t="str">
        <f ca="1">IFERROR(__xludf.DUMMYFUNCTION("""COMPUTED_VALUE"""),"〇")</f>
        <v>〇</v>
      </c>
      <c r="M969" s="1" t="str">
        <f ca="1">IFERROR(__xludf.DUMMYFUNCTION("""COMPUTED_VALUE"""),"〇")</f>
        <v>〇</v>
      </c>
      <c r="N969" s="1"/>
      <c r="O969" s="1"/>
      <c r="P969" s="1"/>
    </row>
    <row r="970" spans="1:16" ht="14.25" customHeight="1" x14ac:dyDescent="0.25">
      <c r="A970" s="1"/>
      <c r="B970" s="1">
        <f ca="1"/>
        <v>958</v>
      </c>
      <c r="C970" s="1">
        <f ca="1">IFERROR(__xludf.DUMMYFUNCTION("""COMPUTED_VALUE"""),2023)</f>
        <v>2023</v>
      </c>
      <c r="D970" s="1">
        <f ca="1">IFERROR(__xludf.DUMMYFUNCTION("""COMPUTED_VALUE"""),12572)</f>
        <v>12572</v>
      </c>
      <c r="E970" s="1" t="str">
        <f ca="1">IFERROR(__xludf.DUMMYFUNCTION("""COMPUTED_VALUE"""),"International Journal of Advances in Engineering Sciences and Applied Mathematics")</f>
        <v>International Journal of Advances in Engineering Sciences and Applied Mathematics</v>
      </c>
      <c r="F970" s="1" t="str">
        <f ca="1">IFERROR(__xludf.DUMMYFUNCTION("""COMPUTED_VALUE"""),"0975-5616")</f>
        <v>0975-5616</v>
      </c>
      <c r="G970" s="1" t="str">
        <f ca="1">IFERROR(__xludf.DUMMYFUNCTION("""COMPUTED_VALUE"""),"0975-0770")</f>
        <v>0975-0770</v>
      </c>
      <c r="H970" s="27" t="str">
        <f ca="1">IFERROR(__xludf.DUMMYFUNCTION("""COMPUTED_VALUE"""),"https://link.springer.com/journal/12572")</f>
        <v>https://link.springer.com/journal/12572</v>
      </c>
      <c r="I970" s="1" t="str">
        <f ca="1">IFERROR(__xludf.DUMMYFUNCTION("""COMPUTED_VALUE"""),"Springer")</f>
        <v>Springer</v>
      </c>
      <c r="J970" s="1">
        <f ca="1">IFERROR(__xludf.DUMMYFUNCTION("""COMPUTED_VALUE"""),2009)</f>
        <v>2009</v>
      </c>
      <c r="K970" s="1" t="str">
        <f ca="1">IFERROR(__xludf.DUMMYFUNCTION("""COMPUTED_VALUE"""),"Engineering")</f>
        <v>Engineering</v>
      </c>
      <c r="L970" s="1" t="str">
        <f ca="1">IFERROR(__xludf.DUMMYFUNCTION("""COMPUTED_VALUE"""),"〇")</f>
        <v>〇</v>
      </c>
      <c r="M970" s="1" t="str">
        <f ca="1">IFERROR(__xludf.DUMMYFUNCTION("""COMPUTED_VALUE"""),"〇")</f>
        <v>〇</v>
      </c>
      <c r="N970" s="1" t="str">
        <f ca="1">IFERROR(__xludf.DUMMYFUNCTION("""COMPUTED_VALUE"""),"SNS9")</f>
        <v>SNS9</v>
      </c>
      <c r="O970" s="1"/>
      <c r="P970" s="1"/>
    </row>
    <row r="971" spans="1:16" ht="14.25" customHeight="1" x14ac:dyDescent="0.25">
      <c r="A971" s="1"/>
      <c r="B971" s="1">
        <f ca="1"/>
        <v>959</v>
      </c>
      <c r="C971" s="1">
        <f ca="1">IFERROR(__xludf.DUMMYFUNCTION("""COMPUTED_VALUE"""),2023)</f>
        <v>2023</v>
      </c>
      <c r="D971" s="1">
        <f ca="1">IFERROR(__xludf.DUMMYFUNCTION("""COMPUTED_VALUE"""),42405)</f>
        <v>42405</v>
      </c>
      <c r="E971" s="1" t="str">
        <f ca="1">IFERROR(__xludf.DUMMYFUNCTION("""COMPUTED_VALUE"""),"International Journal of Aeronautical and Space Sciences")</f>
        <v>International Journal of Aeronautical and Space Sciences</v>
      </c>
      <c r="F971" s="1" t="str">
        <f ca="1">IFERROR(__xludf.DUMMYFUNCTION("""COMPUTED_VALUE"""),"2093-2480")</f>
        <v>2093-2480</v>
      </c>
      <c r="G971" s="1"/>
      <c r="H971" s="27" t="str">
        <f ca="1">IFERROR(__xludf.DUMMYFUNCTION("""COMPUTED_VALUE"""),"https://link.springer.com/journal/42405")</f>
        <v>https://link.springer.com/journal/42405</v>
      </c>
      <c r="I971" s="1" t="str">
        <f ca="1">IFERROR(__xludf.DUMMYFUNCTION("""COMPUTED_VALUE"""),"The Korean Society for Aeronautical &amp; Space Sciences, co-published with Springer")</f>
        <v>The Korean Society for Aeronautical &amp; Space Sciences, co-published with Springer</v>
      </c>
      <c r="J971" s="1">
        <f ca="1">IFERROR(__xludf.DUMMYFUNCTION("""COMPUTED_VALUE"""),2018)</f>
        <v>2018</v>
      </c>
      <c r="K971" s="1" t="str">
        <f ca="1">IFERROR(__xludf.DUMMYFUNCTION("""COMPUTED_VALUE"""),"Engineering")</f>
        <v>Engineering</v>
      </c>
      <c r="L971" s="1"/>
      <c r="M971" s="1"/>
      <c r="N971" s="1" t="str">
        <f ca="1">IFERROR(__xludf.DUMMYFUNCTION("""COMPUTED_VALUE"""),"TO18")</f>
        <v>TO18</v>
      </c>
      <c r="O971" s="1"/>
      <c r="P971" s="1"/>
    </row>
    <row r="972" spans="1:16" ht="14.25" customHeight="1" x14ac:dyDescent="0.25">
      <c r="A972" s="1"/>
      <c r="B972" s="1">
        <f ca="1"/>
        <v>960</v>
      </c>
      <c r="C972" s="1">
        <f ca="1">IFERROR(__xludf.DUMMYFUNCTION("""COMPUTED_VALUE"""),2023)</f>
        <v>2023</v>
      </c>
      <c r="D972" s="1">
        <f ca="1">IFERROR(__xludf.DUMMYFUNCTION("""COMPUTED_VALUE"""),40819)</f>
        <v>40819</v>
      </c>
      <c r="E972" s="1" t="str">
        <f ca="1">IFERROR(__xludf.DUMMYFUNCTION("""COMPUTED_VALUE"""),"International Journal of Applied and Computational Mathematics")</f>
        <v>International Journal of Applied and Computational Mathematics</v>
      </c>
      <c r="F972" s="1" t="str">
        <f ca="1">IFERROR(__xludf.DUMMYFUNCTION("""COMPUTED_VALUE"""),"2199-5796")</f>
        <v>2199-5796</v>
      </c>
      <c r="G972" s="1" t="str">
        <f ca="1">IFERROR(__xludf.DUMMYFUNCTION("""COMPUTED_VALUE"""),"2349-5103")</f>
        <v>2349-5103</v>
      </c>
      <c r="H972" s="27" t="str">
        <f ca="1">IFERROR(__xludf.DUMMYFUNCTION("""COMPUTED_VALUE"""),"https://link.springer.com/journal/40819")</f>
        <v>https://link.springer.com/journal/40819</v>
      </c>
      <c r="I972" s="1" t="str">
        <f ca="1">IFERROR(__xludf.DUMMYFUNCTION("""COMPUTED_VALUE"""),"Springer")</f>
        <v>Springer</v>
      </c>
      <c r="J972" s="1">
        <f ca="1">IFERROR(__xludf.DUMMYFUNCTION("""COMPUTED_VALUE"""),2015)</f>
        <v>2015</v>
      </c>
      <c r="K972" s="1" t="str">
        <f ca="1">IFERROR(__xludf.DUMMYFUNCTION("""COMPUTED_VALUE"""),"Mathematics and Statistics")</f>
        <v>Mathematics and Statistics</v>
      </c>
      <c r="L972" s="1" t="str">
        <f ca="1">IFERROR(__xludf.DUMMYFUNCTION("""COMPUTED_VALUE"""),"〇")</f>
        <v>〇</v>
      </c>
      <c r="M972" s="1"/>
      <c r="N972" s="1" t="str">
        <f ca="1">IFERROR(__xludf.DUMMYFUNCTION("""COMPUTED_VALUE"""),"SNS15")</f>
        <v>SNS15</v>
      </c>
      <c r="O972" s="1"/>
      <c r="P972" s="1"/>
    </row>
    <row r="973" spans="1:16" ht="14.25" customHeight="1" x14ac:dyDescent="0.25">
      <c r="A973" s="1"/>
      <c r="B973" s="1">
        <f ca="1"/>
        <v>961</v>
      </c>
      <c r="C973" s="1">
        <f ca="1">IFERROR(__xludf.DUMMYFUNCTION("""COMPUTED_VALUE"""),2023)</f>
        <v>2023</v>
      </c>
      <c r="D973" s="1">
        <f ca="1">IFERROR(__xludf.DUMMYFUNCTION("""COMPUTED_VALUE"""),41042)</f>
        <v>41042</v>
      </c>
      <c r="E973" s="1" t="str">
        <f ca="1">IFERROR(__xludf.DUMMYFUNCTION("""COMPUTED_VALUE"""),"International Journal of Applied Positive Psychology")</f>
        <v>International Journal of Applied Positive Psychology</v>
      </c>
      <c r="F973" s="1" t="str">
        <f ca="1">IFERROR(__xludf.DUMMYFUNCTION("""COMPUTED_VALUE"""),"2364-5059")</f>
        <v>2364-5059</v>
      </c>
      <c r="G973" s="1" t="str">
        <f ca="1">IFERROR(__xludf.DUMMYFUNCTION("""COMPUTED_VALUE"""),"2364-5040")</f>
        <v>2364-5040</v>
      </c>
      <c r="H973" s="27" t="str">
        <f ca="1">IFERROR(__xludf.DUMMYFUNCTION("""COMPUTED_VALUE"""),"https://link.springer.com/journal/41042")</f>
        <v>https://link.springer.com/journal/41042</v>
      </c>
      <c r="I973" s="1" t="str">
        <f ca="1">IFERROR(__xludf.DUMMYFUNCTION("""COMPUTED_VALUE"""),"Springer")</f>
        <v>Springer</v>
      </c>
      <c r="J973" s="1">
        <f ca="1">IFERROR(__xludf.DUMMYFUNCTION("""COMPUTED_VALUE"""),2016)</f>
        <v>2016</v>
      </c>
      <c r="K973" s="1" t="str">
        <f ca="1">IFERROR(__xludf.DUMMYFUNCTION("""COMPUTED_VALUE"""),"Behavioral Science and Psychology")</f>
        <v>Behavioral Science and Psychology</v>
      </c>
      <c r="L973" s="1" t="str">
        <f ca="1">IFERROR(__xludf.DUMMYFUNCTION("""COMPUTED_VALUE"""),"〇")</f>
        <v>〇</v>
      </c>
      <c r="M973" s="1"/>
      <c r="N973" s="1" t="str">
        <f ca="1">IFERROR(__xludf.DUMMYFUNCTION("""COMPUTED_VALUE"""),"SNS16")</f>
        <v>SNS16</v>
      </c>
      <c r="O973" s="1"/>
      <c r="P973" s="1"/>
    </row>
    <row r="974" spans="1:16" ht="14.25" customHeight="1" x14ac:dyDescent="0.25">
      <c r="A974" s="1"/>
      <c r="B974" s="1">
        <f ca="1"/>
        <v>962</v>
      </c>
      <c r="C974" s="1">
        <f ca="1">IFERROR(__xludf.DUMMYFUNCTION("""COMPUTED_VALUE"""),2023)</f>
        <v>2023</v>
      </c>
      <c r="D974" s="1">
        <f ca="1">IFERROR(__xludf.DUMMYFUNCTION("""COMPUTED_VALUE"""),40593)</f>
        <v>40593</v>
      </c>
      <c r="E974" s="1" t="str">
        <f ca="1">IFERROR(__xludf.DUMMYFUNCTION("""COMPUTED_VALUE"""),"International Journal of Artificial Intelligence in Education")</f>
        <v>International Journal of Artificial Intelligence in Education</v>
      </c>
      <c r="F974" s="1" t="str">
        <f ca="1">IFERROR(__xludf.DUMMYFUNCTION("""COMPUTED_VALUE"""),"1560-4306")</f>
        <v>1560-4306</v>
      </c>
      <c r="G974" s="1"/>
      <c r="H974" s="27" t="str">
        <f ca="1">IFERROR(__xludf.DUMMYFUNCTION("""COMPUTED_VALUE"""),"https://link.springer.com/journal/40593")</f>
        <v>https://link.springer.com/journal/40593</v>
      </c>
      <c r="I974" s="1" t="str">
        <f ca="1">IFERROR(__xludf.DUMMYFUNCTION("""COMPUTED_VALUE"""),"Springer")</f>
        <v>Springer</v>
      </c>
      <c r="J974" s="1">
        <f ca="1">IFERROR(__xludf.DUMMYFUNCTION("""COMPUTED_VALUE"""),2013)</f>
        <v>2013</v>
      </c>
      <c r="K974" s="1" t="str">
        <f ca="1">IFERROR(__xludf.DUMMYFUNCTION("""COMPUTED_VALUE"""),"Computer Science")</f>
        <v>Computer Science</v>
      </c>
      <c r="L974" s="1"/>
      <c r="M974" s="1"/>
      <c r="N974" s="1" t="str">
        <f ca="1">IFERROR(__xludf.DUMMYFUNCTION("""COMPUTED_VALUE"""),"TO13")</f>
        <v>TO13</v>
      </c>
      <c r="O974" s="1"/>
      <c r="P974" s="1"/>
    </row>
    <row r="975" spans="1:16" ht="14.25" customHeight="1" x14ac:dyDescent="0.25">
      <c r="A975" s="1"/>
      <c r="B975" s="1">
        <f ca="1"/>
        <v>963</v>
      </c>
      <c r="C975" s="1">
        <f ca="1">IFERROR(__xludf.DUMMYFUNCTION("""COMPUTED_VALUE"""),2023)</f>
        <v>2023</v>
      </c>
      <c r="D975" s="1">
        <f ca="1">IFERROR(__xludf.DUMMYFUNCTION("""COMPUTED_VALUE"""),12239)</f>
        <v>12239</v>
      </c>
      <c r="E975" s="1" t="str">
        <f ca="1">IFERROR(__xludf.DUMMYFUNCTION("""COMPUTED_VALUE"""),"International Journal of Automotive Technology")</f>
        <v>International Journal of Automotive Technology</v>
      </c>
      <c r="F975" s="1" t="str">
        <f ca="1">IFERROR(__xludf.DUMMYFUNCTION("""COMPUTED_VALUE"""),"1976-3832")</f>
        <v>1976-3832</v>
      </c>
      <c r="G975" s="1" t="str">
        <f ca="1">IFERROR(__xludf.DUMMYFUNCTION("""COMPUTED_VALUE"""),"1229-9138")</f>
        <v>1229-9138</v>
      </c>
      <c r="H975" s="27" t="str">
        <f ca="1">IFERROR(__xludf.DUMMYFUNCTION("""COMPUTED_VALUE"""),"https://link.springer.com/journal/12239")</f>
        <v>https://link.springer.com/journal/12239</v>
      </c>
      <c r="I975" s="1" t="str">
        <f ca="1">IFERROR(__xludf.DUMMYFUNCTION("""COMPUTED_VALUE"""),"The Korean Society of Automotive Engineers, co-published with Springer")</f>
        <v>The Korean Society of Automotive Engineers, co-published with Springer</v>
      </c>
      <c r="J975" s="1">
        <f ca="1">IFERROR(__xludf.DUMMYFUNCTION("""COMPUTED_VALUE"""),2008)</f>
        <v>2008</v>
      </c>
      <c r="K975" s="1" t="str">
        <f ca="1">IFERROR(__xludf.DUMMYFUNCTION("""COMPUTED_VALUE"""),"Engineering")</f>
        <v>Engineering</v>
      </c>
      <c r="L975" s="1" t="str">
        <f ca="1">IFERROR(__xludf.DUMMYFUNCTION("""COMPUTED_VALUE"""),"〇")</f>
        <v>〇</v>
      </c>
      <c r="M975" s="1" t="str">
        <f ca="1">IFERROR(__xludf.DUMMYFUNCTION("""COMPUTED_VALUE"""),"〇")</f>
        <v>〇</v>
      </c>
      <c r="N975" s="1" t="str">
        <f ca="1">IFERROR(__xludf.DUMMYFUNCTION("""COMPUTED_VALUE"""),"TO8")</f>
        <v>TO8</v>
      </c>
      <c r="O975" s="1"/>
      <c r="P975" s="1"/>
    </row>
    <row r="976" spans="1:16" ht="14.25" customHeight="1" x14ac:dyDescent="0.25">
      <c r="A976" s="1"/>
      <c r="B976" s="1">
        <f ca="1"/>
        <v>964</v>
      </c>
      <c r="C976" s="1">
        <f ca="1">IFERROR(__xludf.DUMMYFUNCTION("""COMPUTED_VALUE"""),2023)</f>
        <v>2023</v>
      </c>
      <c r="D976" s="1">
        <f ca="1">IFERROR(__xludf.DUMMYFUNCTION("""COMPUTED_VALUE"""),12529)</f>
        <v>12529</v>
      </c>
      <c r="E976" s="1" t="str">
        <f ca="1">IFERROR(__xludf.DUMMYFUNCTION("""COMPUTED_VALUE"""),"International Journal of Behavioral Medicine")</f>
        <v>International Journal of Behavioral Medicine</v>
      </c>
      <c r="F976" s="1" t="str">
        <f ca="1">IFERROR(__xludf.DUMMYFUNCTION("""COMPUTED_VALUE"""),"1532-7558")</f>
        <v>1532-7558</v>
      </c>
      <c r="G976" s="1" t="str">
        <f ca="1">IFERROR(__xludf.DUMMYFUNCTION("""COMPUTED_VALUE"""),"1070-5503")</f>
        <v>1070-5503</v>
      </c>
      <c r="H976" s="27" t="str">
        <f ca="1">IFERROR(__xludf.DUMMYFUNCTION("""COMPUTED_VALUE"""),"https://link.springer.com/journal/12529")</f>
        <v>https://link.springer.com/journal/12529</v>
      </c>
      <c r="I976" s="1" t="str">
        <f ca="1">IFERROR(__xludf.DUMMYFUNCTION("""COMPUTED_VALUE"""),"Springer")</f>
        <v>Springer</v>
      </c>
      <c r="J976" s="1">
        <f ca="1">IFERROR(__xludf.DUMMYFUNCTION("""COMPUTED_VALUE"""),2000)</f>
        <v>2000</v>
      </c>
      <c r="K976" s="1" t="str">
        <f ca="1">IFERROR(__xludf.DUMMYFUNCTION("""COMPUTED_VALUE"""),"Medicine")</f>
        <v>Medicine</v>
      </c>
      <c r="L976" s="1" t="str">
        <f ca="1">IFERROR(__xludf.DUMMYFUNCTION("""COMPUTED_VALUE"""),"〇")</f>
        <v>〇</v>
      </c>
      <c r="M976" s="1"/>
      <c r="N976" s="1" t="str">
        <f ca="1">IFERROR(__xludf.DUMMYFUNCTION("""COMPUTED_VALUE"""),"TO9")</f>
        <v>TO9</v>
      </c>
      <c r="O976" s="1"/>
      <c r="P976" s="1"/>
    </row>
    <row r="977" spans="1:16" ht="14.25" customHeight="1" x14ac:dyDescent="0.25">
      <c r="A977" s="1"/>
      <c r="B977" s="1">
        <f ca="1"/>
        <v>965</v>
      </c>
      <c r="C977" s="1">
        <f ca="1">IFERROR(__xludf.DUMMYFUNCTION("""COMPUTED_VALUE"""),2023)</f>
        <v>2023</v>
      </c>
      <c r="D977" s="1">
        <f ca="1">IFERROR(__xludf.DUMMYFUNCTION("""COMPUTED_VALUE"""),484)</f>
        <v>484</v>
      </c>
      <c r="E977" s="1" t="str">
        <f ca="1">IFERROR(__xludf.DUMMYFUNCTION("""COMPUTED_VALUE"""),"International Journal of Biometeorology")</f>
        <v>International Journal of Biometeorology</v>
      </c>
      <c r="F977" s="1" t="str">
        <f ca="1">IFERROR(__xludf.DUMMYFUNCTION("""COMPUTED_VALUE"""),"1432-1254")</f>
        <v>1432-1254</v>
      </c>
      <c r="G977" s="1" t="str">
        <f ca="1">IFERROR(__xludf.DUMMYFUNCTION("""COMPUTED_VALUE"""),"0020-7128")</f>
        <v>0020-7128</v>
      </c>
      <c r="H977" s="27" t="str">
        <f ca="1">IFERROR(__xludf.DUMMYFUNCTION("""COMPUTED_VALUE"""),"https://link.springer.com/journal/484")</f>
        <v>https://link.springer.com/journal/484</v>
      </c>
      <c r="I977" s="1" t="str">
        <f ca="1">IFERROR(__xludf.DUMMYFUNCTION("""COMPUTED_VALUE"""),"Springer")</f>
        <v>Springer</v>
      </c>
      <c r="J977" s="1">
        <f ca="1">IFERROR(__xludf.DUMMYFUNCTION("""COMPUTED_VALUE"""),2000)</f>
        <v>2000</v>
      </c>
      <c r="K977" s="1" t="str">
        <f ca="1">IFERROR(__xludf.DUMMYFUNCTION("""COMPUTED_VALUE"""),"Earth and Environmental Science")</f>
        <v>Earth and Environmental Science</v>
      </c>
      <c r="L977" s="1" t="str">
        <f ca="1">IFERROR(__xludf.DUMMYFUNCTION("""COMPUTED_VALUE"""),"〇")</f>
        <v>〇</v>
      </c>
      <c r="M977" s="1" t="str">
        <f ca="1">IFERROR(__xludf.DUMMYFUNCTION("""COMPUTED_VALUE"""),"〇")</f>
        <v>〇</v>
      </c>
      <c r="N977" s="1"/>
      <c r="O977" s="1"/>
      <c r="P977" s="1"/>
    </row>
    <row r="978" spans="1:16" ht="14.25" customHeight="1" x14ac:dyDescent="0.25">
      <c r="A978" s="1"/>
      <c r="B978" s="1">
        <f ca="1"/>
        <v>966</v>
      </c>
      <c r="C978" s="1">
        <f ca="1">IFERROR(__xludf.DUMMYFUNCTION("""COMPUTED_VALUE"""),2023)</f>
        <v>2023</v>
      </c>
      <c r="D978" s="1">
        <f ca="1">IFERROR(__xludf.DUMMYFUNCTION("""COMPUTED_VALUE"""),42380)</f>
        <v>42380</v>
      </c>
      <c r="E978" s="1" t="str">
        <f ca="1">IFERROR(__xludf.DUMMYFUNCTION("""COMPUTED_VALUE"""),"International Journal of Bullying Prevention")</f>
        <v>International Journal of Bullying Prevention</v>
      </c>
      <c r="F978" s="1" t="str">
        <f ca="1">IFERROR(__xludf.DUMMYFUNCTION("""COMPUTED_VALUE"""),"2523-3661")</f>
        <v>2523-3661</v>
      </c>
      <c r="G978" s="1" t="str">
        <f ca="1">IFERROR(__xludf.DUMMYFUNCTION("""COMPUTED_VALUE"""),"2523-3653")</f>
        <v>2523-3653</v>
      </c>
      <c r="H978" s="27" t="str">
        <f ca="1">IFERROR(__xludf.DUMMYFUNCTION("""COMPUTED_VALUE"""),"https://link.springer.com/journal/42380")</f>
        <v>https://link.springer.com/journal/42380</v>
      </c>
      <c r="I978" s="1" t="str">
        <f ca="1">IFERROR(__xludf.DUMMYFUNCTION("""COMPUTED_VALUE"""),"Springer")</f>
        <v>Springer</v>
      </c>
      <c r="J978" s="1">
        <f ca="1">IFERROR(__xludf.DUMMYFUNCTION("""COMPUTED_VALUE"""),2019)</f>
        <v>2019</v>
      </c>
      <c r="K978" s="1" t="str">
        <f ca="1">IFERROR(__xludf.DUMMYFUNCTION("""COMPUTED_VALUE"""),"Behavioral Science and Psychology")</f>
        <v>Behavioral Science and Psychology</v>
      </c>
      <c r="L978" s="1" t="str">
        <f ca="1">IFERROR(__xludf.DUMMYFUNCTION("""COMPUTED_VALUE"""),"〇")</f>
        <v>〇</v>
      </c>
      <c r="M978" s="1"/>
      <c r="N978" s="1" t="str">
        <f ca="1">IFERROR(__xludf.DUMMYFUNCTION("""COMPUTED_VALUE"""),"SNS19")</f>
        <v>SNS19</v>
      </c>
      <c r="O978" s="1"/>
      <c r="P978" s="1"/>
    </row>
    <row r="979" spans="1:16" ht="14.25" customHeight="1" x14ac:dyDescent="0.25">
      <c r="A979" s="1"/>
      <c r="B979" s="1">
        <f ca="1"/>
        <v>967</v>
      </c>
      <c r="C979" s="1">
        <f ca="1">IFERROR(__xludf.DUMMYFUNCTION("""COMPUTED_VALUE"""),2023)</f>
        <v>2023</v>
      </c>
      <c r="D979" s="1">
        <f ca="1">IFERROR(__xludf.DUMMYFUNCTION("""COMPUTED_VALUE"""),40999)</f>
        <v>40999</v>
      </c>
      <c r="E979" s="1" t="str">
        <f ca="1">IFERROR(__xludf.DUMMYFUNCTION("""COMPUTED_VALUE"""),"International Journal of Civil Engineering")</f>
        <v>International Journal of Civil Engineering</v>
      </c>
      <c r="F979" s="1" t="str">
        <f ca="1">IFERROR(__xludf.DUMMYFUNCTION("""COMPUTED_VALUE"""),"2383-3874")</f>
        <v>2383-3874</v>
      </c>
      <c r="G979" s="1" t="str">
        <f ca="1">IFERROR(__xludf.DUMMYFUNCTION("""COMPUTED_VALUE"""),"1735-0522")</f>
        <v>1735-0522</v>
      </c>
      <c r="H979" s="27" t="str">
        <f ca="1">IFERROR(__xludf.DUMMYFUNCTION("""COMPUTED_VALUE"""),"https://link.springer.com/journal/40999")</f>
        <v>https://link.springer.com/journal/40999</v>
      </c>
      <c r="I979" s="1" t="str">
        <f ca="1">IFERROR(__xludf.DUMMYFUNCTION("""COMPUTED_VALUE"""),"Springer")</f>
        <v>Springer</v>
      </c>
      <c r="J979" s="1">
        <f ca="1">IFERROR(__xludf.DUMMYFUNCTION("""COMPUTED_VALUE"""),2016)</f>
        <v>2016</v>
      </c>
      <c r="K979" s="1" t="str">
        <f ca="1">IFERROR(__xludf.DUMMYFUNCTION("""COMPUTED_VALUE"""),"Engineering")</f>
        <v>Engineering</v>
      </c>
      <c r="L979" s="1" t="str">
        <f ca="1">IFERROR(__xludf.DUMMYFUNCTION("""COMPUTED_VALUE"""),"〇")</f>
        <v>〇</v>
      </c>
      <c r="M979" s="1"/>
      <c r="N979" s="1" t="str">
        <f ca="1">IFERROR(__xludf.DUMMYFUNCTION("""COMPUTED_VALUE"""),"TO16")</f>
        <v>TO16</v>
      </c>
      <c r="O979" s="1"/>
      <c r="P979" s="1"/>
    </row>
    <row r="980" spans="1:16" ht="14.25" customHeight="1" x14ac:dyDescent="0.25">
      <c r="A980" s="1"/>
      <c r="B980" s="1">
        <f ca="1"/>
        <v>968</v>
      </c>
      <c r="C980" s="1">
        <f ca="1">IFERROR(__xludf.DUMMYFUNCTION("""COMPUTED_VALUE"""),2023)</f>
        <v>2023</v>
      </c>
      <c r="D980" s="1">
        <f ca="1">IFERROR(__xludf.DUMMYFUNCTION("""COMPUTED_VALUE"""),10147)</f>
        <v>10147</v>
      </c>
      <c r="E980" s="1" t="str">
        <f ca="1">IFERROR(__xludf.DUMMYFUNCTION("""COMPUTED_VALUE"""),"International Journal of Clinical Oncology")</f>
        <v>International Journal of Clinical Oncology</v>
      </c>
      <c r="F980" s="1" t="str">
        <f ca="1">IFERROR(__xludf.DUMMYFUNCTION("""COMPUTED_VALUE"""),"1437-7772")</f>
        <v>1437-7772</v>
      </c>
      <c r="G980" s="1" t="str">
        <f ca="1">IFERROR(__xludf.DUMMYFUNCTION("""COMPUTED_VALUE"""),"1341-9625")</f>
        <v>1341-9625</v>
      </c>
      <c r="H980" s="27" t="str">
        <f ca="1">IFERROR(__xludf.DUMMYFUNCTION("""COMPUTED_VALUE"""),"https://link.springer.com/journal/10147")</f>
        <v>https://link.springer.com/journal/10147</v>
      </c>
      <c r="I980" s="1" t="str">
        <f ca="1">IFERROR(__xludf.DUMMYFUNCTION("""COMPUTED_VALUE"""),"Springer")</f>
        <v>Springer</v>
      </c>
      <c r="J980" s="1">
        <f ca="1">IFERROR(__xludf.DUMMYFUNCTION("""COMPUTED_VALUE"""),2000)</f>
        <v>2000</v>
      </c>
      <c r="K980" s="1" t="str">
        <f ca="1">IFERROR(__xludf.DUMMYFUNCTION("""COMPUTED_VALUE"""),"Medicine")</f>
        <v>Medicine</v>
      </c>
      <c r="L980" s="1" t="str">
        <f ca="1">IFERROR(__xludf.DUMMYFUNCTION("""COMPUTED_VALUE"""),"〇")</f>
        <v>〇</v>
      </c>
      <c r="M980" s="1" t="str">
        <f ca="1">IFERROR(__xludf.DUMMYFUNCTION("""COMPUTED_VALUE"""),"〇")</f>
        <v>〇</v>
      </c>
      <c r="N980" s="1"/>
      <c r="O980" s="1"/>
      <c r="P980" s="1"/>
    </row>
    <row r="981" spans="1:16" ht="14.25" customHeight="1" x14ac:dyDescent="0.25">
      <c r="A981" s="1"/>
      <c r="B981" s="1">
        <f ca="1"/>
        <v>969</v>
      </c>
      <c r="C981" s="1">
        <f ca="1">IFERROR(__xludf.DUMMYFUNCTION("""COMPUTED_VALUE"""),2023)</f>
        <v>2023</v>
      </c>
      <c r="D981" s="1">
        <f ca="1">IFERROR(__xludf.DUMMYFUNCTION("""COMPUTED_VALUE"""),11096)</f>
        <v>11096</v>
      </c>
      <c r="E981" s="1" t="str">
        <f ca="1">IFERROR(__xludf.DUMMYFUNCTION("""COMPUTED_VALUE"""),"International Journal of Clinical Pharmacy")</f>
        <v>International Journal of Clinical Pharmacy</v>
      </c>
      <c r="F981" s="1" t="str">
        <f ca="1">IFERROR(__xludf.DUMMYFUNCTION("""COMPUTED_VALUE"""),"2210-7711")</f>
        <v>2210-7711</v>
      </c>
      <c r="G981" s="1" t="str">
        <f ca="1">IFERROR(__xludf.DUMMYFUNCTION("""COMPUTED_VALUE"""),"2210-7703")</f>
        <v>2210-7703</v>
      </c>
      <c r="H981" s="27" t="str">
        <f ca="1">IFERROR(__xludf.DUMMYFUNCTION("""COMPUTED_VALUE"""),"https://link.springer.com/journal/11096")</f>
        <v>https://link.springer.com/journal/11096</v>
      </c>
      <c r="I981" s="1" t="str">
        <f ca="1">IFERROR(__xludf.DUMMYFUNCTION("""COMPUTED_VALUE"""),"Springer")</f>
        <v>Springer</v>
      </c>
      <c r="J981" s="1">
        <f ca="1">IFERROR(__xludf.DUMMYFUNCTION("""COMPUTED_VALUE"""),2000)</f>
        <v>2000</v>
      </c>
      <c r="K981" s="1" t="str">
        <f ca="1">IFERROR(__xludf.DUMMYFUNCTION("""COMPUTED_VALUE"""),"Medicine")</f>
        <v>Medicine</v>
      </c>
      <c r="L981" s="1" t="str">
        <f ca="1">IFERROR(__xludf.DUMMYFUNCTION("""COMPUTED_VALUE"""),"〇")</f>
        <v>〇</v>
      </c>
      <c r="M981" s="1" t="str">
        <f ca="1">IFERROR(__xludf.DUMMYFUNCTION("""COMPUTED_VALUE"""),"〇")</f>
        <v>〇</v>
      </c>
      <c r="N981" s="1"/>
      <c r="O981" s="1"/>
      <c r="P981" s="1"/>
    </row>
    <row r="982" spans="1:16" ht="14.25" customHeight="1" x14ac:dyDescent="0.25">
      <c r="A982" s="1"/>
      <c r="B982" s="1">
        <f ca="1"/>
        <v>970</v>
      </c>
      <c r="C982" s="1">
        <f ca="1">IFERROR(__xludf.DUMMYFUNCTION("""COMPUTED_VALUE"""),2023)</f>
        <v>2023</v>
      </c>
      <c r="D982" s="1">
        <f ca="1">IFERROR(__xludf.DUMMYFUNCTION("""COMPUTED_VALUE"""),41811)</f>
        <v>41811</v>
      </c>
      <c r="E982" s="1" t="str">
        <f ca="1">IFERROR(__xludf.DUMMYFUNCTION("""COMPUTED_VALUE"""),"International Journal of Cognitive Therapy")</f>
        <v>International Journal of Cognitive Therapy</v>
      </c>
      <c r="F982" s="1" t="str">
        <f ca="1">IFERROR(__xludf.DUMMYFUNCTION("""COMPUTED_VALUE"""),"1937-1217")</f>
        <v>1937-1217</v>
      </c>
      <c r="G982" s="1"/>
      <c r="H982" s="27" t="str">
        <f ca="1">IFERROR(__xludf.DUMMYFUNCTION("""COMPUTED_VALUE"""),"https://link.springer.com/journal/41811")</f>
        <v>https://link.springer.com/journal/41811</v>
      </c>
      <c r="I982" s="1" t="str">
        <f ca="1">IFERROR(__xludf.DUMMYFUNCTION("""COMPUTED_VALUE"""),"Springer")</f>
        <v>Springer</v>
      </c>
      <c r="J982" s="1">
        <f ca="1">IFERROR(__xludf.DUMMYFUNCTION("""COMPUTED_VALUE"""),2018)</f>
        <v>2018</v>
      </c>
      <c r="K982" s="1" t="str">
        <f ca="1">IFERROR(__xludf.DUMMYFUNCTION("""COMPUTED_VALUE"""),"Behavioral Science and Psychology")</f>
        <v>Behavioral Science and Psychology</v>
      </c>
      <c r="L982" s="1"/>
      <c r="M982" s="1"/>
      <c r="N982" s="1" t="str">
        <f ca="1">IFERROR(__xludf.DUMMYFUNCTION("""COMPUTED_VALUE"""),"TO18")</f>
        <v>TO18</v>
      </c>
      <c r="O982" s="1"/>
      <c r="P982" s="1"/>
    </row>
    <row r="983" spans="1:16" ht="14.25" customHeight="1" x14ac:dyDescent="0.25">
      <c r="A983" s="1"/>
      <c r="B983" s="1">
        <f ca="1"/>
        <v>971</v>
      </c>
      <c r="C983" s="1">
        <f ca="1">IFERROR(__xludf.DUMMYFUNCTION("""COMPUTED_VALUE"""),2023)</f>
        <v>2023</v>
      </c>
      <c r="D983" s="1">
        <f ca="1">IFERROR(__xludf.DUMMYFUNCTION("""COMPUTED_VALUE"""),384)</f>
        <v>384</v>
      </c>
      <c r="E983" s="1" t="str">
        <f ca="1">IFERROR(__xludf.DUMMYFUNCTION("""COMPUTED_VALUE"""),"International Journal of Colorectal Disease")</f>
        <v>International Journal of Colorectal Disease</v>
      </c>
      <c r="F983" s="1" t="str">
        <f ca="1">IFERROR(__xludf.DUMMYFUNCTION("""COMPUTED_VALUE"""),"1432-1262")</f>
        <v>1432-1262</v>
      </c>
      <c r="G983" s="1"/>
      <c r="H983" s="27" t="str">
        <f ca="1">IFERROR(__xludf.DUMMYFUNCTION("""COMPUTED_VALUE"""),"https://link.springer.com/journal/384")</f>
        <v>https://link.springer.com/journal/384</v>
      </c>
      <c r="I983" s="1" t="str">
        <f ca="1">IFERROR(__xludf.DUMMYFUNCTION("""COMPUTED_VALUE"""),"Springer")</f>
        <v>Springer</v>
      </c>
      <c r="J983" s="1">
        <f ca="1">IFERROR(__xludf.DUMMYFUNCTION("""COMPUTED_VALUE"""),2000)</f>
        <v>2000</v>
      </c>
      <c r="K983" s="1" t="str">
        <f ca="1">IFERROR(__xludf.DUMMYFUNCTION("""COMPUTED_VALUE"""),"Medicine")</f>
        <v>Medicine</v>
      </c>
      <c r="L983" s="1"/>
      <c r="M983" s="1" t="str">
        <f ca="1">IFERROR(__xludf.DUMMYFUNCTION("""COMPUTED_VALUE"""),"〇")</f>
        <v>〇</v>
      </c>
      <c r="N983" s="1"/>
      <c r="O983" s="1"/>
      <c r="P983" s="1"/>
    </row>
    <row r="984" spans="1:16" ht="14.25" customHeight="1" x14ac:dyDescent="0.25">
      <c r="A984" s="1"/>
      <c r="B984" s="1">
        <f ca="1"/>
        <v>972</v>
      </c>
      <c r="C984" s="1">
        <f ca="1">IFERROR(__xludf.DUMMYFUNCTION("""COMPUTED_VALUE"""),2023)</f>
        <v>2023</v>
      </c>
      <c r="D984" s="1">
        <f ca="1">IFERROR(__xludf.DUMMYFUNCTION("""COMPUTED_VALUE"""),42413)</f>
        <v>42413</v>
      </c>
      <c r="E984" s="1" t="str">
        <f ca="1">IFERROR(__xludf.DUMMYFUNCTION("""COMPUTED_VALUE"""),"International Journal of Community Well-Being")</f>
        <v>International Journal of Community Well-Being</v>
      </c>
      <c r="F984" s="1" t="str">
        <f ca="1">IFERROR(__xludf.DUMMYFUNCTION("""COMPUTED_VALUE"""),"2524-5309")</f>
        <v>2524-5309</v>
      </c>
      <c r="G984" s="1" t="str">
        <f ca="1">IFERROR(__xludf.DUMMYFUNCTION("""COMPUTED_VALUE"""),"2524-5295")</f>
        <v>2524-5295</v>
      </c>
      <c r="H984" s="27" t="str">
        <f ca="1">IFERROR(__xludf.DUMMYFUNCTION("""COMPUTED_VALUE"""),"https://link.springer.com/journal/42413")</f>
        <v>https://link.springer.com/journal/42413</v>
      </c>
      <c r="I984" s="1" t="str">
        <f ca="1">IFERROR(__xludf.DUMMYFUNCTION("""COMPUTED_VALUE"""),"Springer")</f>
        <v>Springer</v>
      </c>
      <c r="J984" s="1">
        <f ca="1">IFERROR(__xludf.DUMMYFUNCTION("""COMPUTED_VALUE"""),2018)</f>
        <v>2018</v>
      </c>
      <c r="K984" s="1" t="str">
        <f ca="1">IFERROR(__xludf.DUMMYFUNCTION("""COMPUTED_VALUE"""),"Social Sciences")</f>
        <v>Social Sciences</v>
      </c>
      <c r="L984" s="1" t="str">
        <f ca="1">IFERROR(__xludf.DUMMYFUNCTION("""COMPUTED_VALUE"""),"〇")</f>
        <v>〇</v>
      </c>
      <c r="M984" s="1"/>
      <c r="N984" s="1" t="str">
        <f ca="1">IFERROR(__xludf.DUMMYFUNCTION("""COMPUTED_VALUE"""),"SNS18")</f>
        <v>SNS18</v>
      </c>
      <c r="O984" s="1"/>
      <c r="P984" s="1"/>
    </row>
    <row r="985" spans="1:16" ht="14.25" customHeight="1" x14ac:dyDescent="0.25">
      <c r="A985" s="1"/>
      <c r="B985" s="1">
        <f ca="1"/>
        <v>973</v>
      </c>
      <c r="C985" s="1">
        <f ca="1">IFERROR(__xludf.DUMMYFUNCTION("""COMPUTED_VALUE"""),2023)</f>
        <v>2023</v>
      </c>
      <c r="D985" s="1">
        <f ca="1">IFERROR(__xludf.DUMMYFUNCTION("""COMPUTED_VALUE"""),11548)</f>
        <v>11548</v>
      </c>
      <c r="E985" s="1" t="str">
        <f ca="1">IFERROR(__xludf.DUMMYFUNCTION("""COMPUTED_VALUE"""),"International Journal of Computer Assisted Radiology and Surgery")</f>
        <v>International Journal of Computer Assisted Radiology and Surgery</v>
      </c>
      <c r="F985" s="1" t="str">
        <f ca="1">IFERROR(__xludf.DUMMYFUNCTION("""COMPUTED_VALUE"""),"1861-6429")</f>
        <v>1861-6429</v>
      </c>
      <c r="G985" s="1"/>
      <c r="H985" s="27" t="str">
        <f ca="1">IFERROR(__xludf.DUMMYFUNCTION("""COMPUTED_VALUE"""),"https://link.springer.com/journal/11548")</f>
        <v>https://link.springer.com/journal/11548</v>
      </c>
      <c r="I985" s="1" t="str">
        <f ca="1">IFERROR(__xludf.DUMMYFUNCTION("""COMPUTED_VALUE"""),"Springer")</f>
        <v>Springer</v>
      </c>
      <c r="J985" s="1">
        <f ca="1">IFERROR(__xludf.DUMMYFUNCTION("""COMPUTED_VALUE"""),2006)</f>
        <v>2006</v>
      </c>
      <c r="K985" s="1" t="str">
        <f ca="1">IFERROR(__xludf.DUMMYFUNCTION("""COMPUTED_VALUE"""),"Medicine")</f>
        <v>Medicine</v>
      </c>
      <c r="L985" s="1"/>
      <c r="M985" s="1" t="str">
        <f ca="1">IFERROR(__xludf.DUMMYFUNCTION("""COMPUTED_VALUE"""),"〇")</f>
        <v>〇</v>
      </c>
      <c r="N985" s="1"/>
      <c r="O985" s="1"/>
      <c r="P985" s="1"/>
    </row>
    <row r="986" spans="1:16" ht="14.25" customHeight="1" x14ac:dyDescent="0.25">
      <c r="A986" s="1"/>
      <c r="B986" s="1">
        <f ca="1"/>
        <v>974</v>
      </c>
      <c r="C986" s="1">
        <f ca="1">IFERROR(__xludf.DUMMYFUNCTION("""COMPUTED_VALUE"""),2023)</f>
        <v>2023</v>
      </c>
      <c r="D986" s="1">
        <f ca="1">IFERROR(__xludf.DUMMYFUNCTION("""COMPUTED_VALUE"""),11263)</f>
        <v>11263</v>
      </c>
      <c r="E986" s="1" t="str">
        <f ca="1">IFERROR(__xludf.DUMMYFUNCTION("""COMPUTED_VALUE"""),"International Journal of Computer Vision")</f>
        <v>International Journal of Computer Vision</v>
      </c>
      <c r="F986" s="1" t="str">
        <f ca="1">IFERROR(__xludf.DUMMYFUNCTION("""COMPUTED_VALUE"""),"1573-1405")</f>
        <v>1573-1405</v>
      </c>
      <c r="G986" s="1" t="str">
        <f ca="1">IFERROR(__xludf.DUMMYFUNCTION("""COMPUTED_VALUE"""),"0920-5691")</f>
        <v>0920-5691</v>
      </c>
      <c r="H986" s="27" t="str">
        <f ca="1">IFERROR(__xludf.DUMMYFUNCTION("""COMPUTED_VALUE"""),"https://link.springer.com/journal/11263")</f>
        <v>https://link.springer.com/journal/11263</v>
      </c>
      <c r="I986" s="1" t="str">
        <f ca="1">IFERROR(__xludf.DUMMYFUNCTION("""COMPUTED_VALUE"""),"Springer")</f>
        <v>Springer</v>
      </c>
      <c r="J986" s="1">
        <f ca="1">IFERROR(__xludf.DUMMYFUNCTION("""COMPUTED_VALUE"""),2000)</f>
        <v>2000</v>
      </c>
      <c r="K986" s="1" t="str">
        <f ca="1">IFERROR(__xludf.DUMMYFUNCTION("""COMPUTED_VALUE"""),"Computer Science")</f>
        <v>Computer Science</v>
      </c>
      <c r="L986" s="1" t="str">
        <f ca="1">IFERROR(__xludf.DUMMYFUNCTION("""COMPUTED_VALUE"""),"〇")</f>
        <v>〇</v>
      </c>
      <c r="M986" s="1" t="str">
        <f ca="1">IFERROR(__xludf.DUMMYFUNCTION("""COMPUTED_VALUE"""),"〇")</f>
        <v>〇</v>
      </c>
      <c r="N986" s="1"/>
      <c r="O986" s="1"/>
      <c r="P986" s="1"/>
    </row>
    <row r="987" spans="1:16" ht="14.25" customHeight="1" x14ac:dyDescent="0.25">
      <c r="A987" s="1"/>
      <c r="B987" s="1">
        <f ca="1"/>
        <v>975</v>
      </c>
      <c r="C987" s="1">
        <f ca="1">IFERROR(__xludf.DUMMYFUNCTION("""COMPUTED_VALUE"""),2023)</f>
        <v>2023</v>
      </c>
      <c r="D987" s="1">
        <f ca="1">IFERROR(__xludf.DUMMYFUNCTION("""COMPUTED_VALUE"""),11412)</f>
        <v>11412</v>
      </c>
      <c r="E987" s="1" t="str">
        <f ca="1">IFERROR(__xludf.DUMMYFUNCTION("""COMPUTED_VALUE"""),"International Journal of Computer-Supported Collaborative Learning")</f>
        <v>International Journal of Computer-Supported Collaborative Learning</v>
      </c>
      <c r="F987" s="1" t="str">
        <f ca="1">IFERROR(__xludf.DUMMYFUNCTION("""COMPUTED_VALUE"""),"1556-1615")</f>
        <v>1556-1615</v>
      </c>
      <c r="G987" s="1" t="str">
        <f ca="1">IFERROR(__xludf.DUMMYFUNCTION("""COMPUTED_VALUE"""),"1556-1607")</f>
        <v>1556-1607</v>
      </c>
      <c r="H987" s="27" t="str">
        <f ca="1">IFERROR(__xludf.DUMMYFUNCTION("""COMPUTED_VALUE"""),"https://link.springer.com/journal/11412")</f>
        <v>https://link.springer.com/journal/11412</v>
      </c>
      <c r="I987" s="1" t="str">
        <f ca="1">IFERROR(__xludf.DUMMYFUNCTION("""COMPUTED_VALUE"""),"Springer")</f>
        <v>Springer</v>
      </c>
      <c r="J987" s="1">
        <f ca="1">IFERROR(__xludf.DUMMYFUNCTION("""COMPUTED_VALUE"""),2006)</f>
        <v>2006</v>
      </c>
      <c r="K987" s="1" t="str">
        <f ca="1">IFERROR(__xludf.DUMMYFUNCTION("""COMPUTED_VALUE"""),"Education")</f>
        <v>Education</v>
      </c>
      <c r="L987" s="1" t="str">
        <f ca="1">IFERROR(__xludf.DUMMYFUNCTION("""COMPUTED_VALUE"""),"〇")</f>
        <v>〇</v>
      </c>
      <c r="M987" s="1" t="str">
        <f ca="1">IFERROR(__xludf.DUMMYFUNCTION("""COMPUTED_VALUE"""),"〇")</f>
        <v>〇</v>
      </c>
      <c r="N987" s="1"/>
      <c r="O987" s="1"/>
      <c r="P987" s="1"/>
    </row>
    <row r="988" spans="1:16" ht="14.25" customHeight="1" x14ac:dyDescent="0.25">
      <c r="A988" s="1"/>
      <c r="B988" s="1">
        <f ca="1"/>
        <v>976</v>
      </c>
      <c r="C988" s="1">
        <f ca="1">IFERROR(__xludf.DUMMYFUNCTION("""COMPUTED_VALUE"""),2023)</f>
        <v>2023</v>
      </c>
      <c r="D988" s="1">
        <f ca="1">IFERROR(__xludf.DUMMYFUNCTION("""COMPUTED_VALUE"""),12555)</f>
        <v>12555</v>
      </c>
      <c r="E988" s="1" t="str">
        <f ca="1">IFERROR(__xludf.DUMMYFUNCTION("""COMPUTED_VALUE"""),"International Journal of Control, Automation and Systems")</f>
        <v>International Journal of Control, Automation and Systems</v>
      </c>
      <c r="F988" s="1" t="str">
        <f ca="1">IFERROR(__xludf.DUMMYFUNCTION("""COMPUTED_VALUE"""),"2005-4092")</f>
        <v>2005-4092</v>
      </c>
      <c r="G988" s="1" t="str">
        <f ca="1">IFERROR(__xludf.DUMMYFUNCTION("""COMPUTED_VALUE"""),"1598-6446")</f>
        <v>1598-6446</v>
      </c>
      <c r="H988" s="27" t="str">
        <f ca="1">IFERROR(__xludf.DUMMYFUNCTION("""COMPUTED_VALUE"""),"https://link.springer.com/journal/12555")</f>
        <v>https://link.springer.com/journal/12555</v>
      </c>
      <c r="I988" s="1" t="str">
        <f ca="1">IFERROR(__xludf.DUMMYFUNCTION("""COMPUTED_VALUE"""),"Institute of Control, Robotics and Systems and The Korean Institute of Electrical Engineers, co-published with Springer")</f>
        <v>Institute of Control, Robotics and Systems and The Korean Institute of Electrical Engineers, co-published with Springer</v>
      </c>
      <c r="J988" s="1">
        <f ca="1">IFERROR(__xludf.DUMMYFUNCTION("""COMPUTED_VALUE"""),2009)</f>
        <v>2009</v>
      </c>
      <c r="K988" s="1" t="str">
        <f ca="1">IFERROR(__xludf.DUMMYFUNCTION("""COMPUTED_VALUE"""),"Engineering")</f>
        <v>Engineering</v>
      </c>
      <c r="L988" s="1" t="str">
        <f ca="1">IFERROR(__xludf.DUMMYFUNCTION("""COMPUTED_VALUE"""),"〇")</f>
        <v>〇</v>
      </c>
      <c r="M988" s="1"/>
      <c r="N988" s="1" t="str">
        <f ca="1">IFERROR(__xludf.DUMMYFUNCTION("""COMPUTED_VALUE"""),"TO9")</f>
        <v>TO9</v>
      </c>
      <c r="O988" s="1"/>
      <c r="P988" s="1"/>
    </row>
    <row r="989" spans="1:16" ht="14.25" customHeight="1" x14ac:dyDescent="0.25">
      <c r="A989" s="1"/>
      <c r="B989" s="1">
        <f ca="1"/>
        <v>977</v>
      </c>
      <c r="C989" s="1">
        <f ca="1">IFERROR(__xludf.DUMMYFUNCTION("""COMPUTED_VALUE"""),2023)</f>
        <v>2023</v>
      </c>
      <c r="D989" s="1">
        <f ca="1">IFERROR(__xludf.DUMMYFUNCTION("""COMPUTED_VALUE"""),41060)</f>
        <v>41060</v>
      </c>
      <c r="E989" s="1" t="str">
        <f ca="1">IFERROR(__xludf.DUMMYFUNCTION("""COMPUTED_VALUE"""),"International Journal of Data Science and Analytics")</f>
        <v>International Journal of Data Science and Analytics</v>
      </c>
      <c r="F989" s="1" t="str">
        <f ca="1">IFERROR(__xludf.DUMMYFUNCTION("""COMPUTED_VALUE"""),"2364-4168")</f>
        <v>2364-4168</v>
      </c>
      <c r="G989" s="1" t="str">
        <f ca="1">IFERROR(__xludf.DUMMYFUNCTION("""COMPUTED_VALUE"""),"2364-415X")</f>
        <v>2364-415X</v>
      </c>
      <c r="H989" s="27" t="str">
        <f ca="1">IFERROR(__xludf.DUMMYFUNCTION("""COMPUTED_VALUE"""),"https://link.springer.com/journal/41060")</f>
        <v>https://link.springer.com/journal/41060</v>
      </c>
      <c r="I989" s="1" t="str">
        <f ca="1">IFERROR(__xludf.DUMMYFUNCTION("""COMPUTED_VALUE"""),"Springer")</f>
        <v>Springer</v>
      </c>
      <c r="J989" s="1">
        <f ca="1">IFERROR(__xludf.DUMMYFUNCTION("""COMPUTED_VALUE"""),2016)</f>
        <v>2016</v>
      </c>
      <c r="K989" s="1" t="str">
        <f ca="1">IFERROR(__xludf.DUMMYFUNCTION("""COMPUTED_VALUE"""),"Computer Science")</f>
        <v>Computer Science</v>
      </c>
      <c r="L989" s="1" t="str">
        <f ca="1">IFERROR(__xludf.DUMMYFUNCTION("""COMPUTED_VALUE"""),"〇")</f>
        <v>〇</v>
      </c>
      <c r="M989" s="1"/>
      <c r="N989" s="1" t="str">
        <f ca="1">IFERROR(__xludf.DUMMYFUNCTION("""COMPUTED_VALUE"""),"SNS16")</f>
        <v>SNS16</v>
      </c>
      <c r="O989" s="1"/>
      <c r="P989" s="1"/>
    </row>
    <row r="990" spans="1:16" ht="14.25" customHeight="1" x14ac:dyDescent="0.25">
      <c r="A990" s="1"/>
      <c r="B990" s="1">
        <f ca="1"/>
        <v>978</v>
      </c>
      <c r="C990" s="1">
        <f ca="1">IFERROR(__xludf.DUMMYFUNCTION("""COMPUTED_VALUE"""),2023)</f>
        <v>2023</v>
      </c>
      <c r="D990" s="1">
        <f ca="1">IFERROR(__xludf.DUMMYFUNCTION("""COMPUTED_VALUE"""),13410)</f>
        <v>13410</v>
      </c>
      <c r="E990" s="1" t="str">
        <f ca="1">IFERROR(__xludf.DUMMYFUNCTION("""COMPUTED_VALUE"""),"International Journal of Diabetes in Developing Countries")</f>
        <v>International Journal of Diabetes in Developing Countries</v>
      </c>
      <c r="F990" s="1" t="str">
        <f ca="1">IFERROR(__xludf.DUMMYFUNCTION("""COMPUTED_VALUE"""),"1998-3832")</f>
        <v>1998-3832</v>
      </c>
      <c r="G990" s="1" t="str">
        <f ca="1">IFERROR(__xludf.DUMMYFUNCTION("""COMPUTED_VALUE"""),"0973-3930")</f>
        <v>0973-3930</v>
      </c>
      <c r="H990" s="27" t="str">
        <f ca="1">IFERROR(__xludf.DUMMYFUNCTION("""COMPUTED_VALUE"""),"https://link.springer.com/journal/13410")</f>
        <v>https://link.springer.com/journal/13410</v>
      </c>
      <c r="I990" s="1" t="str">
        <f ca="1">IFERROR(__xludf.DUMMYFUNCTION("""COMPUTED_VALUE"""),"Springer")</f>
        <v>Springer</v>
      </c>
      <c r="J990" s="1">
        <f ca="1">IFERROR(__xludf.DUMMYFUNCTION("""COMPUTED_VALUE"""),2011)</f>
        <v>2011</v>
      </c>
      <c r="K990" s="1" t="str">
        <f ca="1">IFERROR(__xludf.DUMMYFUNCTION("""COMPUTED_VALUE"""),"Medicine")</f>
        <v>Medicine</v>
      </c>
      <c r="L990" s="1" t="str">
        <f ca="1">IFERROR(__xludf.DUMMYFUNCTION("""COMPUTED_VALUE"""),"〇")</f>
        <v>〇</v>
      </c>
      <c r="M990" s="1"/>
      <c r="N990" s="1" t="str">
        <f ca="1">IFERROR(__xludf.DUMMYFUNCTION("""COMPUTED_VALUE"""),"TO11")</f>
        <v>TO11</v>
      </c>
      <c r="O990" s="1"/>
      <c r="P990" s="1"/>
    </row>
    <row r="991" spans="1:16" ht="14.25" customHeight="1" x14ac:dyDescent="0.25">
      <c r="A991" s="1"/>
      <c r="B991" s="1">
        <f ca="1"/>
        <v>979</v>
      </c>
      <c r="C991" s="1">
        <f ca="1">IFERROR(__xludf.DUMMYFUNCTION("""COMPUTED_VALUE"""),2023)</f>
        <v>2023</v>
      </c>
      <c r="D991" s="1">
        <f ca="1">IFERROR(__xludf.DUMMYFUNCTION("""COMPUTED_VALUE"""),42803)</f>
        <v>42803</v>
      </c>
      <c r="E991" s="1" t="str">
        <f ca="1">IFERROR(__xludf.DUMMYFUNCTION("""COMPUTED_VALUE"""),"International Journal of Digital Humanities")</f>
        <v>International Journal of Digital Humanities</v>
      </c>
      <c r="F991" s="1" t="str">
        <f ca="1">IFERROR(__xludf.DUMMYFUNCTION("""COMPUTED_VALUE"""),"2524-7840")</f>
        <v>2524-7840</v>
      </c>
      <c r="G991" s="1"/>
      <c r="H991" s="27" t="str">
        <f ca="1">IFERROR(__xludf.DUMMYFUNCTION("""COMPUTED_VALUE"""),"https://link.springer.com/journal/42803")</f>
        <v>https://link.springer.com/journal/42803</v>
      </c>
      <c r="I991" s="1" t="str">
        <f ca="1">IFERROR(__xludf.DUMMYFUNCTION("""COMPUTED_VALUE"""),"Springer")</f>
        <v>Springer</v>
      </c>
      <c r="J991" s="1">
        <f ca="1">IFERROR(__xludf.DUMMYFUNCTION("""COMPUTED_VALUE"""),2019)</f>
        <v>2019</v>
      </c>
      <c r="K991" s="1" t="str">
        <f ca="1">IFERROR(__xludf.DUMMYFUNCTION("""COMPUTED_VALUE"""),"Mathematics and Statistics")</f>
        <v>Mathematics and Statistics</v>
      </c>
      <c r="L991" s="1"/>
      <c r="M991" s="1"/>
      <c r="N991" s="1" t="str">
        <f ca="1">IFERROR(__xludf.DUMMYFUNCTION("""COMPUTED_VALUE"""),"SNS19")</f>
        <v>SNS19</v>
      </c>
      <c r="O991" s="1"/>
      <c r="P991" s="1"/>
    </row>
    <row r="992" spans="1:16" ht="14.25" customHeight="1" x14ac:dyDescent="0.25">
      <c r="A992" s="1"/>
      <c r="B992" s="1">
        <f ca="1"/>
        <v>980</v>
      </c>
      <c r="C992" s="1">
        <f ca="1">IFERROR(__xludf.DUMMYFUNCTION("""COMPUTED_VALUE"""),2023)</f>
        <v>2023</v>
      </c>
      <c r="D992" s="1">
        <f ca="1">IFERROR(__xludf.DUMMYFUNCTION("""COMPUTED_VALUE"""),40435)</f>
        <v>40435</v>
      </c>
      <c r="E992" s="1" t="str">
        <f ca="1">IFERROR(__xludf.DUMMYFUNCTION("""COMPUTED_VALUE"""),"International Journal of Dynamics and Control")</f>
        <v>International Journal of Dynamics and Control</v>
      </c>
      <c r="F992" s="1" t="str">
        <f ca="1">IFERROR(__xludf.DUMMYFUNCTION("""COMPUTED_VALUE"""),"2195-2698")</f>
        <v>2195-2698</v>
      </c>
      <c r="G992" s="1" t="str">
        <f ca="1">IFERROR(__xludf.DUMMYFUNCTION("""COMPUTED_VALUE"""),"2195-268X")</f>
        <v>2195-268X</v>
      </c>
      <c r="H992" s="27" t="str">
        <f ca="1">IFERROR(__xludf.DUMMYFUNCTION("""COMPUTED_VALUE"""),"https://link.springer.com/journal/40435")</f>
        <v>https://link.springer.com/journal/40435</v>
      </c>
      <c r="I992" s="1" t="str">
        <f ca="1">IFERROR(__xludf.DUMMYFUNCTION("""COMPUTED_VALUE"""),"Springer")</f>
        <v>Springer</v>
      </c>
      <c r="J992" s="1">
        <f ca="1">IFERROR(__xludf.DUMMYFUNCTION("""COMPUTED_VALUE"""),2013)</f>
        <v>2013</v>
      </c>
      <c r="K992" s="1" t="str">
        <f ca="1">IFERROR(__xludf.DUMMYFUNCTION("""COMPUTED_VALUE"""),"Engineering")</f>
        <v>Engineering</v>
      </c>
      <c r="L992" s="1" t="str">
        <f ca="1">IFERROR(__xludf.DUMMYFUNCTION("""COMPUTED_VALUE"""),"〇")</f>
        <v>〇</v>
      </c>
      <c r="M992" s="1"/>
      <c r="N992" s="1" t="str">
        <f ca="1">IFERROR(__xludf.DUMMYFUNCTION("""COMPUTED_VALUE"""),"SNS13")</f>
        <v>SNS13</v>
      </c>
      <c r="O992" s="1"/>
      <c r="P992" s="1"/>
    </row>
    <row r="993" spans="1:16" ht="14.25" customHeight="1" x14ac:dyDescent="0.25">
      <c r="A993" s="1"/>
      <c r="B993" s="1">
        <f ca="1"/>
        <v>981</v>
      </c>
      <c r="C993" s="1">
        <f ca="1">IFERROR(__xludf.DUMMYFUNCTION("""COMPUTED_VALUE"""),2023)</f>
        <v>2023</v>
      </c>
      <c r="D993" s="1">
        <f ca="1">IFERROR(__xludf.DUMMYFUNCTION("""COMPUTED_VALUE"""),13158)</f>
        <v>13158</v>
      </c>
      <c r="E993" s="1" t="str">
        <f ca="1">IFERROR(__xludf.DUMMYFUNCTION("""COMPUTED_VALUE"""),"International Journal of Early Childhood")</f>
        <v>International Journal of Early Childhood</v>
      </c>
      <c r="F993" s="1" t="str">
        <f ca="1">IFERROR(__xludf.DUMMYFUNCTION("""COMPUTED_VALUE"""),"1878-4658")</f>
        <v>1878-4658</v>
      </c>
      <c r="G993" s="1" t="str">
        <f ca="1">IFERROR(__xludf.DUMMYFUNCTION("""COMPUTED_VALUE"""),"0020-7187")</f>
        <v>0020-7187</v>
      </c>
      <c r="H993" s="27" t="str">
        <f ca="1">IFERROR(__xludf.DUMMYFUNCTION("""COMPUTED_VALUE"""),"https://link.springer.com/journal/13158")</f>
        <v>https://link.springer.com/journal/13158</v>
      </c>
      <c r="I993" s="1" t="str">
        <f ca="1">IFERROR(__xludf.DUMMYFUNCTION("""COMPUTED_VALUE"""),"Springer")</f>
        <v>Springer</v>
      </c>
      <c r="J993" s="1">
        <f ca="1">IFERROR(__xludf.DUMMYFUNCTION("""COMPUTED_VALUE"""),2000)</f>
        <v>2000</v>
      </c>
      <c r="K993" s="1" t="str">
        <f ca="1">IFERROR(__xludf.DUMMYFUNCTION("""COMPUTED_VALUE"""),"Education")</f>
        <v>Education</v>
      </c>
      <c r="L993" s="1" t="str">
        <f ca="1">IFERROR(__xludf.DUMMYFUNCTION("""COMPUTED_VALUE"""),"〇")</f>
        <v>〇</v>
      </c>
      <c r="M993" s="1"/>
      <c r="N993" s="1" t="str">
        <f ca="1">IFERROR(__xludf.DUMMYFUNCTION("""COMPUTED_VALUE"""),"TO10")</f>
        <v>TO10</v>
      </c>
      <c r="O993" s="1"/>
      <c r="P993" s="1"/>
    </row>
    <row r="994" spans="1:16" ht="14.25" customHeight="1" x14ac:dyDescent="0.25">
      <c r="A994" s="1"/>
      <c r="B994" s="1">
        <f ca="1"/>
        <v>982</v>
      </c>
      <c r="C994" s="1">
        <f ca="1">IFERROR(__xludf.DUMMYFUNCTION("""COMPUTED_VALUE"""),2023)</f>
        <v>2023</v>
      </c>
      <c r="D994" s="1">
        <f ca="1">IFERROR(__xludf.DUMMYFUNCTION("""COMPUTED_VALUE"""),531)</f>
        <v>531</v>
      </c>
      <c r="E994" s="1" t="str">
        <f ca="1">IFERROR(__xludf.DUMMYFUNCTION("""COMPUTED_VALUE"""),"International Journal of Earth Sciences")</f>
        <v>International Journal of Earth Sciences</v>
      </c>
      <c r="F994" s="1" t="str">
        <f ca="1">IFERROR(__xludf.DUMMYFUNCTION("""COMPUTED_VALUE"""),"1437-3262")</f>
        <v>1437-3262</v>
      </c>
      <c r="G994" s="1"/>
      <c r="H994" s="27" t="str">
        <f ca="1">IFERROR(__xludf.DUMMYFUNCTION("""COMPUTED_VALUE"""),"https://link.springer.com/journal/531")</f>
        <v>https://link.springer.com/journal/531</v>
      </c>
      <c r="I994" s="1" t="str">
        <f ca="1">IFERROR(__xludf.DUMMYFUNCTION("""COMPUTED_VALUE"""),"Springer")</f>
        <v>Springer</v>
      </c>
      <c r="J994" s="1">
        <f ca="1">IFERROR(__xludf.DUMMYFUNCTION("""COMPUTED_VALUE"""),2000)</f>
        <v>2000</v>
      </c>
      <c r="K994" s="1" t="str">
        <f ca="1">IFERROR(__xludf.DUMMYFUNCTION("""COMPUTED_VALUE"""),"Earth and Environmental Science")</f>
        <v>Earth and Environmental Science</v>
      </c>
      <c r="L994" s="1"/>
      <c r="M994" s="1" t="str">
        <f ca="1">IFERROR(__xludf.DUMMYFUNCTION("""COMPUTED_VALUE"""),"〇")</f>
        <v>〇</v>
      </c>
      <c r="N994" s="1"/>
      <c r="O994" s="1"/>
      <c r="P994" s="1"/>
    </row>
    <row r="995" spans="1:16" ht="14.25" customHeight="1" x14ac:dyDescent="0.25">
      <c r="A995" s="1"/>
      <c r="B995" s="1">
        <f ca="1"/>
        <v>983</v>
      </c>
      <c r="C995" s="1">
        <f ca="1">IFERROR(__xludf.DUMMYFUNCTION("""COMPUTED_VALUE"""),2023)</f>
        <v>2023</v>
      </c>
      <c r="D995" s="1">
        <f ca="1">IFERROR(__xludf.DUMMYFUNCTION("""COMPUTED_VALUE"""),42495)</f>
        <v>42495</v>
      </c>
      <c r="E995" s="1" t="str">
        <f ca="1">IFERROR(__xludf.DUMMYFUNCTION("""COMPUTED_VALUE"""),"International Journal of Economic Policy Studies")</f>
        <v>International Journal of Economic Policy Studies</v>
      </c>
      <c r="F995" s="1" t="str">
        <f ca="1">IFERROR(__xludf.DUMMYFUNCTION("""COMPUTED_VALUE"""),"1881-4387")</f>
        <v>1881-4387</v>
      </c>
      <c r="G995" s="1" t="str">
        <f ca="1">IFERROR(__xludf.DUMMYFUNCTION("""COMPUTED_VALUE"""),"2524-4892")</f>
        <v>2524-4892</v>
      </c>
      <c r="H995" s="27" t="str">
        <f ca="1">IFERROR(__xludf.DUMMYFUNCTION("""COMPUTED_VALUE"""),"https://link.springer.com/journal/42495")</f>
        <v>https://link.springer.com/journal/42495</v>
      </c>
      <c r="I995" s="1" t="str">
        <f ca="1">IFERROR(__xludf.DUMMYFUNCTION("""COMPUTED_VALUE"""),"Springer")</f>
        <v>Springer</v>
      </c>
      <c r="J995" s="1">
        <f ca="1">IFERROR(__xludf.DUMMYFUNCTION("""COMPUTED_VALUE"""),2006)</f>
        <v>2006</v>
      </c>
      <c r="K995" s="1" t="str">
        <f ca="1">IFERROR(__xludf.DUMMYFUNCTION("""COMPUTED_VALUE"""),"Economics and Finance")</f>
        <v>Economics and Finance</v>
      </c>
      <c r="L995" s="1" t="str">
        <f ca="1">IFERROR(__xludf.DUMMYFUNCTION("""COMPUTED_VALUE"""),"〇")</f>
        <v>〇</v>
      </c>
      <c r="M995" s="1"/>
      <c r="N995" s="1" t="str">
        <f ca="1">IFERROR(__xludf.DUMMYFUNCTION("""COMPUTED_VALUE"""),"TO19")</f>
        <v>TO19</v>
      </c>
      <c r="O995" s="1"/>
      <c r="P995" s="1"/>
    </row>
    <row r="996" spans="1:16" ht="14.25" customHeight="1" x14ac:dyDescent="0.25">
      <c r="A996" s="1"/>
      <c r="B996" s="1">
        <f ca="1"/>
        <v>984</v>
      </c>
      <c r="C996" s="1">
        <f ca="1">IFERROR(__xludf.DUMMYFUNCTION("""COMPUTED_VALUE"""),2023)</f>
        <v>2023</v>
      </c>
      <c r="D996" s="1">
        <f ca="1">IFERROR(__xludf.DUMMYFUNCTION("""COMPUTED_VALUE"""),40095)</f>
        <v>40095</v>
      </c>
      <c r="E996" s="1" t="str">
        <f ca="1">IFERROR(__xludf.DUMMYFUNCTION("""COMPUTED_VALUE"""),"International Journal of Energy and Environmental Engineering")</f>
        <v>International Journal of Energy and Environmental Engineering</v>
      </c>
      <c r="F996" s="1" t="str">
        <f ca="1">IFERROR(__xludf.DUMMYFUNCTION("""COMPUTED_VALUE"""),"2251-6832")</f>
        <v>2251-6832</v>
      </c>
      <c r="G996" s="1"/>
      <c r="H996" s="27" t="str">
        <f ca="1">IFERROR(__xludf.DUMMYFUNCTION("""COMPUTED_VALUE"""),"https://link.springer.com/journal/40095")</f>
        <v>https://link.springer.com/journal/40095</v>
      </c>
      <c r="I996" s="1" t="str">
        <f ca="1">IFERROR(__xludf.DUMMYFUNCTION("""COMPUTED_VALUE"""),"Springer")</f>
        <v>Springer</v>
      </c>
      <c r="J996" s="1">
        <f ca="1">IFERROR(__xludf.DUMMYFUNCTION("""COMPUTED_VALUE"""),2012)</f>
        <v>2012</v>
      </c>
      <c r="K996" s="1" t="str">
        <f ca="1">IFERROR(__xludf.DUMMYFUNCTION("""COMPUTED_VALUE"""),"Energy")</f>
        <v>Energy</v>
      </c>
      <c r="L996" s="1"/>
      <c r="M996" s="1"/>
      <c r="N996" s="1"/>
      <c r="O996" s="1"/>
      <c r="P996" s="1"/>
    </row>
    <row r="997" spans="1:16" ht="14.25" customHeight="1" x14ac:dyDescent="0.25">
      <c r="A997" s="1"/>
      <c r="B997" s="1">
        <f ca="1"/>
        <v>985</v>
      </c>
      <c r="C997" s="1">
        <f ca="1">IFERROR(__xludf.DUMMYFUNCTION("""COMPUTED_VALUE"""),2023)</f>
        <v>2023</v>
      </c>
      <c r="D997" s="1">
        <f ca="1">IFERROR(__xludf.DUMMYFUNCTION("""COMPUTED_VALUE"""),42108)</f>
        <v>42108</v>
      </c>
      <c r="E997" s="1" t="str">
        <f ca="1">IFERROR(__xludf.DUMMYFUNCTION("""COMPUTED_VALUE"""),"International Journal of Energy and Water Resources")</f>
        <v>International Journal of Energy and Water Resources</v>
      </c>
      <c r="F997" s="1" t="str">
        <f ca="1">IFERROR(__xludf.DUMMYFUNCTION("""COMPUTED_VALUE"""),"2522-0101")</f>
        <v>2522-0101</v>
      </c>
      <c r="G997" s="1" t="str">
        <f ca="1">IFERROR(__xludf.DUMMYFUNCTION("""COMPUTED_VALUE"""),"2538-3604")</f>
        <v>2538-3604</v>
      </c>
      <c r="H997" s="27" t="str">
        <f ca="1">IFERROR(__xludf.DUMMYFUNCTION("""COMPUTED_VALUE"""),"https://link.springer.com/journal/42108")</f>
        <v>https://link.springer.com/journal/42108</v>
      </c>
      <c r="I997" s="1" t="str">
        <f ca="1">IFERROR(__xludf.DUMMYFUNCTION("""COMPUTED_VALUE"""),"Springer")</f>
        <v>Springer</v>
      </c>
      <c r="J997" s="1">
        <f ca="1">IFERROR(__xludf.DUMMYFUNCTION("""COMPUTED_VALUE"""),2018)</f>
        <v>2018</v>
      </c>
      <c r="K997" s="1" t="str">
        <f ca="1">IFERROR(__xludf.DUMMYFUNCTION("""COMPUTED_VALUE"""),"Earth and Environmental Science")</f>
        <v>Earth and Environmental Science</v>
      </c>
      <c r="L997" s="1" t="str">
        <f ca="1">IFERROR(__xludf.DUMMYFUNCTION("""COMPUTED_VALUE"""),"〇")</f>
        <v>〇</v>
      </c>
      <c r="M997" s="1"/>
      <c r="N997" s="1" t="str">
        <f ca="1">IFERROR(__xludf.DUMMYFUNCTION("""COMPUTED_VALUE"""),"TO18")</f>
        <v>TO18</v>
      </c>
      <c r="O997" s="1"/>
      <c r="P997" s="1"/>
    </row>
    <row r="998" spans="1:16" ht="14.25" customHeight="1" x14ac:dyDescent="0.25">
      <c r="A998" s="1"/>
      <c r="B998" s="1">
        <f ca="1"/>
        <v>986</v>
      </c>
      <c r="C998" s="1">
        <f ca="1">IFERROR(__xludf.DUMMYFUNCTION("""COMPUTED_VALUE"""),2023)</f>
        <v>2023</v>
      </c>
      <c r="D998" s="1">
        <f ca="1">IFERROR(__xludf.DUMMYFUNCTION("""COMPUTED_VALUE"""),41742)</f>
        <v>41742</v>
      </c>
      <c r="E998" s="1" t="str">
        <f ca="1">IFERROR(__xludf.DUMMYFUNCTION("""COMPUTED_VALUE"""),"International Journal of Environmental Research")</f>
        <v>International Journal of Environmental Research</v>
      </c>
      <c r="F998" s="1" t="str">
        <f ca="1">IFERROR(__xludf.DUMMYFUNCTION("""COMPUTED_VALUE"""),"2008-2304")</f>
        <v>2008-2304</v>
      </c>
      <c r="G998" s="1" t="str">
        <f ca="1">IFERROR(__xludf.DUMMYFUNCTION("""COMPUTED_VALUE"""),"1735-6865")</f>
        <v>1735-6865</v>
      </c>
      <c r="H998" s="27" t="str">
        <f ca="1">IFERROR(__xludf.DUMMYFUNCTION("""COMPUTED_VALUE"""),"https://link.springer.com/journal/41742")</f>
        <v>https://link.springer.com/journal/41742</v>
      </c>
      <c r="I998" s="1" t="str">
        <f ca="1">IFERROR(__xludf.DUMMYFUNCTION("""COMPUTED_VALUE"""),"Springer")</f>
        <v>Springer</v>
      </c>
      <c r="J998" s="1">
        <f ca="1">IFERROR(__xludf.DUMMYFUNCTION("""COMPUTED_VALUE"""),2017)</f>
        <v>2017</v>
      </c>
      <c r="K998" s="1" t="str">
        <f ca="1">IFERROR(__xludf.DUMMYFUNCTION("""COMPUTED_VALUE"""),"Earth and Environmental Science")</f>
        <v>Earth and Environmental Science</v>
      </c>
      <c r="L998" s="1" t="str">
        <f ca="1">IFERROR(__xludf.DUMMYFUNCTION("""COMPUTED_VALUE"""),"〇")</f>
        <v>〇</v>
      </c>
      <c r="M998" s="1"/>
      <c r="N998" s="1" t="str">
        <f ca="1">IFERROR(__xludf.DUMMYFUNCTION("""COMPUTED_VALUE"""),"TO17")</f>
        <v>TO17</v>
      </c>
      <c r="O998" s="1"/>
      <c r="P998" s="1"/>
    </row>
    <row r="999" spans="1:16" ht="14.25" customHeight="1" x14ac:dyDescent="0.25">
      <c r="A999" s="1"/>
      <c r="B999" s="1">
        <f ca="1"/>
        <v>987</v>
      </c>
      <c r="C999" s="1">
        <f ca="1">IFERROR(__xludf.DUMMYFUNCTION("""COMPUTED_VALUE"""),2023)</f>
        <v>2023</v>
      </c>
      <c r="D999" s="1">
        <f ca="1">IFERROR(__xludf.DUMMYFUNCTION("""COMPUTED_VALUE"""),13762)</f>
        <v>13762</v>
      </c>
      <c r="E999" s="1" t="str">
        <f ca="1">IFERROR(__xludf.DUMMYFUNCTION("""COMPUTED_VALUE"""),"International Journal of Environmental Science and Technology")</f>
        <v>International Journal of Environmental Science and Technology</v>
      </c>
      <c r="F999" s="1" t="str">
        <f ca="1">IFERROR(__xludf.DUMMYFUNCTION("""COMPUTED_VALUE"""),"1735-2630")</f>
        <v>1735-2630</v>
      </c>
      <c r="G999" s="1" t="str">
        <f ca="1">IFERROR(__xludf.DUMMYFUNCTION("""COMPUTED_VALUE"""),"1735-1472")</f>
        <v>1735-1472</v>
      </c>
      <c r="H999" s="27" t="str">
        <f ca="1">IFERROR(__xludf.DUMMYFUNCTION("""COMPUTED_VALUE"""),"https://link.springer.com/journal/13762")</f>
        <v>https://link.springer.com/journal/13762</v>
      </c>
      <c r="I999" s="1" t="str">
        <f ca="1">IFERROR(__xludf.DUMMYFUNCTION("""COMPUTED_VALUE"""),"Springer")</f>
        <v>Springer</v>
      </c>
      <c r="J999" s="1">
        <f ca="1">IFERROR(__xludf.DUMMYFUNCTION("""COMPUTED_VALUE"""),2004)</f>
        <v>2004</v>
      </c>
      <c r="K999" s="1" t="str">
        <f ca="1">IFERROR(__xludf.DUMMYFUNCTION("""COMPUTED_VALUE"""),"Earth and Environmental Science")</f>
        <v>Earth and Environmental Science</v>
      </c>
      <c r="L999" s="1" t="str">
        <f ca="1">IFERROR(__xludf.DUMMYFUNCTION("""COMPUTED_VALUE"""),"〇")</f>
        <v>〇</v>
      </c>
      <c r="M999" s="1"/>
      <c r="N999" s="1" t="str">
        <f ca="1">IFERROR(__xludf.DUMMYFUNCTION("""COMPUTED_VALUE"""),"TO12")</f>
        <v>TO12</v>
      </c>
      <c r="O999" s="1"/>
      <c r="P999" s="1"/>
    </row>
    <row r="1000" spans="1:16" ht="14.25" customHeight="1" x14ac:dyDescent="0.25">
      <c r="A1000" s="1"/>
      <c r="B1000" s="1">
        <f ca="1"/>
        <v>988</v>
      </c>
      <c r="C1000" s="1">
        <f ca="1">IFERROR(__xludf.DUMMYFUNCTION("""COMPUTED_VALUE"""),2023)</f>
        <v>2023</v>
      </c>
      <c r="D1000" s="1">
        <f ca="1">IFERROR(__xludf.DUMMYFUNCTION("""COMPUTED_VALUE"""),40889)</f>
        <v>40889</v>
      </c>
      <c r="E1000" s="1" t="str">
        <f ca="1">IFERROR(__xludf.DUMMYFUNCTION("""COMPUTED_VALUE"""),"International Journal of Ethics Education")</f>
        <v>International Journal of Ethics Education</v>
      </c>
      <c r="F1000" s="1" t="str">
        <f ca="1">IFERROR(__xludf.DUMMYFUNCTION("""COMPUTED_VALUE"""),"2364-0006")</f>
        <v>2364-0006</v>
      </c>
      <c r="G1000" s="1" t="str">
        <f ca="1">IFERROR(__xludf.DUMMYFUNCTION("""COMPUTED_VALUE"""),"2363-9997")</f>
        <v>2363-9997</v>
      </c>
      <c r="H1000" s="27" t="str">
        <f ca="1">IFERROR(__xludf.DUMMYFUNCTION("""COMPUTED_VALUE"""),"https://link.springer.com/journal/40889")</f>
        <v>https://link.springer.com/journal/40889</v>
      </c>
      <c r="I1000" s="1" t="str">
        <f ca="1">IFERROR(__xludf.DUMMYFUNCTION("""COMPUTED_VALUE"""),"Springer")</f>
        <v>Springer</v>
      </c>
      <c r="J1000" s="1">
        <f ca="1">IFERROR(__xludf.DUMMYFUNCTION("""COMPUTED_VALUE"""),2016)</f>
        <v>2016</v>
      </c>
      <c r="K1000" s="1" t="str">
        <f ca="1">IFERROR(__xludf.DUMMYFUNCTION("""COMPUTED_VALUE"""),"Education")</f>
        <v>Education</v>
      </c>
      <c r="L1000" s="1" t="str">
        <f ca="1">IFERROR(__xludf.DUMMYFUNCTION("""COMPUTED_VALUE"""),"〇")</f>
        <v>〇</v>
      </c>
      <c r="M1000" s="1"/>
      <c r="N1000" s="1" t="str">
        <f ca="1">IFERROR(__xludf.DUMMYFUNCTION("""COMPUTED_VALUE"""),"SNS16")</f>
        <v>SNS16</v>
      </c>
      <c r="O1000" s="1"/>
      <c r="P1000" s="1"/>
    </row>
    <row r="1001" spans="1:16" ht="14.25" customHeight="1" x14ac:dyDescent="0.25">
      <c r="A1001" s="1"/>
      <c r="B1001" s="1">
        <f ca="1"/>
        <v>989</v>
      </c>
      <c r="C1001" s="1">
        <f ca="1">IFERROR(__xludf.DUMMYFUNCTION("""COMPUTED_VALUE"""),2023)</f>
        <v>2023</v>
      </c>
      <c r="D1001" s="1">
        <f ca="1">IFERROR(__xludf.DUMMYFUNCTION("""COMPUTED_VALUE"""),10704)</f>
        <v>10704</v>
      </c>
      <c r="E1001" s="1" t="str">
        <f ca="1">IFERROR(__xludf.DUMMYFUNCTION("""COMPUTED_VALUE"""),"International Journal of Fracture")</f>
        <v>International Journal of Fracture</v>
      </c>
      <c r="F1001" s="1" t="str">
        <f ca="1">IFERROR(__xludf.DUMMYFUNCTION("""COMPUTED_VALUE"""),"1573-2673")</f>
        <v>1573-2673</v>
      </c>
      <c r="G1001" s="1" t="str">
        <f ca="1">IFERROR(__xludf.DUMMYFUNCTION("""COMPUTED_VALUE"""),"0376-9429")</f>
        <v>0376-9429</v>
      </c>
      <c r="H1001" s="27" t="str">
        <f ca="1">IFERROR(__xludf.DUMMYFUNCTION("""COMPUTED_VALUE"""),"https://link.springer.com/journal/10704")</f>
        <v>https://link.springer.com/journal/10704</v>
      </c>
      <c r="I1001" s="1" t="str">
        <f ca="1">IFERROR(__xludf.DUMMYFUNCTION("""COMPUTED_VALUE"""),"Springer")</f>
        <v>Springer</v>
      </c>
      <c r="J1001" s="1">
        <f ca="1">IFERROR(__xludf.DUMMYFUNCTION("""COMPUTED_VALUE"""),2000)</f>
        <v>2000</v>
      </c>
      <c r="K1001" s="1" t="str">
        <f ca="1">IFERROR(__xludf.DUMMYFUNCTION("""COMPUTED_VALUE"""),"Engineering")</f>
        <v>Engineering</v>
      </c>
      <c r="L1001" s="1" t="str">
        <f ca="1">IFERROR(__xludf.DUMMYFUNCTION("""COMPUTED_VALUE"""),"〇")</f>
        <v>〇</v>
      </c>
      <c r="M1001" s="1" t="str">
        <f ca="1">IFERROR(__xludf.DUMMYFUNCTION("""COMPUTED_VALUE"""),"〇")</f>
        <v>〇</v>
      </c>
      <c r="N1001" s="1"/>
      <c r="O1001" s="1"/>
      <c r="P1001" s="1"/>
    </row>
    <row r="1002" spans="1:16" ht="14.25" customHeight="1" x14ac:dyDescent="0.25">
      <c r="A1002" s="1"/>
      <c r="B1002" s="1">
        <f ca="1"/>
        <v>990</v>
      </c>
      <c r="C1002" s="1">
        <f ca="1">IFERROR(__xludf.DUMMYFUNCTION("""COMPUTED_VALUE"""),2023)</f>
        <v>2023</v>
      </c>
      <c r="D1002" s="1">
        <f ca="1">IFERROR(__xludf.DUMMYFUNCTION("""COMPUTED_VALUE"""),40815)</f>
        <v>40815</v>
      </c>
      <c r="E1002" s="1" t="str">
        <f ca="1">IFERROR(__xludf.DUMMYFUNCTION("""COMPUTED_VALUE"""),"International Journal of Fuzzy Systems")</f>
        <v>International Journal of Fuzzy Systems</v>
      </c>
      <c r="F1002" s="1" t="str">
        <f ca="1">IFERROR(__xludf.DUMMYFUNCTION("""COMPUTED_VALUE"""),"2199-3211")</f>
        <v>2199-3211</v>
      </c>
      <c r="G1002" s="1" t="str">
        <f ca="1">IFERROR(__xludf.DUMMYFUNCTION("""COMPUTED_VALUE"""),"1562-2479")</f>
        <v>1562-2479</v>
      </c>
      <c r="H1002" s="27" t="str">
        <f ca="1">IFERROR(__xludf.DUMMYFUNCTION("""COMPUTED_VALUE"""),"https://link.springer.com/journal/40815")</f>
        <v>https://link.springer.com/journal/40815</v>
      </c>
      <c r="I1002" s="1" t="str">
        <f ca="1">IFERROR(__xludf.DUMMYFUNCTION("""COMPUTED_VALUE"""),"Springer")</f>
        <v>Springer</v>
      </c>
      <c r="J1002" s="1">
        <f ca="1">IFERROR(__xludf.DUMMYFUNCTION("""COMPUTED_VALUE"""),2015)</f>
        <v>2015</v>
      </c>
      <c r="K1002" s="1" t="str">
        <f ca="1">IFERROR(__xludf.DUMMYFUNCTION("""COMPUTED_VALUE"""),"Engineering")</f>
        <v>Engineering</v>
      </c>
      <c r="L1002" s="1" t="str">
        <f ca="1">IFERROR(__xludf.DUMMYFUNCTION("""COMPUTED_VALUE"""),"〇")</f>
        <v>〇</v>
      </c>
      <c r="M1002" s="1"/>
      <c r="N1002" s="1" t="str">
        <f ca="1">IFERROR(__xludf.DUMMYFUNCTION("""COMPUTED_VALUE"""),"TO15")</f>
        <v>TO15</v>
      </c>
      <c r="O1002" s="1"/>
      <c r="P1002" s="1"/>
    </row>
    <row r="1003" spans="1:16" ht="14.25" customHeight="1" x14ac:dyDescent="0.25">
      <c r="A1003" s="1"/>
      <c r="B1003" s="1">
        <f ca="1"/>
        <v>991</v>
      </c>
      <c r="C1003" s="1">
        <f ca="1">IFERROR(__xludf.DUMMYFUNCTION("""COMPUTED_VALUE"""),2023)</f>
        <v>2023</v>
      </c>
      <c r="D1003" s="1">
        <f ca="1">IFERROR(__xludf.DUMMYFUNCTION("""COMPUTED_VALUE"""),182)</f>
        <v>182</v>
      </c>
      <c r="E1003" s="1" t="str">
        <f ca="1">IFERROR(__xludf.DUMMYFUNCTION("""COMPUTED_VALUE"""),"International Journal of Game Theory")</f>
        <v>International Journal of Game Theory</v>
      </c>
      <c r="F1003" s="1" t="str">
        <f ca="1">IFERROR(__xludf.DUMMYFUNCTION("""COMPUTED_VALUE"""),"1432-1270")</f>
        <v>1432-1270</v>
      </c>
      <c r="G1003" s="1" t="str">
        <f ca="1">IFERROR(__xludf.DUMMYFUNCTION("""COMPUTED_VALUE"""),"0020-7276")</f>
        <v>0020-7276</v>
      </c>
      <c r="H1003" s="27" t="str">
        <f ca="1">IFERROR(__xludf.DUMMYFUNCTION("""COMPUTED_VALUE"""),"https://link.springer.com/journal/182")</f>
        <v>https://link.springer.com/journal/182</v>
      </c>
      <c r="I1003" s="1" t="str">
        <f ca="1">IFERROR(__xludf.DUMMYFUNCTION("""COMPUTED_VALUE"""),"Springer")</f>
        <v>Springer</v>
      </c>
      <c r="J1003" s="1">
        <f ca="1">IFERROR(__xludf.DUMMYFUNCTION("""COMPUTED_VALUE"""),2000)</f>
        <v>2000</v>
      </c>
      <c r="K1003" s="1" t="str">
        <f ca="1">IFERROR(__xludf.DUMMYFUNCTION("""COMPUTED_VALUE"""),"Economics and Finance")</f>
        <v>Economics and Finance</v>
      </c>
      <c r="L1003" s="1" t="str">
        <f ca="1">IFERROR(__xludf.DUMMYFUNCTION("""COMPUTED_VALUE"""),"〇")</f>
        <v>〇</v>
      </c>
      <c r="M1003" s="1" t="str">
        <f ca="1">IFERROR(__xludf.DUMMYFUNCTION("""COMPUTED_VALUE"""),"〇")</f>
        <v>〇</v>
      </c>
      <c r="N1003" s="1"/>
      <c r="O1003" s="1"/>
      <c r="P1003" s="1"/>
    </row>
    <row r="1004" spans="1:16" ht="14.25" customHeight="1" x14ac:dyDescent="0.25">
      <c r="A1004" s="1"/>
      <c r="B1004" s="1">
        <f ca="1"/>
        <v>992</v>
      </c>
      <c r="C1004" s="1">
        <f ca="1">IFERROR(__xludf.DUMMYFUNCTION("""COMPUTED_VALUE"""),2023)</f>
        <v>2023</v>
      </c>
      <c r="D1004" s="1">
        <f ca="1">IFERROR(__xludf.DUMMYFUNCTION("""COMPUTED_VALUE"""),40891)</f>
        <v>40891</v>
      </c>
      <c r="E1004" s="1" t="str">
        <f ca="1">IFERROR(__xludf.DUMMYFUNCTION("""COMPUTED_VALUE"""),"International Journal of Geosynthetics and Ground Engineering")</f>
        <v>International Journal of Geosynthetics and Ground Engineering</v>
      </c>
      <c r="F1004" s="1" t="str">
        <f ca="1">IFERROR(__xludf.DUMMYFUNCTION("""COMPUTED_VALUE"""),"2199-9279")</f>
        <v>2199-9279</v>
      </c>
      <c r="G1004" s="1" t="str">
        <f ca="1">IFERROR(__xludf.DUMMYFUNCTION("""COMPUTED_VALUE"""),"2199-9260")</f>
        <v>2199-9260</v>
      </c>
      <c r="H1004" s="27" t="str">
        <f ca="1">IFERROR(__xludf.DUMMYFUNCTION("""COMPUTED_VALUE"""),"https://link.springer.com/journal/40891")</f>
        <v>https://link.springer.com/journal/40891</v>
      </c>
      <c r="I1004" s="1" t="str">
        <f ca="1">IFERROR(__xludf.DUMMYFUNCTION("""COMPUTED_VALUE"""),"Springer")</f>
        <v>Springer</v>
      </c>
      <c r="J1004" s="1">
        <f ca="1">IFERROR(__xludf.DUMMYFUNCTION("""COMPUTED_VALUE"""),2015)</f>
        <v>2015</v>
      </c>
      <c r="K1004" s="1" t="str">
        <f ca="1">IFERROR(__xludf.DUMMYFUNCTION("""COMPUTED_VALUE"""),"Engineering")</f>
        <v>Engineering</v>
      </c>
      <c r="L1004" s="1" t="str">
        <f ca="1">IFERROR(__xludf.DUMMYFUNCTION("""COMPUTED_VALUE"""),"〇")</f>
        <v>〇</v>
      </c>
      <c r="M1004" s="1"/>
      <c r="N1004" s="1" t="str">
        <f ca="1">IFERROR(__xludf.DUMMYFUNCTION("""COMPUTED_VALUE"""),"SNS15")</f>
        <v>SNS15</v>
      </c>
      <c r="O1004" s="1"/>
      <c r="P1004" s="1"/>
    </row>
    <row r="1005" spans="1:16" ht="14.25" customHeight="1" x14ac:dyDescent="0.25">
      <c r="A1005" s="1"/>
      <c r="B1005" s="1">
        <f ca="1"/>
        <v>993</v>
      </c>
      <c r="C1005" s="1">
        <f ca="1">IFERROR(__xludf.DUMMYFUNCTION("""COMPUTED_VALUE"""),2023)</f>
        <v>2023</v>
      </c>
      <c r="D1005" s="1">
        <f ca="1">IFERROR(__xludf.DUMMYFUNCTION("""COMPUTED_VALUE"""),42943)</f>
        <v>42943</v>
      </c>
      <c r="E1005" s="1" t="str">
        <f ca="1">IFERROR(__xludf.DUMMYFUNCTION("""COMPUTED_VALUE"""),"International Journal of Global Business and Competitiveness")</f>
        <v>International Journal of Global Business and Competitiveness</v>
      </c>
      <c r="F1005" s="1" t="str">
        <f ca="1">IFERROR(__xludf.DUMMYFUNCTION("""COMPUTED_VALUE"""),"0976-1888")</f>
        <v>0976-1888</v>
      </c>
      <c r="G1005" s="1"/>
      <c r="H1005" s="27" t="str">
        <f ca="1">IFERROR(__xludf.DUMMYFUNCTION("""COMPUTED_VALUE"""),"https://link.springer.com/journal/42943")</f>
        <v>https://link.springer.com/journal/42943</v>
      </c>
      <c r="I1005" s="1" t="str">
        <f ca="1">IFERROR(__xludf.DUMMYFUNCTION("""COMPUTED_VALUE"""),"Springer")</f>
        <v>Springer</v>
      </c>
      <c r="J1005" s="1">
        <f ca="1">IFERROR(__xludf.DUMMYFUNCTION("""COMPUTED_VALUE"""),2019)</f>
        <v>2019</v>
      </c>
      <c r="K1005" s="1" t="str">
        <f ca="1">IFERROR(__xludf.DUMMYFUNCTION("""COMPUTED_VALUE"""),"Business and Management")</f>
        <v>Business and Management</v>
      </c>
      <c r="L1005" s="1"/>
      <c r="M1005" s="1"/>
      <c r="N1005" s="1" t="str">
        <f ca="1">IFERROR(__xludf.DUMMYFUNCTION("""COMPUTED_VALUE"""),"TO19")</f>
        <v>TO19</v>
      </c>
      <c r="O1005" s="1"/>
      <c r="P1005" s="1"/>
    </row>
    <row r="1006" spans="1:16" ht="14.25" customHeight="1" x14ac:dyDescent="0.25">
      <c r="A1006" s="1"/>
      <c r="B1006" s="1">
        <f ca="1"/>
        <v>994</v>
      </c>
      <c r="C1006" s="1">
        <f ca="1">IFERROR(__xludf.DUMMYFUNCTION("""COMPUTED_VALUE"""),2023)</f>
        <v>2023</v>
      </c>
      <c r="D1006" s="1">
        <f ca="1">IFERROR(__xludf.DUMMYFUNCTION("""COMPUTED_VALUE"""),10754)</f>
        <v>10754</v>
      </c>
      <c r="E1006" s="1" t="str">
        <f ca="1">IFERROR(__xludf.DUMMYFUNCTION("""COMPUTED_VALUE"""),"International Journal of Health Economics and Management")</f>
        <v>International Journal of Health Economics and Management</v>
      </c>
      <c r="F1006" s="1" t="str">
        <f ca="1">IFERROR(__xludf.DUMMYFUNCTION("""COMPUTED_VALUE"""),"2199-9031")</f>
        <v>2199-9031</v>
      </c>
      <c r="G1006" s="1" t="str">
        <f ca="1">IFERROR(__xludf.DUMMYFUNCTION("""COMPUTED_VALUE"""),"2199-9023")</f>
        <v>2199-9023</v>
      </c>
      <c r="H1006" s="27" t="str">
        <f ca="1">IFERROR(__xludf.DUMMYFUNCTION("""COMPUTED_VALUE"""),"https://link.springer.com/journal/10754")</f>
        <v>https://link.springer.com/journal/10754</v>
      </c>
      <c r="I1006" s="1" t="str">
        <f ca="1">IFERROR(__xludf.DUMMYFUNCTION("""COMPUTED_VALUE"""),"Springer")</f>
        <v>Springer</v>
      </c>
      <c r="J1006" s="1">
        <f ca="1">IFERROR(__xludf.DUMMYFUNCTION("""COMPUTED_VALUE"""),2001)</f>
        <v>2001</v>
      </c>
      <c r="K1006" s="1" t="str">
        <f ca="1">IFERROR(__xludf.DUMMYFUNCTION("""COMPUTED_VALUE"""),"Medicine")</f>
        <v>Medicine</v>
      </c>
      <c r="L1006" s="1" t="str">
        <f ca="1">IFERROR(__xludf.DUMMYFUNCTION("""COMPUTED_VALUE"""),"〇")</f>
        <v>〇</v>
      </c>
      <c r="M1006" s="1" t="str">
        <f ca="1">IFERROR(__xludf.DUMMYFUNCTION("""COMPUTED_VALUE"""),"〇")</f>
        <v>〇</v>
      </c>
      <c r="N1006" s="1"/>
      <c r="O1006" s="1"/>
      <c r="P1006" s="1"/>
    </row>
    <row r="1007" spans="1:16" ht="14.25" customHeight="1" x14ac:dyDescent="0.25">
      <c r="A1007" s="1"/>
      <c r="B1007" s="1">
        <f ca="1"/>
        <v>995</v>
      </c>
      <c r="C1007" s="1">
        <f ca="1">IFERROR(__xludf.DUMMYFUNCTION("""COMPUTED_VALUE"""),2023)</f>
        <v>2023</v>
      </c>
      <c r="D1007" s="1">
        <f ca="1">IFERROR(__xludf.DUMMYFUNCTION("""COMPUTED_VALUE"""),12185)</f>
        <v>12185</v>
      </c>
      <c r="E1007" s="1" t="str">
        <f ca="1">IFERROR(__xludf.DUMMYFUNCTION("""COMPUTED_VALUE"""),"International Journal of Hematology")</f>
        <v>International Journal of Hematology</v>
      </c>
      <c r="F1007" s="1" t="str">
        <f ca="1">IFERROR(__xludf.DUMMYFUNCTION("""COMPUTED_VALUE"""),"1865-3774")</f>
        <v>1865-3774</v>
      </c>
      <c r="G1007" s="1" t="str">
        <f ca="1">IFERROR(__xludf.DUMMYFUNCTION("""COMPUTED_VALUE"""),"0925-5710")</f>
        <v>0925-5710</v>
      </c>
      <c r="H1007" s="27" t="str">
        <f ca="1">IFERROR(__xludf.DUMMYFUNCTION("""COMPUTED_VALUE"""),"https://link.springer.com/journal/12185")</f>
        <v>https://link.springer.com/journal/12185</v>
      </c>
      <c r="I1007" s="1" t="str">
        <f ca="1">IFERROR(__xludf.DUMMYFUNCTION("""COMPUTED_VALUE"""),"Springer")</f>
        <v>Springer</v>
      </c>
      <c r="J1007" s="1">
        <f ca="1">IFERROR(__xludf.DUMMYFUNCTION("""COMPUTED_VALUE"""),2001)</f>
        <v>2001</v>
      </c>
      <c r="K1007" s="1" t="str">
        <f ca="1">IFERROR(__xludf.DUMMYFUNCTION("""COMPUTED_VALUE"""),"Medicine")</f>
        <v>Medicine</v>
      </c>
      <c r="L1007" s="1" t="str">
        <f ca="1">IFERROR(__xludf.DUMMYFUNCTION("""COMPUTED_VALUE"""),"〇")</f>
        <v>〇</v>
      </c>
      <c r="M1007" s="1" t="str">
        <f ca="1">IFERROR(__xludf.DUMMYFUNCTION("""COMPUTED_VALUE"""),"〇")</f>
        <v>〇</v>
      </c>
      <c r="N1007" s="1" t="str">
        <f ca="1">IFERROR(__xludf.DUMMYFUNCTION("""COMPUTED_VALUE"""),"TO8")</f>
        <v>TO8</v>
      </c>
      <c r="O1007" s="1"/>
      <c r="P1007" s="1"/>
    </row>
    <row r="1008" spans="1:16" ht="14.25" customHeight="1" x14ac:dyDescent="0.25">
      <c r="A1008" s="1"/>
      <c r="B1008" s="1">
        <f ca="1"/>
        <v>996</v>
      </c>
      <c r="C1008" s="1">
        <f ca="1">IFERROR(__xludf.DUMMYFUNCTION("""COMPUTED_VALUE"""),2023)</f>
        <v>2023</v>
      </c>
      <c r="D1008" s="1">
        <f ca="1">IFERROR(__xludf.DUMMYFUNCTION("""COMPUTED_VALUE"""),11407)</f>
        <v>11407</v>
      </c>
      <c r="E1008" s="1" t="str">
        <f ca="1">IFERROR(__xludf.DUMMYFUNCTION("""COMPUTED_VALUE"""),"International Journal of Hindu Studies")</f>
        <v>International Journal of Hindu Studies</v>
      </c>
      <c r="F1008" s="1" t="str">
        <f ca="1">IFERROR(__xludf.DUMMYFUNCTION("""COMPUTED_VALUE"""),"1574-9282")</f>
        <v>1574-9282</v>
      </c>
      <c r="G1008" s="1" t="str">
        <f ca="1">IFERROR(__xludf.DUMMYFUNCTION("""COMPUTED_VALUE"""),"1022-4556")</f>
        <v>1022-4556</v>
      </c>
      <c r="H1008" s="27" t="str">
        <f ca="1">IFERROR(__xludf.DUMMYFUNCTION("""COMPUTED_VALUE"""),"https://link.springer.com/journal/11407")</f>
        <v>https://link.springer.com/journal/11407</v>
      </c>
      <c r="I1008" s="1" t="str">
        <f ca="1">IFERROR(__xludf.DUMMYFUNCTION("""COMPUTED_VALUE"""),"Springer")</f>
        <v>Springer</v>
      </c>
      <c r="J1008" s="1">
        <f ca="1">IFERROR(__xludf.DUMMYFUNCTION("""COMPUTED_VALUE"""),2000)</f>
        <v>2000</v>
      </c>
      <c r="K1008" s="1" t="str">
        <f ca="1">IFERROR(__xludf.DUMMYFUNCTION("""COMPUTED_VALUE"""),"Religion and Philosophy")</f>
        <v>Religion and Philosophy</v>
      </c>
      <c r="L1008" s="1" t="str">
        <f ca="1">IFERROR(__xludf.DUMMYFUNCTION("""COMPUTED_VALUE"""),"〇")</f>
        <v>〇</v>
      </c>
      <c r="M1008" s="1" t="str">
        <f ca="1">IFERROR(__xludf.DUMMYFUNCTION("""COMPUTED_VALUE"""),"〇")</f>
        <v>〇</v>
      </c>
      <c r="N1008" s="1"/>
      <c r="O1008" s="1"/>
      <c r="P1008" s="1"/>
    </row>
    <row r="1009" spans="1:16" ht="14.25" customHeight="1" x14ac:dyDescent="0.25">
      <c r="A1009" s="1"/>
      <c r="B1009" s="1">
        <f ca="1"/>
        <v>997</v>
      </c>
      <c r="C1009" s="1">
        <f ca="1">IFERROR(__xludf.DUMMYFUNCTION("""COMPUTED_VALUE"""),2023)</f>
        <v>2023</v>
      </c>
      <c r="D1009" s="1">
        <f ca="1">IFERROR(__xludf.DUMMYFUNCTION("""COMPUTED_VALUE"""),10761)</f>
        <v>10761</v>
      </c>
      <c r="E1009" s="1" t="str">
        <f ca="1">IFERROR(__xludf.DUMMYFUNCTION("""COMPUTED_VALUE"""),"International Journal of Historical Archaeology")</f>
        <v>International Journal of Historical Archaeology</v>
      </c>
      <c r="F1009" s="1" t="str">
        <f ca="1">IFERROR(__xludf.DUMMYFUNCTION("""COMPUTED_VALUE"""),"1573-7748")</f>
        <v>1573-7748</v>
      </c>
      <c r="G1009" s="1" t="str">
        <f ca="1">IFERROR(__xludf.DUMMYFUNCTION("""COMPUTED_VALUE"""),"1092-7697")</f>
        <v>1092-7697</v>
      </c>
      <c r="H1009" s="27" t="str">
        <f ca="1">IFERROR(__xludf.DUMMYFUNCTION("""COMPUTED_VALUE"""),"https://link.springer.com/journal/10761")</f>
        <v>https://link.springer.com/journal/10761</v>
      </c>
      <c r="I1009" s="1" t="str">
        <f ca="1">IFERROR(__xludf.DUMMYFUNCTION("""COMPUTED_VALUE"""),"Springer")</f>
        <v>Springer</v>
      </c>
      <c r="J1009" s="1">
        <f ca="1">IFERROR(__xludf.DUMMYFUNCTION("""COMPUTED_VALUE"""),2000)</f>
        <v>2000</v>
      </c>
      <c r="K1009" s="1" t="str">
        <f ca="1">IFERROR(__xludf.DUMMYFUNCTION("""COMPUTED_VALUE"""),"Social Sciences")</f>
        <v>Social Sciences</v>
      </c>
      <c r="L1009" s="1" t="str">
        <f ca="1">IFERROR(__xludf.DUMMYFUNCTION("""COMPUTED_VALUE"""),"〇")</f>
        <v>〇</v>
      </c>
      <c r="M1009" s="1" t="str">
        <f ca="1">IFERROR(__xludf.DUMMYFUNCTION("""COMPUTED_VALUE"""),"〇")</f>
        <v>〇</v>
      </c>
      <c r="N1009" s="1"/>
      <c r="O1009" s="1"/>
      <c r="P1009" s="1"/>
    </row>
    <row r="1010" spans="1:16" ht="14.25" customHeight="1" x14ac:dyDescent="0.25">
      <c r="A1010" s="1"/>
      <c r="B1010" s="1">
        <f ca="1"/>
        <v>998</v>
      </c>
      <c r="C1010" s="1">
        <f ca="1">IFERROR(__xludf.DUMMYFUNCTION("""COMPUTED_VALUE"""),2023)</f>
        <v>2023</v>
      </c>
      <c r="D1010" s="1">
        <f ca="1">IFERROR(__xludf.DUMMYFUNCTION("""COMPUTED_VALUE"""),10207)</f>
        <v>10207</v>
      </c>
      <c r="E1010" s="1" t="str">
        <f ca="1">IFERROR(__xludf.DUMMYFUNCTION("""COMPUTED_VALUE"""),"International Journal of Information Security")</f>
        <v>International Journal of Information Security</v>
      </c>
      <c r="F1010" s="1" t="str">
        <f ca="1">IFERROR(__xludf.DUMMYFUNCTION("""COMPUTED_VALUE"""),"1615-5270")</f>
        <v>1615-5270</v>
      </c>
      <c r="G1010" s="1" t="str">
        <f ca="1">IFERROR(__xludf.DUMMYFUNCTION("""COMPUTED_VALUE"""),"1615-5262")</f>
        <v>1615-5262</v>
      </c>
      <c r="H1010" s="27" t="str">
        <f ca="1">IFERROR(__xludf.DUMMYFUNCTION("""COMPUTED_VALUE"""),"https://link.springer.com/journal/10207")</f>
        <v>https://link.springer.com/journal/10207</v>
      </c>
      <c r="I1010" s="1" t="str">
        <f ca="1">IFERROR(__xludf.DUMMYFUNCTION("""COMPUTED_VALUE"""),"Springer")</f>
        <v>Springer</v>
      </c>
      <c r="J1010" s="1">
        <f ca="1">IFERROR(__xludf.DUMMYFUNCTION("""COMPUTED_VALUE"""),2001)</f>
        <v>2001</v>
      </c>
      <c r="K1010" s="1" t="str">
        <f ca="1">IFERROR(__xludf.DUMMYFUNCTION("""COMPUTED_VALUE"""),"Computer Science")</f>
        <v>Computer Science</v>
      </c>
      <c r="L1010" s="1" t="str">
        <f ca="1">IFERROR(__xludf.DUMMYFUNCTION("""COMPUTED_VALUE"""),"〇")</f>
        <v>〇</v>
      </c>
      <c r="M1010" s="1" t="str">
        <f ca="1">IFERROR(__xludf.DUMMYFUNCTION("""COMPUTED_VALUE"""),"〇")</f>
        <v>〇</v>
      </c>
      <c r="N1010" s="1"/>
      <c r="O1010" s="1"/>
      <c r="P1010" s="1"/>
    </row>
    <row r="1011" spans="1:16" ht="14.25" customHeight="1" x14ac:dyDescent="0.25">
      <c r="A1011" s="1"/>
      <c r="B1011" s="1">
        <f ca="1"/>
        <v>999</v>
      </c>
      <c r="C1011" s="1">
        <f ca="1">IFERROR(__xludf.DUMMYFUNCTION("""COMPUTED_VALUE"""),2023)</f>
        <v>2023</v>
      </c>
      <c r="D1011" s="1">
        <f ca="1">IFERROR(__xludf.DUMMYFUNCTION("""COMPUTED_VALUE"""),41870)</f>
        <v>41870</v>
      </c>
      <c r="E1011" s="1" t="str">
        <f ca="1">IFERROR(__xludf.DUMMYFUNCTION("""COMPUTED_VALUE"""),"International Journal of Information Technology")</f>
        <v>International Journal of Information Technology</v>
      </c>
      <c r="F1011" s="1" t="str">
        <f ca="1">IFERROR(__xludf.DUMMYFUNCTION("""COMPUTED_VALUE"""),"2511-2112")</f>
        <v>2511-2112</v>
      </c>
      <c r="G1011" s="1" t="str">
        <f ca="1">IFERROR(__xludf.DUMMYFUNCTION("""COMPUTED_VALUE"""),"2511-2104")</f>
        <v>2511-2104</v>
      </c>
      <c r="H1011" s="27" t="str">
        <f ca="1">IFERROR(__xludf.DUMMYFUNCTION("""COMPUTED_VALUE"""),"https://link.springer.com/journal/41870")</f>
        <v>https://link.springer.com/journal/41870</v>
      </c>
      <c r="I1011" s="1" t="str">
        <f ca="1">IFERROR(__xludf.DUMMYFUNCTION("""COMPUTED_VALUE"""),"Springer")</f>
        <v>Springer</v>
      </c>
      <c r="J1011" s="1">
        <f ca="1">IFERROR(__xludf.DUMMYFUNCTION("""COMPUTED_VALUE"""),2017)</f>
        <v>2017</v>
      </c>
      <c r="K1011" s="1" t="str">
        <f ca="1">IFERROR(__xludf.DUMMYFUNCTION("""COMPUTED_VALUE"""),"Computer Science")</f>
        <v>Computer Science</v>
      </c>
      <c r="L1011" s="1" t="str">
        <f ca="1">IFERROR(__xludf.DUMMYFUNCTION("""COMPUTED_VALUE"""),"〇")</f>
        <v>〇</v>
      </c>
      <c r="M1011" s="1"/>
      <c r="N1011" s="1" t="str">
        <f ca="1">IFERROR(__xludf.DUMMYFUNCTION("""COMPUTED_VALUE"""),"TO17")</f>
        <v>TO17</v>
      </c>
      <c r="O1011" s="1"/>
      <c r="P1011" s="1"/>
    </row>
    <row r="1012" spans="1:16" ht="14.25" customHeight="1" x14ac:dyDescent="0.25">
      <c r="A1012" s="1"/>
      <c r="B1012" s="1">
        <f ca="1"/>
        <v>1000</v>
      </c>
      <c r="C1012" s="1">
        <f ca="1">IFERROR(__xludf.DUMMYFUNCTION("""COMPUTED_VALUE"""),2023)</f>
        <v>2023</v>
      </c>
      <c r="D1012" s="1">
        <f ca="1">IFERROR(__xludf.DUMMYFUNCTION("""COMPUTED_VALUE"""),41315)</f>
        <v>41315</v>
      </c>
      <c r="E1012" s="1" t="str">
        <f ca="1">IFERROR(__xludf.DUMMYFUNCTION("""COMPUTED_VALUE"""),"International Journal of Intelligent Robotics and Applications")</f>
        <v>International Journal of Intelligent Robotics and Applications</v>
      </c>
      <c r="F1012" s="1" t="str">
        <f ca="1">IFERROR(__xludf.DUMMYFUNCTION("""COMPUTED_VALUE"""),"2366-598X")</f>
        <v>2366-598X</v>
      </c>
      <c r="G1012" s="1" t="str">
        <f ca="1">IFERROR(__xludf.DUMMYFUNCTION("""COMPUTED_VALUE"""),"2366-5971")</f>
        <v>2366-5971</v>
      </c>
      <c r="H1012" s="27" t="str">
        <f ca="1">IFERROR(__xludf.DUMMYFUNCTION("""COMPUTED_VALUE"""),"https://link.springer.com/journal/41315")</f>
        <v>https://link.springer.com/journal/41315</v>
      </c>
      <c r="I1012" s="1" t="str">
        <f ca="1">IFERROR(__xludf.DUMMYFUNCTION("""COMPUTED_VALUE"""),"Springer")</f>
        <v>Springer</v>
      </c>
      <c r="J1012" s="1">
        <f ca="1">IFERROR(__xludf.DUMMYFUNCTION("""COMPUTED_VALUE"""),2017)</f>
        <v>2017</v>
      </c>
      <c r="K1012" s="1" t="str">
        <f ca="1">IFERROR(__xludf.DUMMYFUNCTION("""COMPUTED_VALUE"""),"Computer Science")</f>
        <v>Computer Science</v>
      </c>
      <c r="L1012" s="1" t="str">
        <f ca="1">IFERROR(__xludf.DUMMYFUNCTION("""COMPUTED_VALUE"""),"〇")</f>
        <v>〇</v>
      </c>
      <c r="M1012" s="1"/>
      <c r="N1012" s="1" t="str">
        <f ca="1">IFERROR(__xludf.DUMMYFUNCTION("""COMPUTED_VALUE"""),"SNS17")</f>
        <v>SNS17</v>
      </c>
      <c r="O1012" s="1"/>
      <c r="P1012" s="1"/>
    </row>
    <row r="1013" spans="1:16" ht="14.25" customHeight="1" x14ac:dyDescent="0.25">
      <c r="A1013" s="1"/>
      <c r="B1013" s="1">
        <f ca="1"/>
        <v>1001</v>
      </c>
      <c r="C1013" s="1">
        <f ca="1">IFERROR(__xludf.DUMMYFUNCTION("""COMPUTED_VALUE"""),2023)</f>
        <v>2023</v>
      </c>
      <c r="D1013" s="1">
        <f ca="1">IFERROR(__xludf.DUMMYFUNCTION("""COMPUTED_VALUE"""),13177)</f>
        <v>13177</v>
      </c>
      <c r="E1013" s="1" t="str">
        <f ca="1">IFERROR(__xludf.DUMMYFUNCTION("""COMPUTED_VALUE"""),"International Journal of Intelligent Transportation Systems Research")</f>
        <v>International Journal of Intelligent Transportation Systems Research</v>
      </c>
      <c r="F1013" s="1" t="str">
        <f ca="1">IFERROR(__xludf.DUMMYFUNCTION("""COMPUTED_VALUE"""),"1868-8659")</f>
        <v>1868-8659</v>
      </c>
      <c r="G1013" s="1" t="str">
        <f ca="1">IFERROR(__xludf.DUMMYFUNCTION("""COMPUTED_VALUE"""),"1348-8503")</f>
        <v>1348-8503</v>
      </c>
      <c r="H1013" s="27" t="str">
        <f ca="1">IFERROR(__xludf.DUMMYFUNCTION("""COMPUTED_VALUE"""),"https://link.springer.com/journal/13177")</f>
        <v>https://link.springer.com/journal/13177</v>
      </c>
      <c r="I1013" s="1" t="str">
        <f ca="1">IFERROR(__xludf.DUMMYFUNCTION("""COMPUTED_VALUE"""),"Springer")</f>
        <v>Springer</v>
      </c>
      <c r="J1013" s="1">
        <f ca="1">IFERROR(__xludf.DUMMYFUNCTION("""COMPUTED_VALUE"""),2010)</f>
        <v>2010</v>
      </c>
      <c r="K1013" s="1" t="str">
        <f ca="1">IFERROR(__xludf.DUMMYFUNCTION("""COMPUTED_VALUE"""),"Engineering")</f>
        <v>Engineering</v>
      </c>
      <c r="L1013" s="1" t="str">
        <f ca="1">IFERROR(__xludf.DUMMYFUNCTION("""COMPUTED_VALUE"""),"〇")</f>
        <v>〇</v>
      </c>
      <c r="M1013" s="1"/>
      <c r="N1013" s="1" t="str">
        <f ca="1">IFERROR(__xludf.DUMMYFUNCTION("""COMPUTED_VALUE"""),"TO10")</f>
        <v>TO10</v>
      </c>
      <c r="O1013" s="1"/>
      <c r="P1013" s="1"/>
    </row>
    <row r="1014" spans="1:16" ht="14.25" customHeight="1" x14ac:dyDescent="0.25">
      <c r="A1014" s="1"/>
      <c r="B1014" s="1">
        <f ca="1"/>
        <v>1002</v>
      </c>
      <c r="C1014" s="1">
        <f ca="1">IFERROR(__xludf.DUMMYFUNCTION("""COMPUTED_VALUE"""),2023)</f>
        <v>2023</v>
      </c>
      <c r="D1014" s="1">
        <f ca="1">IFERROR(__xludf.DUMMYFUNCTION("""COMPUTED_VALUE"""),41603)</f>
        <v>41603</v>
      </c>
      <c r="E1014" s="1" t="str">
        <f ca="1">IFERROR(__xludf.DUMMYFUNCTION("""COMPUTED_VALUE"""),"International Journal of Latin American Religions")</f>
        <v>International Journal of Latin American Religions</v>
      </c>
      <c r="F1014" s="1" t="str">
        <f ca="1">IFERROR(__xludf.DUMMYFUNCTION("""COMPUTED_VALUE"""),"2509-9965")</f>
        <v>2509-9965</v>
      </c>
      <c r="G1014" s="1" t="str">
        <f ca="1">IFERROR(__xludf.DUMMYFUNCTION("""COMPUTED_VALUE"""),"2509-9957")</f>
        <v>2509-9957</v>
      </c>
      <c r="H1014" s="27" t="str">
        <f ca="1">IFERROR(__xludf.DUMMYFUNCTION("""COMPUTED_VALUE"""),"https://link.springer.com/journal/41603")</f>
        <v>https://link.springer.com/journal/41603</v>
      </c>
      <c r="I1014" s="1" t="str">
        <f ca="1">IFERROR(__xludf.DUMMYFUNCTION("""COMPUTED_VALUE"""),"Springer")</f>
        <v>Springer</v>
      </c>
      <c r="J1014" s="1">
        <f ca="1">IFERROR(__xludf.DUMMYFUNCTION("""COMPUTED_VALUE"""),2017)</f>
        <v>2017</v>
      </c>
      <c r="K1014" s="1" t="str">
        <f ca="1">IFERROR(__xludf.DUMMYFUNCTION("""COMPUTED_VALUE"""),"Social Sciences")</f>
        <v>Social Sciences</v>
      </c>
      <c r="L1014" s="1" t="str">
        <f ca="1">IFERROR(__xludf.DUMMYFUNCTION("""COMPUTED_VALUE"""),"〇")</f>
        <v>〇</v>
      </c>
      <c r="M1014" s="1"/>
      <c r="N1014" s="1" t="str">
        <f ca="1">IFERROR(__xludf.DUMMYFUNCTION("""COMPUTED_VALUE"""),"SNS17")</f>
        <v>SNS17</v>
      </c>
      <c r="O1014" s="1"/>
      <c r="P1014" s="1"/>
    </row>
    <row r="1015" spans="1:16" ht="14.25" customHeight="1" x14ac:dyDescent="0.25">
      <c r="A1015" s="1"/>
      <c r="B1015" s="1">
        <f ca="1"/>
        <v>1003</v>
      </c>
      <c r="C1015" s="1">
        <f ca="1">IFERROR(__xludf.DUMMYFUNCTION("""COMPUTED_VALUE"""),2023)</f>
        <v>2023</v>
      </c>
      <c r="D1015" s="1">
        <f ca="1">IFERROR(__xludf.DUMMYFUNCTION("""COMPUTED_VALUE"""),414)</f>
        <v>414</v>
      </c>
      <c r="E1015" s="1" t="str">
        <f ca="1">IFERROR(__xludf.DUMMYFUNCTION("""COMPUTED_VALUE"""),"International Journal of Legal Medicine")</f>
        <v>International Journal of Legal Medicine</v>
      </c>
      <c r="F1015" s="1" t="str">
        <f ca="1">IFERROR(__xludf.DUMMYFUNCTION("""COMPUTED_VALUE"""),"1437-1596")</f>
        <v>1437-1596</v>
      </c>
      <c r="G1015" s="1" t="str">
        <f ca="1">IFERROR(__xludf.DUMMYFUNCTION("""COMPUTED_VALUE"""),"0937-9827")</f>
        <v>0937-9827</v>
      </c>
      <c r="H1015" s="27" t="str">
        <f ca="1">IFERROR(__xludf.DUMMYFUNCTION("""COMPUTED_VALUE"""),"https://link.springer.com/journal/414")</f>
        <v>https://link.springer.com/journal/414</v>
      </c>
      <c r="I1015" s="1" t="str">
        <f ca="1">IFERROR(__xludf.DUMMYFUNCTION("""COMPUTED_VALUE"""),"Springer")</f>
        <v>Springer</v>
      </c>
      <c r="J1015" s="1">
        <f ca="1">IFERROR(__xludf.DUMMYFUNCTION("""COMPUTED_VALUE"""),2000)</f>
        <v>2000</v>
      </c>
      <c r="K1015" s="1" t="str">
        <f ca="1">IFERROR(__xludf.DUMMYFUNCTION("""COMPUTED_VALUE"""),"Medicine")</f>
        <v>Medicine</v>
      </c>
      <c r="L1015" s="1" t="str">
        <f ca="1">IFERROR(__xludf.DUMMYFUNCTION("""COMPUTED_VALUE"""),"〇")</f>
        <v>〇</v>
      </c>
      <c r="M1015" s="1" t="str">
        <f ca="1">IFERROR(__xludf.DUMMYFUNCTION("""COMPUTED_VALUE"""),"〇")</f>
        <v>〇</v>
      </c>
      <c r="N1015" s="1"/>
      <c r="O1015" s="1"/>
      <c r="P1015" s="1"/>
    </row>
    <row r="1016" spans="1:16" ht="14.25" customHeight="1" x14ac:dyDescent="0.25">
      <c r="A1016" s="1"/>
      <c r="B1016" s="1">
        <f ca="1"/>
        <v>1004</v>
      </c>
      <c r="C1016" s="1">
        <f ca="1">IFERROR(__xludf.DUMMYFUNCTION("""COMPUTED_VALUE"""),2023)</f>
        <v>2023</v>
      </c>
      <c r="D1016" s="1">
        <f ca="1">IFERROR(__xludf.DUMMYFUNCTION("""COMPUTED_VALUE"""),13042)</f>
        <v>13042</v>
      </c>
      <c r="E1016" s="1" t="str">
        <f ca="1">IFERROR(__xludf.DUMMYFUNCTION("""COMPUTED_VALUE"""),"International Journal of Machine Learning and Cybernetics")</f>
        <v>International Journal of Machine Learning and Cybernetics</v>
      </c>
      <c r="F1016" s="1" t="str">
        <f ca="1">IFERROR(__xludf.DUMMYFUNCTION("""COMPUTED_VALUE"""),"1868-808X")</f>
        <v>1868-808X</v>
      </c>
      <c r="G1016" s="1" t="str">
        <f ca="1">IFERROR(__xludf.DUMMYFUNCTION("""COMPUTED_VALUE"""),"1868-8071")</f>
        <v>1868-8071</v>
      </c>
      <c r="H1016" s="27" t="str">
        <f ca="1">IFERROR(__xludf.DUMMYFUNCTION("""COMPUTED_VALUE"""),"https://link.springer.com/journal/13042")</f>
        <v>https://link.springer.com/journal/13042</v>
      </c>
      <c r="I1016" s="1" t="str">
        <f ca="1">IFERROR(__xludf.DUMMYFUNCTION("""COMPUTED_VALUE"""),"Springer")</f>
        <v>Springer</v>
      </c>
      <c r="J1016" s="1">
        <f ca="1">IFERROR(__xludf.DUMMYFUNCTION("""COMPUTED_VALUE"""),2010)</f>
        <v>2010</v>
      </c>
      <c r="K1016" s="1" t="str">
        <f ca="1">IFERROR(__xludf.DUMMYFUNCTION("""COMPUTED_VALUE"""),"Engineering")</f>
        <v>Engineering</v>
      </c>
      <c r="L1016" s="1" t="str">
        <f ca="1">IFERROR(__xludf.DUMMYFUNCTION("""COMPUTED_VALUE"""),"〇")</f>
        <v>〇</v>
      </c>
      <c r="M1016" s="1" t="str">
        <f ca="1">IFERROR(__xludf.DUMMYFUNCTION("""COMPUTED_VALUE"""),"〇")</f>
        <v>〇</v>
      </c>
      <c r="N1016" s="1" t="str">
        <f ca="1">IFERROR(__xludf.DUMMYFUNCTION("""COMPUTED_VALUE"""),"SNS10")</f>
        <v>SNS10</v>
      </c>
      <c r="O1016" s="1"/>
      <c r="P1016" s="1"/>
    </row>
    <row r="1017" spans="1:16" ht="14.25" customHeight="1" x14ac:dyDescent="0.25">
      <c r="A1017" s="1"/>
      <c r="B1017" s="1">
        <f ca="1"/>
        <v>1005</v>
      </c>
      <c r="C1017" s="1">
        <f ca="1">IFERROR(__xludf.DUMMYFUNCTION("""COMPUTED_VALUE"""),2023)</f>
        <v>2023</v>
      </c>
      <c r="D1017" s="1">
        <f ca="1">IFERROR(__xludf.DUMMYFUNCTION("""COMPUTED_VALUE"""),12289)</f>
        <v>12289</v>
      </c>
      <c r="E1017" s="1" t="str">
        <f ca="1">IFERROR(__xludf.DUMMYFUNCTION("""COMPUTED_VALUE"""),"International Journal of Material Forming")</f>
        <v>International Journal of Material Forming</v>
      </c>
      <c r="F1017" s="1" t="str">
        <f ca="1">IFERROR(__xludf.DUMMYFUNCTION("""COMPUTED_VALUE"""),"1960-6214")</f>
        <v>1960-6214</v>
      </c>
      <c r="G1017" s="1" t="str">
        <f ca="1">IFERROR(__xludf.DUMMYFUNCTION("""COMPUTED_VALUE"""),"1960-6206")</f>
        <v>1960-6206</v>
      </c>
      <c r="H1017" s="27" t="str">
        <f ca="1">IFERROR(__xludf.DUMMYFUNCTION("""COMPUTED_VALUE"""),"https://link.springer.com/journal/12289")</f>
        <v>https://link.springer.com/journal/12289</v>
      </c>
      <c r="I1017" s="1" t="str">
        <f ca="1">IFERROR(__xludf.DUMMYFUNCTION("""COMPUTED_VALUE"""),"Springer")</f>
        <v>Springer</v>
      </c>
      <c r="J1017" s="1">
        <f ca="1">IFERROR(__xludf.DUMMYFUNCTION("""COMPUTED_VALUE"""),2008)</f>
        <v>2008</v>
      </c>
      <c r="K1017" s="1" t="str">
        <f ca="1">IFERROR(__xludf.DUMMYFUNCTION("""COMPUTED_VALUE"""),"Engineering")</f>
        <v>Engineering</v>
      </c>
      <c r="L1017" s="1" t="str">
        <f ca="1">IFERROR(__xludf.DUMMYFUNCTION("""COMPUTED_VALUE"""),"〇")</f>
        <v>〇</v>
      </c>
      <c r="M1017" s="1" t="str">
        <f ca="1">IFERROR(__xludf.DUMMYFUNCTION("""COMPUTED_VALUE"""),"〇")</f>
        <v>〇</v>
      </c>
      <c r="N1017" s="1" t="str">
        <f ca="1">IFERROR(__xludf.DUMMYFUNCTION("""COMPUTED_VALUE"""),"SNS8")</f>
        <v>SNS8</v>
      </c>
      <c r="O1017" s="1"/>
      <c r="P1017" s="1"/>
    </row>
    <row r="1018" spans="1:16" ht="14.25" customHeight="1" x14ac:dyDescent="0.25">
      <c r="A1018" s="1"/>
      <c r="B1018" s="1">
        <f ca="1"/>
        <v>1006</v>
      </c>
      <c r="C1018" s="1">
        <f ca="1">IFERROR(__xludf.DUMMYFUNCTION("""COMPUTED_VALUE"""),2023)</f>
        <v>2023</v>
      </c>
      <c r="D1018" s="1">
        <f ca="1">IFERROR(__xludf.DUMMYFUNCTION("""COMPUTED_VALUE"""),10999)</f>
        <v>10999</v>
      </c>
      <c r="E1018" s="1" t="str">
        <f ca="1">IFERROR(__xludf.DUMMYFUNCTION("""COMPUTED_VALUE"""),"International Journal of Mechanics and Materials in Design")</f>
        <v>International Journal of Mechanics and Materials in Design</v>
      </c>
      <c r="F1018" s="1" t="str">
        <f ca="1">IFERROR(__xludf.DUMMYFUNCTION("""COMPUTED_VALUE"""),"1573-8841")</f>
        <v>1573-8841</v>
      </c>
      <c r="G1018" s="1" t="str">
        <f ca="1">IFERROR(__xludf.DUMMYFUNCTION("""COMPUTED_VALUE"""),"1569-1713")</f>
        <v>1569-1713</v>
      </c>
      <c r="H1018" s="27" t="str">
        <f ca="1">IFERROR(__xludf.DUMMYFUNCTION("""COMPUTED_VALUE"""),"https://link.springer.com/journal/10999")</f>
        <v>https://link.springer.com/journal/10999</v>
      </c>
      <c r="I1018" s="1" t="str">
        <f ca="1">IFERROR(__xludf.DUMMYFUNCTION("""COMPUTED_VALUE"""),"Springer")</f>
        <v>Springer</v>
      </c>
      <c r="J1018" s="1">
        <f ca="1">IFERROR(__xludf.DUMMYFUNCTION("""COMPUTED_VALUE"""),2004)</f>
        <v>2004</v>
      </c>
      <c r="K1018" s="1" t="str">
        <f ca="1">IFERROR(__xludf.DUMMYFUNCTION("""COMPUTED_VALUE"""),"Engineering")</f>
        <v>Engineering</v>
      </c>
      <c r="L1018" s="1" t="str">
        <f ca="1">IFERROR(__xludf.DUMMYFUNCTION("""COMPUTED_VALUE"""),"〇")</f>
        <v>〇</v>
      </c>
      <c r="M1018" s="1" t="str">
        <f ca="1">IFERROR(__xludf.DUMMYFUNCTION("""COMPUTED_VALUE"""),"〇")</f>
        <v>〇</v>
      </c>
      <c r="N1018" s="1"/>
      <c r="O1018" s="1"/>
      <c r="P1018" s="1"/>
    </row>
    <row r="1019" spans="1:16" ht="14.25" customHeight="1" x14ac:dyDescent="0.25">
      <c r="A1019" s="1"/>
      <c r="B1019" s="1">
        <f ca="1"/>
        <v>1007</v>
      </c>
      <c r="C1019" s="1">
        <f ca="1">IFERROR(__xludf.DUMMYFUNCTION("""COMPUTED_VALUE"""),2023)</f>
        <v>2023</v>
      </c>
      <c r="D1019" s="1">
        <f ca="1">IFERROR(__xludf.DUMMYFUNCTION("""COMPUTED_VALUE"""),11469)</f>
        <v>11469</v>
      </c>
      <c r="E1019" s="1" t="str">
        <f ca="1">IFERROR(__xludf.DUMMYFUNCTION("""COMPUTED_VALUE"""),"International Journal of Mental Health and Addiction")</f>
        <v>International Journal of Mental Health and Addiction</v>
      </c>
      <c r="F1019" s="1" t="str">
        <f ca="1">IFERROR(__xludf.DUMMYFUNCTION("""COMPUTED_VALUE"""),"1557-1882")</f>
        <v>1557-1882</v>
      </c>
      <c r="G1019" s="1" t="str">
        <f ca="1">IFERROR(__xludf.DUMMYFUNCTION("""COMPUTED_VALUE"""),"1557-1874")</f>
        <v>1557-1874</v>
      </c>
      <c r="H1019" s="27" t="str">
        <f ca="1">IFERROR(__xludf.DUMMYFUNCTION("""COMPUTED_VALUE"""),"https://link.springer.com/journal/11469")</f>
        <v>https://link.springer.com/journal/11469</v>
      </c>
      <c r="I1019" s="1" t="str">
        <f ca="1">IFERROR(__xludf.DUMMYFUNCTION("""COMPUTED_VALUE"""),"Springer")</f>
        <v>Springer</v>
      </c>
      <c r="J1019" s="1">
        <f ca="1">IFERROR(__xludf.DUMMYFUNCTION("""COMPUTED_VALUE"""),2006)</f>
        <v>2006</v>
      </c>
      <c r="K1019" s="1" t="str">
        <f ca="1">IFERROR(__xludf.DUMMYFUNCTION("""COMPUTED_VALUE"""),"Medicine")</f>
        <v>Medicine</v>
      </c>
      <c r="L1019" s="1" t="str">
        <f ca="1">IFERROR(__xludf.DUMMYFUNCTION("""COMPUTED_VALUE"""),"〇")</f>
        <v>〇</v>
      </c>
      <c r="M1019" s="1" t="str">
        <f ca="1">IFERROR(__xludf.DUMMYFUNCTION("""COMPUTED_VALUE"""),"〇")</f>
        <v>〇</v>
      </c>
      <c r="N1019" s="1"/>
      <c r="O1019" s="1"/>
      <c r="P1019" s="1"/>
    </row>
    <row r="1020" spans="1:16" ht="14.25" customHeight="1" x14ac:dyDescent="0.25">
      <c r="A1020" s="1"/>
      <c r="B1020" s="1">
        <f ca="1"/>
        <v>1008</v>
      </c>
      <c r="C1020" s="1">
        <f ca="1">IFERROR(__xludf.DUMMYFUNCTION("""COMPUTED_VALUE"""),2023)</f>
        <v>2023</v>
      </c>
      <c r="D1020" s="1">
        <f ca="1">IFERROR(__xludf.DUMMYFUNCTION("""COMPUTED_VALUE"""),40962)</f>
        <v>40962</v>
      </c>
      <c r="E1020" s="1" t="str">
        <f ca="1">IFERROR(__xludf.DUMMYFUNCTION("""COMPUTED_VALUE"""),"International Journal of Metalcasting")</f>
        <v>International Journal of Metalcasting</v>
      </c>
      <c r="F1020" s="1" t="str">
        <f ca="1">IFERROR(__xludf.DUMMYFUNCTION("""COMPUTED_VALUE"""),"2163-3193")</f>
        <v>2163-3193</v>
      </c>
      <c r="G1020" s="1" t="str">
        <f ca="1">IFERROR(__xludf.DUMMYFUNCTION("""COMPUTED_VALUE"""),"1939-5981")</f>
        <v>1939-5981</v>
      </c>
      <c r="H1020" s="27" t="str">
        <f ca="1">IFERROR(__xludf.DUMMYFUNCTION("""COMPUTED_VALUE"""),"https://link.springer.com/journal/40962")</f>
        <v>https://link.springer.com/journal/40962</v>
      </c>
      <c r="I1020" s="1" t="str">
        <f ca="1">IFERROR(__xludf.DUMMYFUNCTION("""COMPUTED_VALUE"""),"Springer")</f>
        <v>Springer</v>
      </c>
      <c r="J1020" s="1">
        <f ca="1">IFERROR(__xludf.DUMMYFUNCTION("""COMPUTED_VALUE"""),2007)</f>
        <v>2007</v>
      </c>
      <c r="K1020" s="1" t="str">
        <f ca="1">IFERROR(__xludf.DUMMYFUNCTION("""COMPUTED_VALUE"""),"Chemistry and Materials Science")</f>
        <v>Chemistry and Materials Science</v>
      </c>
      <c r="L1020" s="1" t="str">
        <f ca="1">IFERROR(__xludf.DUMMYFUNCTION("""COMPUTED_VALUE"""),"〇")</f>
        <v>〇</v>
      </c>
      <c r="M1020" s="1"/>
      <c r="N1020" s="1" t="str">
        <f ca="1">IFERROR(__xludf.DUMMYFUNCTION("""COMPUTED_VALUE"""),"TO16")</f>
        <v>TO16</v>
      </c>
      <c r="O1020" s="1"/>
      <c r="P1020" s="1"/>
    </row>
    <row r="1021" spans="1:16" ht="14.25" customHeight="1" x14ac:dyDescent="0.25">
      <c r="A1021" s="1"/>
      <c r="B1021" s="1">
        <f ca="1"/>
        <v>1009</v>
      </c>
      <c r="C1021" s="1">
        <f ca="1">IFERROR(__xludf.DUMMYFUNCTION("""COMPUTED_VALUE"""),2023)</f>
        <v>2023</v>
      </c>
      <c r="D1021" s="1">
        <f ca="1">IFERROR(__xludf.DUMMYFUNCTION("""COMPUTED_VALUE"""),12613)</f>
        <v>12613</v>
      </c>
      <c r="E1021" s="1" t="str">
        <f ca="1">IFERROR(__xludf.DUMMYFUNCTION("""COMPUTED_VALUE"""),"International Journal of Minerals, Metallurgy and Materials")</f>
        <v>International Journal of Minerals, Metallurgy and Materials</v>
      </c>
      <c r="F1021" s="1" t="str">
        <f ca="1">IFERROR(__xludf.DUMMYFUNCTION("""COMPUTED_VALUE"""),"1869-103X")</f>
        <v>1869-103X</v>
      </c>
      <c r="G1021" s="1" t="str">
        <f ca="1">IFERROR(__xludf.DUMMYFUNCTION("""COMPUTED_VALUE"""),"1674-4799")</f>
        <v>1674-4799</v>
      </c>
      <c r="H1021" s="27" t="str">
        <f ca="1">IFERROR(__xludf.DUMMYFUNCTION("""COMPUTED_VALUE"""),"https://link.springer.com/journal/12613")</f>
        <v>https://link.springer.com/journal/12613</v>
      </c>
      <c r="I1021" s="1" t="str">
        <f ca="1">IFERROR(__xludf.DUMMYFUNCTION("""COMPUTED_VALUE"""),"University of Science and Technology Beijing, co-published with Springer")</f>
        <v>University of Science and Technology Beijing, co-published with Springer</v>
      </c>
      <c r="J1021" s="1">
        <f ca="1">IFERROR(__xludf.DUMMYFUNCTION("""COMPUTED_VALUE"""),2010)</f>
        <v>2010</v>
      </c>
      <c r="K1021" s="1" t="str">
        <f ca="1">IFERROR(__xludf.DUMMYFUNCTION("""COMPUTED_VALUE"""),"Chemistry and Materials Science")</f>
        <v>Chemistry and Materials Science</v>
      </c>
      <c r="L1021" s="1" t="str">
        <f ca="1">IFERROR(__xludf.DUMMYFUNCTION("""COMPUTED_VALUE"""),"〇")</f>
        <v>〇</v>
      </c>
      <c r="M1021" s="1"/>
      <c r="N1021" s="1" t="str">
        <f ca="1">IFERROR(__xludf.DUMMYFUNCTION("""COMPUTED_VALUE"""),"TO10")</f>
        <v>TO10</v>
      </c>
      <c r="O1021" s="1"/>
      <c r="P1021" s="1"/>
    </row>
    <row r="1022" spans="1:16" ht="14.25" customHeight="1" x14ac:dyDescent="0.25">
      <c r="A1022" s="1"/>
      <c r="B1022" s="1">
        <f ca="1"/>
        <v>1010</v>
      </c>
      <c r="C1022" s="1">
        <f ca="1">IFERROR(__xludf.DUMMYFUNCTION("""COMPUTED_VALUE"""),2023)</f>
        <v>2023</v>
      </c>
      <c r="D1022" s="1">
        <f ca="1">IFERROR(__xludf.DUMMYFUNCTION("""COMPUTED_VALUE"""),13735)</f>
        <v>13735</v>
      </c>
      <c r="E1022" s="1" t="str">
        <f ca="1">IFERROR(__xludf.DUMMYFUNCTION("""COMPUTED_VALUE"""),"International Journal of Multimedia Information Retrieval")</f>
        <v>International Journal of Multimedia Information Retrieval</v>
      </c>
      <c r="F1022" s="1" t="str">
        <f ca="1">IFERROR(__xludf.DUMMYFUNCTION("""COMPUTED_VALUE"""),"2192-662X")</f>
        <v>2192-662X</v>
      </c>
      <c r="G1022" s="1" t="str">
        <f ca="1">IFERROR(__xludf.DUMMYFUNCTION("""COMPUTED_VALUE"""),"2192-6611")</f>
        <v>2192-6611</v>
      </c>
      <c r="H1022" s="27" t="str">
        <f ca="1">IFERROR(__xludf.DUMMYFUNCTION("""COMPUTED_VALUE"""),"https://link.springer.com/journal/13735")</f>
        <v>https://link.springer.com/journal/13735</v>
      </c>
      <c r="I1022" s="1" t="str">
        <f ca="1">IFERROR(__xludf.DUMMYFUNCTION("""COMPUTED_VALUE"""),"Springer")</f>
        <v>Springer</v>
      </c>
      <c r="J1022" s="1">
        <f ca="1">IFERROR(__xludf.DUMMYFUNCTION("""COMPUTED_VALUE"""),2012)</f>
        <v>2012</v>
      </c>
      <c r="K1022" s="1" t="str">
        <f ca="1">IFERROR(__xludf.DUMMYFUNCTION("""COMPUTED_VALUE"""),"Computer Science")</f>
        <v>Computer Science</v>
      </c>
      <c r="L1022" s="1" t="str">
        <f ca="1">IFERROR(__xludf.DUMMYFUNCTION("""COMPUTED_VALUE"""),"〇")</f>
        <v>〇</v>
      </c>
      <c r="M1022" s="1"/>
      <c r="N1022" s="1" t="str">
        <f ca="1">IFERROR(__xludf.DUMMYFUNCTION("""COMPUTED_VALUE"""),"SNS12")</f>
        <v>SNS12</v>
      </c>
      <c r="O1022" s="1"/>
      <c r="P1022" s="1"/>
    </row>
    <row r="1023" spans="1:16" ht="14.25" customHeight="1" x14ac:dyDescent="0.25">
      <c r="A1023" s="1"/>
      <c r="B1023" s="1">
        <f ca="1"/>
        <v>1011</v>
      </c>
      <c r="C1023" s="1">
        <f ca="1">IFERROR(__xludf.DUMMYFUNCTION("""COMPUTED_VALUE"""),2023)</f>
        <v>2023</v>
      </c>
      <c r="D1023" s="1">
        <f ca="1">IFERROR(__xludf.DUMMYFUNCTION("""COMPUTED_VALUE"""),10766)</f>
        <v>10766</v>
      </c>
      <c r="E1023" s="1" t="str">
        <f ca="1">IFERROR(__xludf.DUMMYFUNCTION("""COMPUTED_VALUE"""),"International Journal of Parallel Programming")</f>
        <v>International Journal of Parallel Programming</v>
      </c>
      <c r="F1023" s="1" t="str">
        <f ca="1">IFERROR(__xludf.DUMMYFUNCTION("""COMPUTED_VALUE"""),"1573-7640")</f>
        <v>1573-7640</v>
      </c>
      <c r="G1023" s="1" t="str">
        <f ca="1">IFERROR(__xludf.DUMMYFUNCTION("""COMPUTED_VALUE"""),"0885-7458")</f>
        <v>0885-7458</v>
      </c>
      <c r="H1023" s="27" t="str">
        <f ca="1">IFERROR(__xludf.DUMMYFUNCTION("""COMPUTED_VALUE"""),"https://link.springer.com/journal/10766")</f>
        <v>https://link.springer.com/journal/10766</v>
      </c>
      <c r="I1023" s="1" t="str">
        <f ca="1">IFERROR(__xludf.DUMMYFUNCTION("""COMPUTED_VALUE"""),"Springer")</f>
        <v>Springer</v>
      </c>
      <c r="J1023" s="1">
        <f ca="1">IFERROR(__xludf.DUMMYFUNCTION("""COMPUTED_VALUE"""),2000)</f>
        <v>2000</v>
      </c>
      <c r="K1023" s="1" t="str">
        <f ca="1">IFERROR(__xludf.DUMMYFUNCTION("""COMPUTED_VALUE"""),"Computer Science")</f>
        <v>Computer Science</v>
      </c>
      <c r="L1023" s="1" t="str">
        <f ca="1">IFERROR(__xludf.DUMMYFUNCTION("""COMPUTED_VALUE"""),"〇")</f>
        <v>〇</v>
      </c>
      <c r="M1023" s="1" t="str">
        <f ca="1">IFERROR(__xludf.DUMMYFUNCTION("""COMPUTED_VALUE"""),"〇")</f>
        <v>〇</v>
      </c>
      <c r="N1023" s="1"/>
      <c r="O1023" s="1"/>
      <c r="P1023" s="1"/>
    </row>
    <row r="1024" spans="1:16" ht="14.25" customHeight="1" x14ac:dyDescent="0.25">
      <c r="A1024" s="1"/>
      <c r="B1024" s="1">
        <f ca="1"/>
        <v>1012</v>
      </c>
      <c r="C1024" s="1">
        <f ca="1">IFERROR(__xludf.DUMMYFUNCTION("""COMPUTED_VALUE"""),2023)</f>
        <v>2023</v>
      </c>
      <c r="D1024" s="1">
        <f ca="1">IFERROR(__xludf.DUMMYFUNCTION("""COMPUTED_VALUE"""),42947)</f>
        <v>42947</v>
      </c>
      <c r="E1024" s="1" t="str">
        <f ca="1">IFERROR(__xludf.DUMMYFUNCTION("""COMPUTED_VALUE"""),"International Journal of Pavement Research and Technology")</f>
        <v>International Journal of Pavement Research and Technology</v>
      </c>
      <c r="F1024" s="1" t="str">
        <f ca="1">IFERROR(__xludf.DUMMYFUNCTION("""COMPUTED_VALUE"""),"1997-1400")</f>
        <v>1997-1400</v>
      </c>
      <c r="G1024" s="1" t="str">
        <f ca="1">IFERROR(__xludf.DUMMYFUNCTION("""COMPUTED_VALUE"""),"1996-6814")</f>
        <v>1996-6814</v>
      </c>
      <c r="H1024" s="27" t="str">
        <f ca="1">IFERROR(__xludf.DUMMYFUNCTION("""COMPUTED_VALUE"""),"https://link.springer.com/journal/42947")</f>
        <v>https://link.springer.com/journal/42947</v>
      </c>
      <c r="I1024" s="1" t="str">
        <f ca="1">IFERROR(__xludf.DUMMYFUNCTION("""COMPUTED_VALUE"""),"Springer")</f>
        <v>Springer</v>
      </c>
      <c r="J1024" s="1">
        <f ca="1">IFERROR(__xludf.DUMMYFUNCTION("""COMPUTED_VALUE"""),2019)</f>
        <v>2019</v>
      </c>
      <c r="K1024" s="1" t="str">
        <f ca="1">IFERROR(__xludf.DUMMYFUNCTION("""COMPUTED_VALUE"""),"Engineering")</f>
        <v>Engineering</v>
      </c>
      <c r="L1024" s="1" t="str">
        <f ca="1">IFERROR(__xludf.DUMMYFUNCTION("""COMPUTED_VALUE"""),"〇")</f>
        <v>〇</v>
      </c>
      <c r="M1024" s="1"/>
      <c r="N1024" s="1" t="str">
        <f ca="1">IFERROR(__xludf.DUMMYFUNCTION("""COMPUTED_VALUE"""),"TO19")</f>
        <v>TO19</v>
      </c>
      <c r="O1024" s="1"/>
      <c r="P1024" s="1"/>
    </row>
    <row r="1025" spans="1:16" ht="14.25" customHeight="1" x14ac:dyDescent="0.25">
      <c r="A1025" s="1"/>
      <c r="B1025" s="1">
        <f ca="1"/>
        <v>1013</v>
      </c>
      <c r="C1025" s="1">
        <f ca="1">IFERROR(__xludf.DUMMYFUNCTION("""COMPUTED_VALUE"""),2023)</f>
        <v>2023</v>
      </c>
      <c r="D1025" s="1">
        <f ca="1">IFERROR(__xludf.DUMMYFUNCTION("""COMPUTED_VALUE"""),10989)</f>
        <v>10989</v>
      </c>
      <c r="E1025" s="1" t="str">
        <f ca="1">IFERROR(__xludf.DUMMYFUNCTION("""COMPUTED_VALUE"""),"International Journal of Peptide Research and Therapeutics")</f>
        <v>International Journal of Peptide Research and Therapeutics</v>
      </c>
      <c r="F1025" s="1" t="str">
        <f ca="1">IFERROR(__xludf.DUMMYFUNCTION("""COMPUTED_VALUE"""),"1573-3904")</f>
        <v>1573-3904</v>
      </c>
      <c r="G1025" s="1"/>
      <c r="H1025" s="27" t="str">
        <f ca="1">IFERROR(__xludf.DUMMYFUNCTION("""COMPUTED_VALUE"""),"https://link.springer.com/journal/10989")</f>
        <v>https://link.springer.com/journal/10989</v>
      </c>
      <c r="I1025" s="1" t="str">
        <f ca="1">IFERROR(__xludf.DUMMYFUNCTION("""COMPUTED_VALUE"""),"Springer")</f>
        <v>Springer</v>
      </c>
      <c r="J1025" s="1">
        <f ca="1">IFERROR(__xludf.DUMMYFUNCTION("""COMPUTED_VALUE"""),2000)</f>
        <v>2000</v>
      </c>
      <c r="K1025" s="1" t="str">
        <f ca="1">IFERROR(__xludf.DUMMYFUNCTION("""COMPUTED_VALUE"""),"Biomedical and Life Sciences")</f>
        <v>Biomedical and Life Sciences</v>
      </c>
      <c r="L1025" s="1"/>
      <c r="M1025" s="1" t="str">
        <f ca="1">IFERROR(__xludf.DUMMYFUNCTION("""COMPUTED_VALUE"""),"〇")</f>
        <v>〇</v>
      </c>
      <c r="N1025" s="1"/>
      <c r="O1025" s="1"/>
      <c r="P1025" s="1"/>
    </row>
    <row r="1026" spans="1:16" ht="14.25" customHeight="1" x14ac:dyDescent="0.25">
      <c r="A1026" s="1"/>
      <c r="B1026" s="1">
        <f ca="1"/>
        <v>1014</v>
      </c>
      <c r="C1026" s="1">
        <f ca="1">IFERROR(__xludf.DUMMYFUNCTION("""COMPUTED_VALUE"""),2023)</f>
        <v>2023</v>
      </c>
      <c r="D1026" s="1">
        <f ca="1">IFERROR(__xludf.DUMMYFUNCTION("""COMPUTED_VALUE"""),42106)</f>
        <v>42106</v>
      </c>
      <c r="E1026" s="1" t="str">
        <f ca="1">IFERROR(__xludf.DUMMYFUNCTION("""COMPUTED_VALUE"""),"International Journal of Plant Production")</f>
        <v>International Journal of Plant Production</v>
      </c>
      <c r="F1026" s="1" t="str">
        <f ca="1">IFERROR(__xludf.DUMMYFUNCTION("""COMPUTED_VALUE"""),"1735-8043")</f>
        <v>1735-8043</v>
      </c>
      <c r="G1026" s="1" t="str">
        <f ca="1">IFERROR(__xludf.DUMMYFUNCTION("""COMPUTED_VALUE"""),"1735-6814")</f>
        <v>1735-6814</v>
      </c>
      <c r="H1026" s="27" t="str">
        <f ca="1">IFERROR(__xludf.DUMMYFUNCTION("""COMPUTED_VALUE"""),"https://link.springer.com/journal/42106")</f>
        <v>https://link.springer.com/journal/42106</v>
      </c>
      <c r="I1026" s="1" t="str">
        <f ca="1">IFERROR(__xludf.DUMMYFUNCTION("""COMPUTED_VALUE"""),"Springer")</f>
        <v>Springer</v>
      </c>
      <c r="J1026" s="1">
        <f ca="1">IFERROR(__xludf.DUMMYFUNCTION("""COMPUTED_VALUE"""),2018)</f>
        <v>2018</v>
      </c>
      <c r="K1026" s="1" t="str">
        <f ca="1">IFERROR(__xludf.DUMMYFUNCTION("""COMPUTED_VALUE"""),"Biomedical and Life Sciences")</f>
        <v>Biomedical and Life Sciences</v>
      </c>
      <c r="L1026" s="1" t="str">
        <f ca="1">IFERROR(__xludf.DUMMYFUNCTION("""COMPUTED_VALUE"""),"〇")</f>
        <v>〇</v>
      </c>
      <c r="M1026" s="1"/>
      <c r="N1026" s="1" t="str">
        <f ca="1">IFERROR(__xludf.DUMMYFUNCTION("""COMPUTED_VALUE"""),"TO18")</f>
        <v>TO18</v>
      </c>
      <c r="O1026" s="1"/>
      <c r="P1026" s="1"/>
    </row>
    <row r="1027" spans="1:16" ht="14.25" customHeight="1" x14ac:dyDescent="0.25">
      <c r="A1027" s="1"/>
      <c r="B1027" s="1">
        <f ca="1"/>
        <v>1015</v>
      </c>
      <c r="C1027" s="1">
        <f ca="1">IFERROR(__xludf.DUMMYFUNCTION("""COMPUTED_VALUE"""),2023)</f>
        <v>2023</v>
      </c>
      <c r="D1027" s="1">
        <f ca="1">IFERROR(__xludf.DUMMYFUNCTION("""COMPUTED_VALUE"""),10767)</f>
        <v>10767</v>
      </c>
      <c r="E1027" s="1" t="str">
        <f ca="1">IFERROR(__xludf.DUMMYFUNCTION("""COMPUTED_VALUE"""),"International Journal of Politics, Culture, and Society")</f>
        <v>International Journal of Politics, Culture, and Society</v>
      </c>
      <c r="F1027" s="1" t="str">
        <f ca="1">IFERROR(__xludf.DUMMYFUNCTION("""COMPUTED_VALUE"""),"1573-3416")</f>
        <v>1573-3416</v>
      </c>
      <c r="G1027" s="1" t="str">
        <f ca="1">IFERROR(__xludf.DUMMYFUNCTION("""COMPUTED_VALUE"""),"0891-4486")</f>
        <v>0891-4486</v>
      </c>
      <c r="H1027" s="27" t="str">
        <f ca="1">IFERROR(__xludf.DUMMYFUNCTION("""COMPUTED_VALUE"""),"https://link.springer.com/journal/10767")</f>
        <v>https://link.springer.com/journal/10767</v>
      </c>
      <c r="I1027" s="1" t="str">
        <f ca="1">IFERROR(__xludf.DUMMYFUNCTION("""COMPUTED_VALUE"""),"Springer")</f>
        <v>Springer</v>
      </c>
      <c r="J1027" s="1">
        <f ca="1">IFERROR(__xludf.DUMMYFUNCTION("""COMPUTED_VALUE"""),2000)</f>
        <v>2000</v>
      </c>
      <c r="K1027" s="1" t="str">
        <f ca="1">IFERROR(__xludf.DUMMYFUNCTION("""COMPUTED_VALUE"""),"Social Sciences")</f>
        <v>Social Sciences</v>
      </c>
      <c r="L1027" s="1" t="str">
        <f ca="1">IFERROR(__xludf.DUMMYFUNCTION("""COMPUTED_VALUE"""),"〇")</f>
        <v>〇</v>
      </c>
      <c r="M1027" s="1" t="str">
        <f ca="1">IFERROR(__xludf.DUMMYFUNCTION("""COMPUTED_VALUE"""),"〇")</f>
        <v>〇</v>
      </c>
      <c r="N1027" s="1"/>
      <c r="O1027" s="1"/>
      <c r="P1027" s="1"/>
    </row>
    <row r="1028" spans="1:16" ht="14.25" customHeight="1" x14ac:dyDescent="0.25">
      <c r="A1028" s="1"/>
      <c r="B1028" s="1">
        <f ca="1"/>
        <v>1016</v>
      </c>
      <c r="C1028" s="1">
        <f ca="1">IFERROR(__xludf.DUMMYFUNCTION("""COMPUTED_VALUE"""),2023)</f>
        <v>2023</v>
      </c>
      <c r="D1028" s="1">
        <f ca="1">IFERROR(__xludf.DUMMYFUNCTION("""COMPUTED_VALUE"""),12541)</f>
        <v>12541</v>
      </c>
      <c r="E1028" s="1" t="str">
        <f ca="1">IFERROR(__xludf.DUMMYFUNCTION("""COMPUTED_VALUE"""),"International Journal of Precision Engineering and Manufacturing")</f>
        <v>International Journal of Precision Engineering and Manufacturing</v>
      </c>
      <c r="F1028" s="1" t="str">
        <f ca="1">IFERROR(__xludf.DUMMYFUNCTION("""COMPUTED_VALUE"""),"2005-4602")</f>
        <v>2005-4602</v>
      </c>
      <c r="G1028" s="1" t="str">
        <f ca="1">IFERROR(__xludf.DUMMYFUNCTION("""COMPUTED_VALUE"""),"2234-7593")</f>
        <v>2234-7593</v>
      </c>
      <c r="H1028" s="27" t="str">
        <f ca="1">IFERROR(__xludf.DUMMYFUNCTION("""COMPUTED_VALUE"""),"https://link.springer.com/journal/12541")</f>
        <v>https://link.springer.com/journal/12541</v>
      </c>
      <c r="I1028" s="1" t="str">
        <f ca="1">IFERROR(__xludf.DUMMYFUNCTION("""COMPUTED_VALUE"""),"Korean Society for Precision Engineering, co-published with Springer")</f>
        <v>Korean Society for Precision Engineering, co-published with Springer</v>
      </c>
      <c r="J1028" s="1">
        <f ca="1">IFERROR(__xludf.DUMMYFUNCTION("""COMPUTED_VALUE"""),2009)</f>
        <v>2009</v>
      </c>
      <c r="K1028" s="1" t="str">
        <f ca="1">IFERROR(__xludf.DUMMYFUNCTION("""COMPUTED_VALUE"""),"Engineering")</f>
        <v>Engineering</v>
      </c>
      <c r="L1028" s="1" t="str">
        <f ca="1">IFERROR(__xludf.DUMMYFUNCTION("""COMPUTED_VALUE"""),"〇")</f>
        <v>〇</v>
      </c>
      <c r="M1028" s="1"/>
      <c r="N1028" s="1" t="str">
        <f ca="1">IFERROR(__xludf.DUMMYFUNCTION("""COMPUTED_VALUE"""),"TO9")</f>
        <v>TO9</v>
      </c>
      <c r="O1028" s="1"/>
      <c r="P1028" s="1"/>
    </row>
    <row r="1029" spans="1:16" ht="14.25" customHeight="1" x14ac:dyDescent="0.25">
      <c r="A1029" s="1"/>
      <c r="B1029" s="1">
        <f ca="1"/>
        <v>1017</v>
      </c>
      <c r="C1029" s="1">
        <f ca="1">IFERROR(__xludf.DUMMYFUNCTION("""COMPUTED_VALUE"""),2023)</f>
        <v>2023</v>
      </c>
      <c r="D1029" s="1">
        <f ca="1">IFERROR(__xludf.DUMMYFUNCTION("""COMPUTED_VALUE"""),40684)</f>
        <v>40684</v>
      </c>
      <c r="E1029" s="1" t="str">
        <f ca="1">IFERROR(__xludf.DUMMYFUNCTION("""COMPUTED_VALUE"""),"International Journal of Precision Engineering and Manufacturing-Green Technology")</f>
        <v>International Journal of Precision Engineering and Manufacturing-Green Technology</v>
      </c>
      <c r="F1029" s="1" t="str">
        <f ca="1">IFERROR(__xludf.DUMMYFUNCTION("""COMPUTED_VALUE"""),"2198-0810")</f>
        <v>2198-0810</v>
      </c>
      <c r="G1029" s="1" t="str">
        <f ca="1">IFERROR(__xludf.DUMMYFUNCTION("""COMPUTED_VALUE"""),"2288-6206")</f>
        <v>2288-6206</v>
      </c>
      <c r="H1029" s="27" t="str">
        <f ca="1">IFERROR(__xludf.DUMMYFUNCTION("""COMPUTED_VALUE"""),"https://link.springer.com/journal/40684")</f>
        <v>https://link.springer.com/journal/40684</v>
      </c>
      <c r="I1029" s="1" t="str">
        <f ca="1">IFERROR(__xludf.DUMMYFUNCTION("""COMPUTED_VALUE"""),"Korean Society for Precision Engineering, co-published with Springer")</f>
        <v>Korean Society for Precision Engineering, co-published with Springer</v>
      </c>
      <c r="J1029" s="1">
        <f ca="1">IFERROR(__xludf.DUMMYFUNCTION("""COMPUTED_VALUE"""),2014)</f>
        <v>2014</v>
      </c>
      <c r="K1029" s="1" t="str">
        <f ca="1">IFERROR(__xludf.DUMMYFUNCTION("""COMPUTED_VALUE"""),"Engineering")</f>
        <v>Engineering</v>
      </c>
      <c r="L1029" s="1" t="str">
        <f ca="1">IFERROR(__xludf.DUMMYFUNCTION("""COMPUTED_VALUE"""),"〇")</f>
        <v>〇</v>
      </c>
      <c r="M1029" s="1"/>
      <c r="N1029" s="1" t="str">
        <f ca="1">IFERROR(__xludf.DUMMYFUNCTION("""COMPUTED_VALUE"""),"SNS14")</f>
        <v>SNS14</v>
      </c>
      <c r="O1029" s="1"/>
      <c r="P1029" s="1"/>
    </row>
    <row r="1030" spans="1:16" ht="14.25" customHeight="1" x14ac:dyDescent="0.25">
      <c r="A1030" s="1"/>
      <c r="B1030" s="1">
        <f ca="1"/>
        <v>1018</v>
      </c>
      <c r="C1030" s="1">
        <f ca="1">IFERROR(__xludf.DUMMYFUNCTION("""COMPUTED_VALUE"""),2023)</f>
        <v>2023</v>
      </c>
      <c r="D1030" s="1">
        <f ca="1">IFERROR(__xludf.DUMMYFUNCTION("""COMPUTED_VALUE"""),10764)</f>
        <v>10764</v>
      </c>
      <c r="E1030" s="1" t="str">
        <f ca="1">IFERROR(__xludf.DUMMYFUNCTION("""COMPUTED_VALUE"""),"International Journal of Primatology")</f>
        <v>International Journal of Primatology</v>
      </c>
      <c r="F1030" s="1" t="str">
        <f ca="1">IFERROR(__xludf.DUMMYFUNCTION("""COMPUTED_VALUE"""),"1573-8604")</f>
        <v>1573-8604</v>
      </c>
      <c r="G1030" s="1" t="str">
        <f ca="1">IFERROR(__xludf.DUMMYFUNCTION("""COMPUTED_VALUE"""),"0164-0291")</f>
        <v>0164-0291</v>
      </c>
      <c r="H1030" s="27" t="str">
        <f ca="1">IFERROR(__xludf.DUMMYFUNCTION("""COMPUTED_VALUE"""),"https://link.springer.com/journal/10764")</f>
        <v>https://link.springer.com/journal/10764</v>
      </c>
      <c r="I1030" s="1" t="str">
        <f ca="1">IFERROR(__xludf.DUMMYFUNCTION("""COMPUTED_VALUE"""),"Springer")</f>
        <v>Springer</v>
      </c>
      <c r="J1030" s="1">
        <f ca="1">IFERROR(__xludf.DUMMYFUNCTION("""COMPUTED_VALUE"""),2000)</f>
        <v>2000</v>
      </c>
      <c r="K1030" s="1" t="str">
        <f ca="1">IFERROR(__xludf.DUMMYFUNCTION("""COMPUTED_VALUE"""),"Biomedical and Life Sciences")</f>
        <v>Biomedical and Life Sciences</v>
      </c>
      <c r="L1030" s="1" t="str">
        <f ca="1">IFERROR(__xludf.DUMMYFUNCTION("""COMPUTED_VALUE"""),"〇")</f>
        <v>〇</v>
      </c>
      <c r="M1030" s="1" t="str">
        <f ca="1">IFERROR(__xludf.DUMMYFUNCTION("""COMPUTED_VALUE"""),"〇")</f>
        <v>〇</v>
      </c>
      <c r="N1030" s="1"/>
      <c r="O1030" s="1"/>
      <c r="P1030" s="1"/>
    </row>
    <row r="1031" spans="1:16" ht="14.25" customHeight="1" x14ac:dyDescent="0.25">
      <c r="A1031" s="1"/>
      <c r="B1031" s="1">
        <f ca="1"/>
        <v>1019</v>
      </c>
      <c r="C1031" s="1">
        <f ca="1">IFERROR(__xludf.DUMMYFUNCTION("""COMPUTED_VALUE"""),2023)</f>
        <v>2023</v>
      </c>
      <c r="D1031" s="1">
        <f ca="1">IFERROR(__xludf.DUMMYFUNCTION("""COMPUTED_VALUE"""),40753)</f>
        <v>40753</v>
      </c>
      <c r="E1031" s="1" t="str">
        <f ca="1">IFERROR(__xludf.DUMMYFUNCTION("""COMPUTED_VALUE"""),"International Journal of Research in Undergraduate Mathematics Education")</f>
        <v>International Journal of Research in Undergraduate Mathematics Education</v>
      </c>
      <c r="F1031" s="1" t="str">
        <f ca="1">IFERROR(__xludf.DUMMYFUNCTION("""COMPUTED_VALUE"""),"2198-9753")</f>
        <v>2198-9753</v>
      </c>
      <c r="G1031" s="1" t="str">
        <f ca="1">IFERROR(__xludf.DUMMYFUNCTION("""COMPUTED_VALUE"""),"2198-9745")</f>
        <v>2198-9745</v>
      </c>
      <c r="H1031" s="27" t="str">
        <f ca="1">IFERROR(__xludf.DUMMYFUNCTION("""COMPUTED_VALUE"""),"https://link.springer.com/journal/40753")</f>
        <v>https://link.springer.com/journal/40753</v>
      </c>
      <c r="I1031" s="1" t="str">
        <f ca="1">IFERROR(__xludf.DUMMYFUNCTION("""COMPUTED_VALUE"""),"Springer")</f>
        <v>Springer</v>
      </c>
      <c r="J1031" s="1">
        <f ca="1">IFERROR(__xludf.DUMMYFUNCTION("""COMPUTED_VALUE"""),2015)</f>
        <v>2015</v>
      </c>
      <c r="K1031" s="1" t="str">
        <f ca="1">IFERROR(__xludf.DUMMYFUNCTION("""COMPUTED_VALUE"""),"Education")</f>
        <v>Education</v>
      </c>
      <c r="L1031" s="1" t="str">
        <f ca="1">IFERROR(__xludf.DUMMYFUNCTION("""COMPUTED_VALUE"""),"〇")</f>
        <v>〇</v>
      </c>
      <c r="M1031" s="1"/>
      <c r="N1031" s="1" t="str">
        <f ca="1">IFERROR(__xludf.DUMMYFUNCTION("""COMPUTED_VALUE"""),"SNS15")</f>
        <v>SNS15</v>
      </c>
      <c r="O1031" s="1"/>
      <c r="P1031" s="1"/>
    </row>
    <row r="1032" spans="1:16" ht="14.25" customHeight="1" x14ac:dyDescent="0.25">
      <c r="A1032" s="1"/>
      <c r="B1032" s="1">
        <f ca="1"/>
        <v>1020</v>
      </c>
      <c r="C1032" s="1">
        <f ca="1">IFERROR(__xludf.DUMMYFUNCTION("""COMPUTED_VALUE"""),2023)</f>
        <v>2023</v>
      </c>
      <c r="D1032" s="1">
        <f ca="1">IFERROR(__xludf.DUMMYFUNCTION("""COMPUTED_VALUE"""),10763)</f>
        <v>10763</v>
      </c>
      <c r="E1032" s="1" t="str">
        <f ca="1">IFERROR(__xludf.DUMMYFUNCTION("""COMPUTED_VALUE"""),"International Journal of Science and Mathematics Education")</f>
        <v>International Journal of Science and Mathematics Education</v>
      </c>
      <c r="F1032" s="1" t="str">
        <f ca="1">IFERROR(__xludf.DUMMYFUNCTION("""COMPUTED_VALUE"""),"1573-1774")</f>
        <v>1573-1774</v>
      </c>
      <c r="G1032" s="1" t="str">
        <f ca="1">IFERROR(__xludf.DUMMYFUNCTION("""COMPUTED_VALUE"""),"1571-0068")</f>
        <v>1571-0068</v>
      </c>
      <c r="H1032" s="27" t="str">
        <f ca="1">IFERROR(__xludf.DUMMYFUNCTION("""COMPUTED_VALUE"""),"https://link.springer.com/journal/10763")</f>
        <v>https://link.springer.com/journal/10763</v>
      </c>
      <c r="I1032" s="1" t="str">
        <f ca="1">IFERROR(__xludf.DUMMYFUNCTION("""COMPUTED_VALUE"""),"Springer")</f>
        <v>Springer</v>
      </c>
      <c r="J1032" s="1">
        <f ca="1">IFERROR(__xludf.DUMMYFUNCTION("""COMPUTED_VALUE"""),2003)</f>
        <v>2003</v>
      </c>
      <c r="K1032" s="1" t="str">
        <f ca="1">IFERROR(__xludf.DUMMYFUNCTION("""COMPUTED_VALUE"""),"Education")</f>
        <v>Education</v>
      </c>
      <c r="L1032" s="1" t="str">
        <f ca="1">IFERROR(__xludf.DUMMYFUNCTION("""COMPUTED_VALUE"""),"〇")</f>
        <v>〇</v>
      </c>
      <c r="M1032" s="1" t="str">
        <f ca="1">IFERROR(__xludf.DUMMYFUNCTION("""COMPUTED_VALUE"""),"〇")</f>
        <v>〇</v>
      </c>
      <c r="N1032" s="1"/>
      <c r="O1032" s="1"/>
      <c r="P1032" s="1"/>
    </row>
    <row r="1033" spans="1:16" ht="14.25" customHeight="1" x14ac:dyDescent="0.25">
      <c r="A1033" s="1"/>
      <c r="B1033" s="1">
        <f ca="1"/>
        <v>1021</v>
      </c>
      <c r="C1033" s="1">
        <f ca="1">IFERROR(__xludf.DUMMYFUNCTION("""COMPUTED_VALUE"""),2023)</f>
        <v>2023</v>
      </c>
      <c r="D1033" s="1">
        <f ca="1">IFERROR(__xludf.DUMMYFUNCTION("""COMPUTED_VALUE"""),12003)</f>
        <v>12003</v>
      </c>
      <c r="E1033" s="1" t="str">
        <f ca="1">IFERROR(__xludf.DUMMYFUNCTION("""COMPUTED_VALUE"""),"International Journal of Self-Propagating High-Temperature Synthesis")</f>
        <v>International Journal of Self-Propagating High-Temperature Synthesis</v>
      </c>
      <c r="F1033" s="1" t="str">
        <f ca="1">IFERROR(__xludf.DUMMYFUNCTION("""COMPUTED_VALUE"""),"1934-788X")</f>
        <v>1934-788X</v>
      </c>
      <c r="G1033" s="1" t="str">
        <f ca="1">IFERROR(__xludf.DUMMYFUNCTION("""COMPUTED_VALUE"""),"1061-3862")</f>
        <v>1061-3862</v>
      </c>
      <c r="H1033" s="27" t="str">
        <f ca="1">IFERROR(__xludf.DUMMYFUNCTION("""COMPUTED_VALUE"""),"https://link.springer.com/journal/12003")</f>
        <v>https://link.springer.com/journal/12003</v>
      </c>
      <c r="I1033" s="1" t="str">
        <f ca="1">IFERROR(__xludf.DUMMYFUNCTION("""COMPUTED_VALUE"""),"Pleiades Publishing")</f>
        <v>Pleiades Publishing</v>
      </c>
      <c r="J1033" s="1">
        <f ca="1">IFERROR(__xludf.DUMMYFUNCTION("""COMPUTED_VALUE"""),2007)</f>
        <v>2007</v>
      </c>
      <c r="K1033" s="1" t="str">
        <f ca="1">IFERROR(__xludf.DUMMYFUNCTION("""COMPUTED_VALUE"""),"Chemistry and Materials Science")</f>
        <v>Chemistry and Materials Science</v>
      </c>
      <c r="L1033" s="1" t="str">
        <f ca="1">IFERROR(__xludf.DUMMYFUNCTION("""COMPUTED_VALUE"""),"〇")</f>
        <v>〇</v>
      </c>
      <c r="M1033" s="1" t="str">
        <f ca="1">IFERROR(__xludf.DUMMYFUNCTION("""COMPUTED_VALUE"""),"〇")</f>
        <v>〇</v>
      </c>
      <c r="N1033" s="1" t="str">
        <f ca="1">IFERROR(__xludf.DUMMYFUNCTION("""COMPUTED_VALUE"""),"TO7")</f>
        <v>TO7</v>
      </c>
      <c r="O1033" s="1"/>
      <c r="P1033" s="1"/>
    </row>
    <row r="1034" spans="1:16" ht="14.25" customHeight="1" x14ac:dyDescent="0.25">
      <c r="A1034" s="1"/>
      <c r="B1034" s="1">
        <f ca="1"/>
        <v>1022</v>
      </c>
      <c r="C1034" s="1">
        <f ca="1">IFERROR(__xludf.DUMMYFUNCTION("""COMPUTED_VALUE"""),2023)</f>
        <v>2023</v>
      </c>
      <c r="D1034" s="1">
        <f ca="1">IFERROR(__xludf.DUMMYFUNCTION("""COMPUTED_VALUE"""),12369)</f>
        <v>12369</v>
      </c>
      <c r="E1034" s="1" t="str">
        <f ca="1">IFERROR(__xludf.DUMMYFUNCTION("""COMPUTED_VALUE"""),"International Journal of Social Robotics")</f>
        <v>International Journal of Social Robotics</v>
      </c>
      <c r="F1034" s="1" t="str">
        <f ca="1">IFERROR(__xludf.DUMMYFUNCTION("""COMPUTED_VALUE"""),"1875-4805")</f>
        <v>1875-4805</v>
      </c>
      <c r="G1034" s="1" t="str">
        <f ca="1">IFERROR(__xludf.DUMMYFUNCTION("""COMPUTED_VALUE"""),"1875-4791")</f>
        <v>1875-4791</v>
      </c>
      <c r="H1034" s="27" t="str">
        <f ca="1">IFERROR(__xludf.DUMMYFUNCTION("""COMPUTED_VALUE"""),"https://link.springer.com/journal/12369")</f>
        <v>https://link.springer.com/journal/12369</v>
      </c>
      <c r="I1034" s="1" t="str">
        <f ca="1">IFERROR(__xludf.DUMMYFUNCTION("""COMPUTED_VALUE"""),"Springer")</f>
        <v>Springer</v>
      </c>
      <c r="J1034" s="1">
        <f ca="1">IFERROR(__xludf.DUMMYFUNCTION("""COMPUTED_VALUE"""),2009)</f>
        <v>2009</v>
      </c>
      <c r="K1034" s="1" t="str">
        <f ca="1">IFERROR(__xludf.DUMMYFUNCTION("""COMPUTED_VALUE"""),"Engineering")</f>
        <v>Engineering</v>
      </c>
      <c r="L1034" s="1" t="str">
        <f ca="1">IFERROR(__xludf.DUMMYFUNCTION("""COMPUTED_VALUE"""),"〇")</f>
        <v>〇</v>
      </c>
      <c r="M1034" s="1" t="str">
        <f ca="1">IFERROR(__xludf.DUMMYFUNCTION("""COMPUTED_VALUE"""),"〇")</f>
        <v>〇</v>
      </c>
      <c r="N1034" s="1"/>
      <c r="O1034" s="1"/>
      <c r="P1034" s="1"/>
    </row>
    <row r="1035" spans="1:16" ht="14.25" customHeight="1" x14ac:dyDescent="0.25">
      <c r="A1035" s="1"/>
      <c r="B1035" s="1">
        <f ca="1"/>
        <v>1023</v>
      </c>
      <c r="C1035" s="1">
        <f ca="1">IFERROR(__xludf.DUMMYFUNCTION("""COMPUTED_VALUE"""),2023)</f>
        <v>2023</v>
      </c>
      <c r="D1035" s="1">
        <f ca="1">IFERROR(__xludf.DUMMYFUNCTION("""COMPUTED_VALUE"""),10772)</f>
        <v>10772</v>
      </c>
      <c r="E1035" s="1" t="str">
        <f ca="1">IFERROR(__xludf.DUMMYFUNCTION("""COMPUTED_VALUE"""),"International Journal of Speech Technology")</f>
        <v>International Journal of Speech Technology</v>
      </c>
      <c r="F1035" s="1" t="str">
        <f ca="1">IFERROR(__xludf.DUMMYFUNCTION("""COMPUTED_VALUE"""),"1572-8110")</f>
        <v>1572-8110</v>
      </c>
      <c r="G1035" s="1" t="str">
        <f ca="1">IFERROR(__xludf.DUMMYFUNCTION("""COMPUTED_VALUE"""),"1381-2416")</f>
        <v>1381-2416</v>
      </c>
      <c r="H1035" s="27" t="str">
        <f ca="1">IFERROR(__xludf.DUMMYFUNCTION("""COMPUTED_VALUE"""),"https://link.springer.com/journal/10772")</f>
        <v>https://link.springer.com/journal/10772</v>
      </c>
      <c r="I1035" s="1" t="str">
        <f ca="1">IFERROR(__xludf.DUMMYFUNCTION("""COMPUTED_VALUE"""),"Springer")</f>
        <v>Springer</v>
      </c>
      <c r="J1035" s="1">
        <f ca="1">IFERROR(__xludf.DUMMYFUNCTION("""COMPUTED_VALUE"""),2000)</f>
        <v>2000</v>
      </c>
      <c r="K1035" s="1" t="str">
        <f ca="1">IFERROR(__xludf.DUMMYFUNCTION("""COMPUTED_VALUE"""),"Engineering")</f>
        <v>Engineering</v>
      </c>
      <c r="L1035" s="1" t="str">
        <f ca="1">IFERROR(__xludf.DUMMYFUNCTION("""COMPUTED_VALUE"""),"〇")</f>
        <v>〇</v>
      </c>
      <c r="M1035" s="1" t="str">
        <f ca="1">IFERROR(__xludf.DUMMYFUNCTION("""COMPUTED_VALUE"""),"〇")</f>
        <v>〇</v>
      </c>
      <c r="N1035" s="1"/>
      <c r="O1035" s="1"/>
      <c r="P1035" s="1"/>
    </row>
    <row r="1036" spans="1:16" ht="14.25" customHeight="1" x14ac:dyDescent="0.25">
      <c r="A1036" s="1"/>
      <c r="B1036" s="1">
        <f ca="1"/>
        <v>1024</v>
      </c>
      <c r="C1036" s="1">
        <f ca="1">IFERROR(__xludf.DUMMYFUNCTION("""COMPUTED_VALUE"""),2023)</f>
        <v>2023</v>
      </c>
      <c r="D1036" s="1">
        <f ca="1">IFERROR(__xludf.DUMMYFUNCTION("""COMPUTED_VALUE"""),13296)</f>
        <v>13296</v>
      </c>
      <c r="E1036" s="1" t="str">
        <f ca="1">IFERROR(__xludf.DUMMYFUNCTION("""COMPUTED_VALUE"""),"International Journal of Steel Structures")</f>
        <v>International Journal of Steel Structures</v>
      </c>
      <c r="F1036" s="1" t="str">
        <f ca="1">IFERROR(__xludf.DUMMYFUNCTION("""COMPUTED_VALUE"""),"2093-6311")</f>
        <v>2093-6311</v>
      </c>
      <c r="G1036" s="1" t="str">
        <f ca="1">IFERROR(__xludf.DUMMYFUNCTION("""COMPUTED_VALUE"""),"1598-2351")</f>
        <v>1598-2351</v>
      </c>
      <c r="H1036" s="27" t="str">
        <f ca="1">IFERROR(__xludf.DUMMYFUNCTION("""COMPUTED_VALUE"""),"https://link.springer.com/journal/13296")</f>
        <v>https://link.springer.com/journal/13296</v>
      </c>
      <c r="I1036" s="1" t="str">
        <f ca="1">IFERROR(__xludf.DUMMYFUNCTION("""COMPUTED_VALUE"""),"Korean Society of Steel Construction, co-published with Springer")</f>
        <v>Korean Society of Steel Construction, co-published with Springer</v>
      </c>
      <c r="J1036" s="1">
        <f ca="1">IFERROR(__xludf.DUMMYFUNCTION("""COMPUTED_VALUE"""),2009)</f>
        <v>2009</v>
      </c>
      <c r="K1036" s="1" t="str">
        <f ca="1">IFERROR(__xludf.DUMMYFUNCTION("""COMPUTED_VALUE"""),"Engineering")</f>
        <v>Engineering</v>
      </c>
      <c r="L1036" s="1" t="str">
        <f ca="1">IFERROR(__xludf.DUMMYFUNCTION("""COMPUTED_VALUE"""),"〇")</f>
        <v>〇</v>
      </c>
      <c r="M1036" s="1"/>
      <c r="N1036" s="1" t="str">
        <f ca="1">IFERROR(__xludf.DUMMYFUNCTION("""COMPUTED_VALUE"""),"TO11")</f>
        <v>TO11</v>
      </c>
      <c r="O1036" s="1"/>
      <c r="P1036" s="1"/>
    </row>
    <row r="1037" spans="1:16" ht="14.25" customHeight="1" x14ac:dyDescent="0.25">
      <c r="A1037" s="1"/>
      <c r="B1037" s="1">
        <f ca="1"/>
        <v>1025</v>
      </c>
      <c r="C1037" s="1">
        <f ca="1">IFERROR(__xludf.DUMMYFUNCTION("""COMPUTED_VALUE"""),2023)</f>
        <v>2023</v>
      </c>
      <c r="D1037" s="1">
        <f ca="1">IFERROR(__xludf.DUMMYFUNCTION("""COMPUTED_VALUE"""),13198)</f>
        <v>13198</v>
      </c>
      <c r="E1037" s="1" t="str">
        <f ca="1">IFERROR(__xludf.DUMMYFUNCTION("""COMPUTED_VALUE"""),"International Journal of System Assurance Engineering and Management")</f>
        <v>International Journal of System Assurance Engineering and Management</v>
      </c>
      <c r="F1037" s="1" t="str">
        <f ca="1">IFERROR(__xludf.DUMMYFUNCTION("""COMPUTED_VALUE"""),"0976-4348")</f>
        <v>0976-4348</v>
      </c>
      <c r="G1037" s="1" t="str">
        <f ca="1">IFERROR(__xludf.DUMMYFUNCTION("""COMPUTED_VALUE"""),"0975-6809")</f>
        <v>0975-6809</v>
      </c>
      <c r="H1037" s="27" t="str">
        <f ca="1">IFERROR(__xludf.DUMMYFUNCTION("""COMPUTED_VALUE"""),"https://link.springer.com/journal/13198")</f>
        <v>https://link.springer.com/journal/13198</v>
      </c>
      <c r="I1037" s="1" t="str">
        <f ca="1">IFERROR(__xludf.DUMMYFUNCTION("""COMPUTED_VALUE"""),"Springer")</f>
        <v>Springer</v>
      </c>
      <c r="J1037" s="1">
        <f ca="1">IFERROR(__xludf.DUMMYFUNCTION("""COMPUTED_VALUE"""),2010)</f>
        <v>2010</v>
      </c>
      <c r="K1037" s="1" t="str">
        <f ca="1">IFERROR(__xludf.DUMMYFUNCTION("""COMPUTED_VALUE"""),"Engineering")</f>
        <v>Engineering</v>
      </c>
      <c r="L1037" s="1" t="str">
        <f ca="1">IFERROR(__xludf.DUMMYFUNCTION("""COMPUTED_VALUE"""),"〇")</f>
        <v>〇</v>
      </c>
      <c r="M1037" s="1" t="str">
        <f ca="1">IFERROR(__xludf.DUMMYFUNCTION("""COMPUTED_VALUE"""),"〇")</f>
        <v>〇</v>
      </c>
      <c r="N1037" s="1" t="str">
        <f ca="1">IFERROR(__xludf.DUMMYFUNCTION("""COMPUTED_VALUE"""),"SNS10")</f>
        <v>SNS10</v>
      </c>
      <c r="O1037" s="1"/>
      <c r="P1037" s="1"/>
    </row>
    <row r="1038" spans="1:16" ht="14.25" customHeight="1" x14ac:dyDescent="0.25">
      <c r="A1038" s="1"/>
      <c r="B1038" s="1">
        <f ca="1"/>
        <v>1026</v>
      </c>
      <c r="C1038" s="1">
        <f ca="1">IFERROR(__xludf.DUMMYFUNCTION("""COMPUTED_VALUE"""),2023)</f>
        <v>2023</v>
      </c>
      <c r="D1038" s="1">
        <f ca="1">IFERROR(__xludf.DUMMYFUNCTION("""COMPUTED_VALUE"""),10798)</f>
        <v>10798</v>
      </c>
      <c r="E1038" s="1" t="str">
        <f ca="1">IFERROR(__xludf.DUMMYFUNCTION("""COMPUTED_VALUE"""),"International Journal of Technology and Design Education")</f>
        <v>International Journal of Technology and Design Education</v>
      </c>
      <c r="F1038" s="1" t="str">
        <f ca="1">IFERROR(__xludf.DUMMYFUNCTION("""COMPUTED_VALUE"""),"1573-1804")</f>
        <v>1573-1804</v>
      </c>
      <c r="G1038" s="1" t="str">
        <f ca="1">IFERROR(__xludf.DUMMYFUNCTION("""COMPUTED_VALUE"""),"0957-7572")</f>
        <v>0957-7572</v>
      </c>
      <c r="H1038" s="27" t="str">
        <f ca="1">IFERROR(__xludf.DUMMYFUNCTION("""COMPUTED_VALUE"""),"https://link.springer.com/journal/10798")</f>
        <v>https://link.springer.com/journal/10798</v>
      </c>
      <c r="I1038" s="1" t="str">
        <f ca="1">IFERROR(__xludf.DUMMYFUNCTION("""COMPUTED_VALUE"""),"Springer")</f>
        <v>Springer</v>
      </c>
      <c r="J1038" s="1">
        <f ca="1">IFERROR(__xludf.DUMMYFUNCTION("""COMPUTED_VALUE"""),2000)</f>
        <v>2000</v>
      </c>
      <c r="K1038" s="1" t="str">
        <f ca="1">IFERROR(__xludf.DUMMYFUNCTION("""COMPUTED_VALUE"""),"Education")</f>
        <v>Education</v>
      </c>
      <c r="L1038" s="1" t="str">
        <f ca="1">IFERROR(__xludf.DUMMYFUNCTION("""COMPUTED_VALUE"""),"〇")</f>
        <v>〇</v>
      </c>
      <c r="M1038" s="1" t="str">
        <f ca="1">IFERROR(__xludf.DUMMYFUNCTION("""COMPUTED_VALUE"""),"〇")</f>
        <v>〇</v>
      </c>
      <c r="N1038" s="1"/>
      <c r="O1038" s="1"/>
      <c r="P1038" s="1"/>
    </row>
    <row r="1039" spans="1:16" ht="14.25" customHeight="1" x14ac:dyDescent="0.25">
      <c r="A1039" s="1"/>
      <c r="B1039" s="1">
        <f ca="1"/>
        <v>1027</v>
      </c>
      <c r="C1039" s="1">
        <f ca="1">IFERROR(__xludf.DUMMYFUNCTION("""COMPUTED_VALUE"""),2023)</f>
        <v>2023</v>
      </c>
      <c r="D1039" s="1">
        <f ca="1">IFERROR(__xludf.DUMMYFUNCTION("""COMPUTED_VALUE"""),12138)</f>
        <v>12138</v>
      </c>
      <c r="E1039" s="1" t="str">
        <f ca="1">IFERROR(__xludf.DUMMYFUNCTION("""COMPUTED_VALUE"""),"International Journal of the Classical Tradition")</f>
        <v>International Journal of the Classical Tradition</v>
      </c>
      <c r="F1039" s="1" t="str">
        <f ca="1">IFERROR(__xludf.DUMMYFUNCTION("""COMPUTED_VALUE"""),"1874-6292")</f>
        <v>1874-6292</v>
      </c>
      <c r="G1039" s="1" t="str">
        <f ca="1">IFERROR(__xludf.DUMMYFUNCTION("""COMPUTED_VALUE"""),"1073-0508")</f>
        <v>1073-0508</v>
      </c>
      <c r="H1039" s="27" t="str">
        <f ca="1">IFERROR(__xludf.DUMMYFUNCTION("""COMPUTED_VALUE"""),"https://link.springer.com/journal/12138")</f>
        <v>https://link.springer.com/journal/12138</v>
      </c>
      <c r="I1039" s="1" t="str">
        <f ca="1">IFERROR(__xludf.DUMMYFUNCTION("""COMPUTED_VALUE"""),"Springer")</f>
        <v>Springer</v>
      </c>
      <c r="J1039" s="1">
        <f ca="1">IFERROR(__xludf.DUMMYFUNCTION("""COMPUTED_VALUE"""),2000)</f>
        <v>2000</v>
      </c>
      <c r="K1039" s="1" t="str">
        <f ca="1">IFERROR(__xludf.DUMMYFUNCTION("""COMPUTED_VALUE"""),"Literature, Cultural and Media Studies")</f>
        <v>Literature, Cultural and Media Studies</v>
      </c>
      <c r="L1039" s="1" t="str">
        <f ca="1">IFERROR(__xludf.DUMMYFUNCTION("""COMPUTED_VALUE"""),"〇")</f>
        <v>〇</v>
      </c>
      <c r="M1039" s="1" t="str">
        <f ca="1">IFERROR(__xludf.DUMMYFUNCTION("""COMPUTED_VALUE"""),"〇")</f>
        <v>〇</v>
      </c>
      <c r="N1039" s="1" t="str">
        <f ca="1">IFERROR(__xludf.DUMMYFUNCTION("""COMPUTED_VALUE"""),"TO7")</f>
        <v>TO7</v>
      </c>
      <c r="O1039" s="1"/>
      <c r="P1039" s="1"/>
    </row>
    <row r="1040" spans="1:16" ht="14.25" customHeight="1" x14ac:dyDescent="0.25">
      <c r="A1040" s="1"/>
      <c r="B1040" s="1">
        <f ca="1"/>
        <v>1028</v>
      </c>
      <c r="C1040" s="1">
        <f ca="1">IFERROR(__xludf.DUMMYFUNCTION("""COMPUTED_VALUE"""),2023)</f>
        <v>2023</v>
      </c>
      <c r="D1040" s="1">
        <f ca="1">IFERROR(__xludf.DUMMYFUNCTION("""COMPUTED_VALUE"""),41978)</f>
        <v>41978</v>
      </c>
      <c r="E1040" s="1" t="str">
        <f ca="1">IFERROR(__xludf.DUMMYFUNCTION("""COMPUTED_VALUE"""),"International Journal of the Sociology of Leisure")</f>
        <v>International Journal of the Sociology of Leisure</v>
      </c>
      <c r="F1040" s="1" t="str">
        <f ca="1">IFERROR(__xludf.DUMMYFUNCTION("""COMPUTED_VALUE"""),"2520-8691")</f>
        <v>2520-8691</v>
      </c>
      <c r="G1040" s="1" t="str">
        <f ca="1">IFERROR(__xludf.DUMMYFUNCTION("""COMPUTED_VALUE"""),"2520-8683")</f>
        <v>2520-8683</v>
      </c>
      <c r="H1040" s="27" t="str">
        <f ca="1">IFERROR(__xludf.DUMMYFUNCTION("""COMPUTED_VALUE"""),"https://link.springer.com/journal/41978")</f>
        <v>https://link.springer.com/journal/41978</v>
      </c>
      <c r="I1040" s="1" t="str">
        <f ca="1">IFERROR(__xludf.DUMMYFUNCTION("""COMPUTED_VALUE"""),"Springer")</f>
        <v>Springer</v>
      </c>
      <c r="J1040" s="1">
        <f ca="1">IFERROR(__xludf.DUMMYFUNCTION("""COMPUTED_VALUE"""),2018)</f>
        <v>2018</v>
      </c>
      <c r="K1040" s="1" t="str">
        <f ca="1">IFERROR(__xludf.DUMMYFUNCTION("""COMPUTED_VALUE"""),"Social Sciences")</f>
        <v>Social Sciences</v>
      </c>
      <c r="L1040" s="1" t="str">
        <f ca="1">IFERROR(__xludf.DUMMYFUNCTION("""COMPUTED_VALUE"""),"〇")</f>
        <v>〇</v>
      </c>
      <c r="M1040" s="1"/>
      <c r="N1040" s="1" t="str">
        <f ca="1">IFERROR(__xludf.DUMMYFUNCTION("""COMPUTED_VALUE"""),"SNS18")</f>
        <v>SNS18</v>
      </c>
      <c r="O1040" s="1"/>
      <c r="P1040" s="1"/>
    </row>
    <row r="1041" spans="1:16" ht="14.25" customHeight="1" x14ac:dyDescent="0.25">
      <c r="A1041" s="1"/>
      <c r="B1041" s="1">
        <f ca="1"/>
        <v>1029</v>
      </c>
      <c r="C1041" s="1">
        <f ca="1">IFERROR(__xludf.DUMMYFUNCTION("""COMPUTED_VALUE"""),2023)</f>
        <v>2023</v>
      </c>
      <c r="D1041" s="1">
        <f ca="1">IFERROR(__xludf.DUMMYFUNCTION("""COMPUTED_VALUE"""),10773)</f>
        <v>10773</v>
      </c>
      <c r="E1041" s="1" t="str">
        <f ca="1">IFERROR(__xludf.DUMMYFUNCTION("""COMPUTED_VALUE"""),"International Journal of Theoretical Physics")</f>
        <v>International Journal of Theoretical Physics</v>
      </c>
      <c r="F1041" s="1" t="str">
        <f ca="1">IFERROR(__xludf.DUMMYFUNCTION("""COMPUTED_VALUE"""),"1572-9575")</f>
        <v>1572-9575</v>
      </c>
      <c r="G1041" s="1"/>
      <c r="H1041" s="27" t="str">
        <f ca="1">IFERROR(__xludf.DUMMYFUNCTION("""COMPUTED_VALUE"""),"https://link.springer.com/journal/10773")</f>
        <v>https://link.springer.com/journal/10773</v>
      </c>
      <c r="I1041" s="1" t="str">
        <f ca="1">IFERROR(__xludf.DUMMYFUNCTION("""COMPUTED_VALUE"""),"Springer")</f>
        <v>Springer</v>
      </c>
      <c r="J1041" s="1">
        <f ca="1">IFERROR(__xludf.DUMMYFUNCTION("""COMPUTED_VALUE"""),2000)</f>
        <v>2000</v>
      </c>
      <c r="K1041" s="1" t="str">
        <f ca="1">IFERROR(__xludf.DUMMYFUNCTION("""COMPUTED_VALUE"""),"Physics and Astronomy")</f>
        <v>Physics and Astronomy</v>
      </c>
      <c r="L1041" s="1"/>
      <c r="M1041" s="1" t="str">
        <f ca="1">IFERROR(__xludf.DUMMYFUNCTION("""COMPUTED_VALUE"""),"〇")</f>
        <v>〇</v>
      </c>
      <c r="N1041" s="1"/>
      <c r="O1041" s="1"/>
      <c r="P1041" s="1"/>
    </row>
    <row r="1042" spans="1:16" ht="14.25" customHeight="1" x14ac:dyDescent="0.25">
      <c r="A1042" s="1"/>
      <c r="B1042" s="1">
        <f ca="1"/>
        <v>1030</v>
      </c>
      <c r="C1042" s="1">
        <f ca="1">IFERROR(__xludf.DUMMYFUNCTION("""COMPUTED_VALUE"""),2023)</f>
        <v>2023</v>
      </c>
      <c r="D1042" s="1">
        <f ca="1">IFERROR(__xludf.DUMMYFUNCTION("""COMPUTED_VALUE"""),10765)</f>
        <v>10765</v>
      </c>
      <c r="E1042" s="1" t="str">
        <f ca="1">IFERROR(__xludf.DUMMYFUNCTION("""COMPUTED_VALUE"""),"International Journal of Thermophysics")</f>
        <v>International Journal of Thermophysics</v>
      </c>
      <c r="F1042" s="1" t="str">
        <f ca="1">IFERROR(__xludf.DUMMYFUNCTION("""COMPUTED_VALUE"""),"1572-9567")</f>
        <v>1572-9567</v>
      </c>
      <c r="G1042" s="1" t="str">
        <f ca="1">IFERROR(__xludf.DUMMYFUNCTION("""COMPUTED_VALUE"""),"0195-928X")</f>
        <v>0195-928X</v>
      </c>
      <c r="H1042" s="27" t="str">
        <f ca="1">IFERROR(__xludf.DUMMYFUNCTION("""COMPUTED_VALUE"""),"https://link.springer.com/journal/10765")</f>
        <v>https://link.springer.com/journal/10765</v>
      </c>
      <c r="I1042" s="1" t="str">
        <f ca="1">IFERROR(__xludf.DUMMYFUNCTION("""COMPUTED_VALUE"""),"Springer")</f>
        <v>Springer</v>
      </c>
      <c r="J1042" s="1">
        <f ca="1">IFERROR(__xludf.DUMMYFUNCTION("""COMPUTED_VALUE"""),2000)</f>
        <v>2000</v>
      </c>
      <c r="K1042" s="1" t="str">
        <f ca="1">IFERROR(__xludf.DUMMYFUNCTION("""COMPUTED_VALUE"""),"Physics and Astronomy")</f>
        <v>Physics and Astronomy</v>
      </c>
      <c r="L1042" s="1" t="str">
        <f ca="1">IFERROR(__xludf.DUMMYFUNCTION("""COMPUTED_VALUE"""),"〇")</f>
        <v>〇</v>
      </c>
      <c r="M1042" s="1" t="str">
        <f ca="1">IFERROR(__xludf.DUMMYFUNCTION("""COMPUTED_VALUE"""),"〇")</f>
        <v>〇</v>
      </c>
      <c r="N1042" s="1"/>
      <c r="O1042" s="1"/>
      <c r="P1042" s="1"/>
    </row>
    <row r="1043" spans="1:16" ht="14.25" customHeight="1" x14ac:dyDescent="0.25">
      <c r="A1043" s="1"/>
      <c r="B1043" s="1">
        <f ca="1"/>
        <v>1031</v>
      </c>
      <c r="C1043" s="1">
        <f ca="1">IFERROR(__xludf.DUMMYFUNCTION("""COMPUTED_VALUE"""),2023)</f>
        <v>2023</v>
      </c>
      <c r="D1043" s="1">
        <f ca="1">IFERROR(__xludf.DUMMYFUNCTION("""COMPUTED_VALUE"""),42690)</f>
        <v>42690</v>
      </c>
      <c r="E1043" s="1" t="str">
        <f ca="1">IFERROR(__xludf.DUMMYFUNCTION("""COMPUTED_VALUE"""),"International Journal of Tropical Insect Science")</f>
        <v>International Journal of Tropical Insect Science</v>
      </c>
      <c r="F1043" s="1" t="str">
        <f ca="1">IFERROR(__xludf.DUMMYFUNCTION("""COMPUTED_VALUE"""),"1742-7592")</f>
        <v>1742-7592</v>
      </c>
      <c r="G1043" s="1"/>
      <c r="H1043" s="27" t="str">
        <f ca="1">IFERROR(__xludf.DUMMYFUNCTION("""COMPUTED_VALUE"""),"https://link.springer.com/journal/42690")</f>
        <v>https://link.springer.com/journal/42690</v>
      </c>
      <c r="I1043" s="1" t="str">
        <f ca="1">IFERROR(__xludf.DUMMYFUNCTION("""COMPUTED_VALUE"""),"Springer")</f>
        <v>Springer</v>
      </c>
      <c r="J1043" s="1">
        <f ca="1">IFERROR(__xludf.DUMMYFUNCTION("""COMPUTED_VALUE"""),2000)</f>
        <v>2000</v>
      </c>
      <c r="K1043" s="1" t="str">
        <f ca="1">IFERROR(__xludf.DUMMYFUNCTION("""COMPUTED_VALUE"""),"Biomedical and Life Sciences")</f>
        <v>Biomedical and Life Sciences</v>
      </c>
      <c r="L1043" s="1"/>
      <c r="M1043" s="1"/>
      <c r="N1043" s="1" t="str">
        <f ca="1">IFERROR(__xludf.DUMMYFUNCTION("""COMPUTED_VALUE"""),"TO19")</f>
        <v>TO19</v>
      </c>
      <c r="O1043" s="1"/>
      <c r="P1043" s="1"/>
    </row>
    <row r="1044" spans="1:16" ht="14.25" customHeight="1" x14ac:dyDescent="0.25">
      <c r="A1044" s="1"/>
      <c r="B1044" s="1">
        <f ca="1"/>
        <v>1032</v>
      </c>
      <c r="C1044" s="1">
        <f ca="1">IFERROR(__xludf.DUMMYFUNCTION("""COMPUTED_VALUE"""),2023)</f>
        <v>2023</v>
      </c>
      <c r="D1044" s="1">
        <f ca="1">IFERROR(__xludf.DUMMYFUNCTION("""COMPUTED_VALUE"""),10776)</f>
        <v>10776</v>
      </c>
      <c r="E1044" s="1" t="str">
        <f ca="1">IFERROR(__xludf.DUMMYFUNCTION("""COMPUTED_VALUE"""),"International Journal of Wireless Information Networks")</f>
        <v>International Journal of Wireless Information Networks</v>
      </c>
      <c r="F1044" s="1" t="str">
        <f ca="1">IFERROR(__xludf.DUMMYFUNCTION("""COMPUTED_VALUE"""),"1572-8129")</f>
        <v>1572-8129</v>
      </c>
      <c r="G1044" s="1" t="str">
        <f ca="1">IFERROR(__xludf.DUMMYFUNCTION("""COMPUTED_VALUE"""),"1068-9605")</f>
        <v>1068-9605</v>
      </c>
      <c r="H1044" s="27" t="str">
        <f ca="1">IFERROR(__xludf.DUMMYFUNCTION("""COMPUTED_VALUE"""),"https://link.springer.com/journal/10776")</f>
        <v>https://link.springer.com/journal/10776</v>
      </c>
      <c r="I1044" s="1" t="str">
        <f ca="1">IFERROR(__xludf.DUMMYFUNCTION("""COMPUTED_VALUE"""),"Springer")</f>
        <v>Springer</v>
      </c>
      <c r="J1044" s="1">
        <f ca="1">IFERROR(__xludf.DUMMYFUNCTION("""COMPUTED_VALUE"""),2000)</f>
        <v>2000</v>
      </c>
      <c r="K1044" s="1" t="str">
        <f ca="1">IFERROR(__xludf.DUMMYFUNCTION("""COMPUTED_VALUE"""),"Engineering")</f>
        <v>Engineering</v>
      </c>
      <c r="L1044" s="1" t="str">
        <f ca="1">IFERROR(__xludf.DUMMYFUNCTION("""COMPUTED_VALUE"""),"〇")</f>
        <v>〇</v>
      </c>
      <c r="M1044" s="1" t="str">
        <f ca="1">IFERROR(__xludf.DUMMYFUNCTION("""COMPUTED_VALUE"""),"〇")</f>
        <v>〇</v>
      </c>
      <c r="N1044" s="1"/>
      <c r="O1044" s="1"/>
      <c r="P1044" s="1"/>
    </row>
    <row r="1045" spans="1:16" ht="14.25" customHeight="1" x14ac:dyDescent="0.25">
      <c r="A1045" s="1"/>
      <c r="B1045" s="1">
        <f ca="1"/>
        <v>1033</v>
      </c>
      <c r="C1045" s="1">
        <f ca="1">IFERROR(__xludf.DUMMYFUNCTION("""COMPUTED_VALUE"""),2023)</f>
        <v>2023</v>
      </c>
      <c r="D1045" s="1">
        <f ca="1">IFERROR(__xludf.DUMMYFUNCTION("""COMPUTED_VALUE"""),799)</f>
        <v>799</v>
      </c>
      <c r="E1045" s="1" t="str">
        <f ca="1">IFERROR(__xludf.DUMMYFUNCTION("""COMPUTED_VALUE"""),"International Journal on Digital Libraries")</f>
        <v>International Journal on Digital Libraries</v>
      </c>
      <c r="F1045" s="1" t="str">
        <f ca="1">IFERROR(__xludf.DUMMYFUNCTION("""COMPUTED_VALUE"""),"1432-1300")</f>
        <v>1432-1300</v>
      </c>
      <c r="G1045" s="1" t="str">
        <f ca="1">IFERROR(__xludf.DUMMYFUNCTION("""COMPUTED_VALUE"""),"1432-5012")</f>
        <v>1432-5012</v>
      </c>
      <c r="H1045" s="27" t="str">
        <f ca="1">IFERROR(__xludf.DUMMYFUNCTION("""COMPUTED_VALUE"""),"https://link.springer.com/journal/799")</f>
        <v>https://link.springer.com/journal/799</v>
      </c>
      <c r="I1045" s="1" t="str">
        <f ca="1">IFERROR(__xludf.DUMMYFUNCTION("""COMPUTED_VALUE"""),"Springer")</f>
        <v>Springer</v>
      </c>
      <c r="J1045" s="1">
        <f ca="1">IFERROR(__xludf.DUMMYFUNCTION("""COMPUTED_VALUE"""),2000)</f>
        <v>2000</v>
      </c>
      <c r="K1045" s="1" t="str">
        <f ca="1">IFERROR(__xludf.DUMMYFUNCTION("""COMPUTED_VALUE"""),"Computer Science")</f>
        <v>Computer Science</v>
      </c>
      <c r="L1045" s="1" t="str">
        <f ca="1">IFERROR(__xludf.DUMMYFUNCTION("""COMPUTED_VALUE"""),"〇")</f>
        <v>〇</v>
      </c>
      <c r="M1045" s="1" t="str">
        <f ca="1">IFERROR(__xludf.DUMMYFUNCTION("""COMPUTED_VALUE"""),"〇")</f>
        <v>〇</v>
      </c>
      <c r="N1045" s="1"/>
      <c r="O1045" s="1"/>
      <c r="P1045" s="1"/>
    </row>
    <row r="1046" spans="1:16" ht="14.25" customHeight="1" x14ac:dyDescent="0.25">
      <c r="A1046" s="1"/>
      <c r="B1046" s="1">
        <f ca="1"/>
        <v>1034</v>
      </c>
      <c r="C1046" s="1">
        <f ca="1">IFERROR(__xludf.DUMMYFUNCTION("""COMPUTED_VALUE"""),2023)</f>
        <v>2023</v>
      </c>
      <c r="D1046" s="1">
        <f ca="1">IFERROR(__xludf.DUMMYFUNCTION("""COMPUTED_VALUE"""),10032)</f>
        <v>10032</v>
      </c>
      <c r="E1046" s="1" t="str">
        <f ca="1">IFERROR(__xludf.DUMMYFUNCTION("""COMPUTED_VALUE"""),"International Journal on Document Analysis and Recognition (IJDAR)")</f>
        <v>International Journal on Document Analysis and Recognition (IJDAR)</v>
      </c>
      <c r="F1046" s="1" t="str">
        <f ca="1">IFERROR(__xludf.DUMMYFUNCTION("""COMPUTED_VALUE"""),"1433-2825")</f>
        <v>1433-2825</v>
      </c>
      <c r="G1046" s="1" t="str">
        <f ca="1">IFERROR(__xludf.DUMMYFUNCTION("""COMPUTED_VALUE"""),"1433-2833")</f>
        <v>1433-2833</v>
      </c>
      <c r="H1046" s="27" t="str">
        <f ca="1">IFERROR(__xludf.DUMMYFUNCTION("""COMPUTED_VALUE"""),"https://link.springer.com/journal/10032")</f>
        <v>https://link.springer.com/journal/10032</v>
      </c>
      <c r="I1046" s="1" t="str">
        <f ca="1">IFERROR(__xludf.DUMMYFUNCTION("""COMPUTED_VALUE"""),"Springer")</f>
        <v>Springer</v>
      </c>
      <c r="J1046" s="1">
        <f ca="1">IFERROR(__xludf.DUMMYFUNCTION("""COMPUTED_VALUE"""),2000)</f>
        <v>2000</v>
      </c>
      <c r="K1046" s="1" t="str">
        <f ca="1">IFERROR(__xludf.DUMMYFUNCTION("""COMPUTED_VALUE"""),"Computer Science")</f>
        <v>Computer Science</v>
      </c>
      <c r="L1046" s="1" t="str">
        <f ca="1">IFERROR(__xludf.DUMMYFUNCTION("""COMPUTED_VALUE"""),"〇")</f>
        <v>〇</v>
      </c>
      <c r="M1046" s="1" t="str">
        <f ca="1">IFERROR(__xludf.DUMMYFUNCTION("""COMPUTED_VALUE"""),"〇")</f>
        <v>〇</v>
      </c>
      <c r="N1046" s="1"/>
      <c r="O1046" s="1"/>
      <c r="P1046" s="1"/>
    </row>
    <row r="1047" spans="1:16" ht="14.25" customHeight="1" x14ac:dyDescent="0.25">
      <c r="A1047" s="1"/>
      <c r="B1047" s="1">
        <f ca="1"/>
        <v>1035</v>
      </c>
      <c r="C1047" s="1">
        <f ca="1">IFERROR(__xludf.DUMMYFUNCTION("""COMPUTED_VALUE"""),2023)</f>
        <v>2023</v>
      </c>
      <c r="D1047" s="1">
        <f ca="1">IFERROR(__xludf.DUMMYFUNCTION("""COMPUTED_VALUE"""),12008)</f>
        <v>12008</v>
      </c>
      <c r="E1047" s="1" t="str">
        <f ca="1">IFERROR(__xludf.DUMMYFUNCTION("""COMPUTED_VALUE"""),"International Journal on Interactive Design and Manufacturing (IJIDeM)")</f>
        <v>International Journal on Interactive Design and Manufacturing (IJIDeM)</v>
      </c>
      <c r="F1047" s="1" t="str">
        <f ca="1">IFERROR(__xludf.DUMMYFUNCTION("""COMPUTED_VALUE"""),"1955-2505")</f>
        <v>1955-2505</v>
      </c>
      <c r="G1047" s="1"/>
      <c r="H1047" s="27" t="str">
        <f ca="1">IFERROR(__xludf.DUMMYFUNCTION("""COMPUTED_VALUE"""),"https://link.springer.com/journal/12008")</f>
        <v>https://link.springer.com/journal/12008</v>
      </c>
      <c r="I1047" s="1" t="str">
        <f ca="1">IFERROR(__xludf.DUMMYFUNCTION("""COMPUTED_VALUE"""),"Springer")</f>
        <v>Springer</v>
      </c>
      <c r="J1047" s="1">
        <f ca="1">IFERROR(__xludf.DUMMYFUNCTION("""COMPUTED_VALUE"""),2007)</f>
        <v>2007</v>
      </c>
      <c r="K1047" s="1" t="str">
        <f ca="1">IFERROR(__xludf.DUMMYFUNCTION("""COMPUTED_VALUE"""),"Engineering")</f>
        <v>Engineering</v>
      </c>
      <c r="L1047" s="1"/>
      <c r="M1047" s="1" t="str">
        <f ca="1">IFERROR(__xludf.DUMMYFUNCTION("""COMPUTED_VALUE"""),"〇")</f>
        <v>〇</v>
      </c>
      <c r="N1047" s="1" t="str">
        <f ca="1">IFERROR(__xludf.DUMMYFUNCTION("""COMPUTED_VALUE"""),"SNS7")</f>
        <v>SNS7</v>
      </c>
      <c r="O1047" s="1"/>
      <c r="P1047" s="1"/>
    </row>
    <row r="1048" spans="1:16" ht="14.25" customHeight="1" x14ac:dyDescent="0.25">
      <c r="A1048" s="1"/>
      <c r="B1048" s="1">
        <f ca="1"/>
        <v>1036</v>
      </c>
      <c r="C1048" s="1">
        <f ca="1">IFERROR(__xludf.DUMMYFUNCTION("""COMPUTED_VALUE"""),2023)</f>
        <v>2023</v>
      </c>
      <c r="D1048" s="1">
        <f ca="1">IFERROR(__xludf.DUMMYFUNCTION("""COMPUTED_VALUE"""),10009)</f>
        <v>10009</v>
      </c>
      <c r="E1048" s="1" t="str">
        <f ca="1">IFERROR(__xludf.DUMMYFUNCTION("""COMPUTED_VALUE"""),"International Journal on Software Tools for Technology Transfer")</f>
        <v>International Journal on Software Tools for Technology Transfer</v>
      </c>
      <c r="F1048" s="1" t="str">
        <f ca="1">IFERROR(__xludf.DUMMYFUNCTION("""COMPUTED_VALUE"""),"1433-2787")</f>
        <v>1433-2787</v>
      </c>
      <c r="G1048" s="1" t="str">
        <f ca="1">IFERROR(__xludf.DUMMYFUNCTION("""COMPUTED_VALUE"""),"1433-2779")</f>
        <v>1433-2779</v>
      </c>
      <c r="H1048" s="27" t="str">
        <f ca="1">IFERROR(__xludf.DUMMYFUNCTION("""COMPUTED_VALUE"""),"https://link.springer.com/journal/10009")</f>
        <v>https://link.springer.com/journal/10009</v>
      </c>
      <c r="I1048" s="1" t="str">
        <f ca="1">IFERROR(__xludf.DUMMYFUNCTION("""COMPUTED_VALUE"""),"Springer")</f>
        <v>Springer</v>
      </c>
      <c r="J1048" s="1">
        <f ca="1">IFERROR(__xludf.DUMMYFUNCTION("""COMPUTED_VALUE"""),2000)</f>
        <v>2000</v>
      </c>
      <c r="K1048" s="1" t="str">
        <f ca="1">IFERROR(__xludf.DUMMYFUNCTION("""COMPUTED_VALUE"""),"Computer Science")</f>
        <v>Computer Science</v>
      </c>
      <c r="L1048" s="1" t="str">
        <f ca="1">IFERROR(__xludf.DUMMYFUNCTION("""COMPUTED_VALUE"""),"〇")</f>
        <v>〇</v>
      </c>
      <c r="M1048" s="1" t="str">
        <f ca="1">IFERROR(__xludf.DUMMYFUNCTION("""COMPUTED_VALUE"""),"〇")</f>
        <v>〇</v>
      </c>
      <c r="N1048" s="1"/>
      <c r="O1048" s="1"/>
      <c r="P1048" s="1"/>
    </row>
    <row r="1049" spans="1:16" ht="14.25" customHeight="1" x14ac:dyDescent="0.25">
      <c r="A1049" s="1"/>
      <c r="B1049" s="1">
        <f ca="1"/>
        <v>1037</v>
      </c>
      <c r="C1049" s="1">
        <f ca="1">IFERROR(__xludf.DUMMYFUNCTION("""COMPUTED_VALUE"""),2023)</f>
        <v>2023</v>
      </c>
      <c r="D1049" s="1">
        <f ca="1">IFERROR(__xludf.DUMMYFUNCTION("""COMPUTED_VALUE"""),10123)</f>
        <v>10123</v>
      </c>
      <c r="E1049" s="1" t="str">
        <f ca="1">IFERROR(__xludf.DUMMYFUNCTION("""COMPUTED_VALUE"""),"International Microbiology")</f>
        <v>International Microbiology</v>
      </c>
      <c r="F1049" s="1" t="str">
        <f ca="1">IFERROR(__xludf.DUMMYFUNCTION("""COMPUTED_VALUE"""),"1618-1905")</f>
        <v>1618-1905</v>
      </c>
      <c r="G1049" s="1"/>
      <c r="H1049" s="27" t="str">
        <f ca="1">IFERROR(__xludf.DUMMYFUNCTION("""COMPUTED_VALUE"""),"https://link.springer.com/journal/10123")</f>
        <v>https://link.springer.com/journal/10123</v>
      </c>
      <c r="I1049" s="1" t="str">
        <f ca="1">IFERROR(__xludf.DUMMYFUNCTION("""COMPUTED_VALUE"""),"Springer")</f>
        <v>Springer</v>
      </c>
      <c r="J1049" s="1">
        <f ca="1">IFERROR(__xludf.DUMMYFUNCTION("""COMPUTED_VALUE"""),2001)</f>
        <v>2001</v>
      </c>
      <c r="K1049" s="1" t="str">
        <f ca="1">IFERROR(__xludf.DUMMYFUNCTION("""COMPUTED_VALUE"""),"Biomedical and Life Sciences")</f>
        <v>Biomedical and Life Sciences</v>
      </c>
      <c r="L1049" s="1"/>
      <c r="M1049" s="1"/>
      <c r="N1049" s="1" t="str">
        <f ca="1">IFERROR(__xludf.DUMMYFUNCTION("""COMPUTED_VALUE"""),"TO18")</f>
        <v>TO18</v>
      </c>
      <c r="O1049" s="1"/>
      <c r="P1049" s="1"/>
    </row>
    <row r="1050" spans="1:16" ht="14.25" customHeight="1" x14ac:dyDescent="0.25">
      <c r="A1050" s="1"/>
      <c r="B1050" s="1">
        <f ca="1"/>
        <v>1038</v>
      </c>
      <c r="C1050" s="1">
        <f ca="1">IFERROR(__xludf.DUMMYFUNCTION("""COMPUTED_VALUE"""),2023)</f>
        <v>2023</v>
      </c>
      <c r="D1050" s="1">
        <f ca="1">IFERROR(__xludf.DUMMYFUNCTION("""COMPUTED_VALUE"""),40089)</f>
        <v>40089</v>
      </c>
      <c r="E1050" s="1" t="str">
        <f ca="1">IFERROR(__xludf.DUMMYFUNCTION("""COMPUTED_VALUE"""),"International Nano Letters")</f>
        <v>International Nano Letters</v>
      </c>
      <c r="F1050" s="1" t="str">
        <f ca="1">IFERROR(__xludf.DUMMYFUNCTION("""COMPUTED_VALUE"""),"2228-5326")</f>
        <v>2228-5326</v>
      </c>
      <c r="G1050" s="1"/>
      <c r="H1050" s="27" t="str">
        <f ca="1">IFERROR(__xludf.DUMMYFUNCTION("""COMPUTED_VALUE"""),"https://link.springer.com/journal/40089")</f>
        <v>https://link.springer.com/journal/40089</v>
      </c>
      <c r="I1050" s="1" t="str">
        <f ca="1">IFERROR(__xludf.DUMMYFUNCTION("""COMPUTED_VALUE"""),"Springer")</f>
        <v>Springer</v>
      </c>
      <c r="J1050" s="1">
        <f ca="1">IFERROR(__xludf.DUMMYFUNCTION("""COMPUTED_VALUE"""),2012)</f>
        <v>2012</v>
      </c>
      <c r="K1050" s="1" t="str">
        <f ca="1">IFERROR(__xludf.DUMMYFUNCTION("""COMPUTED_VALUE"""),"Chemistry and Materials Science")</f>
        <v>Chemistry and Materials Science</v>
      </c>
      <c r="L1050" s="1"/>
      <c r="M1050" s="1"/>
      <c r="N1050" s="1"/>
      <c r="O1050" s="1"/>
      <c r="P1050" s="1"/>
    </row>
    <row r="1051" spans="1:16" ht="14.25" customHeight="1" x14ac:dyDescent="0.25">
      <c r="A1051" s="1"/>
      <c r="B1051" s="1">
        <f ca="1"/>
        <v>1039</v>
      </c>
      <c r="C1051" s="1">
        <f ca="1">IFERROR(__xludf.DUMMYFUNCTION("""COMPUTED_VALUE"""),2023)</f>
        <v>2023</v>
      </c>
      <c r="D1051" s="1">
        <f ca="1">IFERROR(__xludf.DUMMYFUNCTION("""COMPUTED_VALUE"""),10792)</f>
        <v>10792</v>
      </c>
      <c r="E1051" s="1" t="str">
        <f ca="1">IFERROR(__xludf.DUMMYFUNCTION("""COMPUTED_VALUE"""),"International Ophthalmology")</f>
        <v>International Ophthalmology</v>
      </c>
      <c r="F1051" s="1" t="str">
        <f ca="1">IFERROR(__xludf.DUMMYFUNCTION("""COMPUTED_VALUE"""),"1573-2630")</f>
        <v>1573-2630</v>
      </c>
      <c r="G1051" s="1"/>
      <c r="H1051" s="27" t="str">
        <f ca="1">IFERROR(__xludf.DUMMYFUNCTION("""COMPUTED_VALUE"""),"https://link.springer.com/journal/10792")</f>
        <v>https://link.springer.com/journal/10792</v>
      </c>
      <c r="I1051" s="1" t="str">
        <f ca="1">IFERROR(__xludf.DUMMYFUNCTION("""COMPUTED_VALUE"""),"Springer")</f>
        <v>Springer</v>
      </c>
      <c r="J1051" s="1">
        <f ca="1">IFERROR(__xludf.DUMMYFUNCTION("""COMPUTED_VALUE"""),2000)</f>
        <v>2000</v>
      </c>
      <c r="K1051" s="1" t="str">
        <f ca="1">IFERROR(__xludf.DUMMYFUNCTION("""COMPUTED_VALUE"""),"Medicine")</f>
        <v>Medicine</v>
      </c>
      <c r="L1051" s="1"/>
      <c r="M1051" s="1" t="str">
        <f ca="1">IFERROR(__xludf.DUMMYFUNCTION("""COMPUTED_VALUE"""),"〇")</f>
        <v>〇</v>
      </c>
      <c r="N1051" s="1"/>
      <c r="O1051" s="1"/>
      <c r="P1051" s="1"/>
    </row>
    <row r="1052" spans="1:16" ht="14.25" customHeight="1" x14ac:dyDescent="0.25">
      <c r="A1052" s="1"/>
      <c r="B1052" s="1">
        <f ca="1"/>
        <v>1040</v>
      </c>
      <c r="C1052" s="1">
        <f ca="1">IFERROR(__xludf.DUMMYFUNCTION("""COMPUTED_VALUE"""),2023)</f>
        <v>2023</v>
      </c>
      <c r="D1052" s="1">
        <f ca="1">IFERROR(__xludf.DUMMYFUNCTION("""COMPUTED_VALUE"""),264)</f>
        <v>264</v>
      </c>
      <c r="E1052" s="1" t="str">
        <f ca="1">IFERROR(__xludf.DUMMYFUNCTION("""COMPUTED_VALUE"""),"International Orthopaedics")</f>
        <v>International Orthopaedics</v>
      </c>
      <c r="F1052" s="1" t="str">
        <f ca="1">IFERROR(__xludf.DUMMYFUNCTION("""COMPUTED_VALUE"""),"1432-5195")</f>
        <v>1432-5195</v>
      </c>
      <c r="G1052" s="1" t="str">
        <f ca="1">IFERROR(__xludf.DUMMYFUNCTION("""COMPUTED_VALUE"""),"0341-2695")</f>
        <v>0341-2695</v>
      </c>
      <c r="H1052" s="27" t="str">
        <f ca="1">IFERROR(__xludf.DUMMYFUNCTION("""COMPUTED_VALUE"""),"https://link.springer.com/journal/264")</f>
        <v>https://link.springer.com/journal/264</v>
      </c>
      <c r="I1052" s="1" t="str">
        <f ca="1">IFERROR(__xludf.DUMMYFUNCTION("""COMPUTED_VALUE"""),"Springer")</f>
        <v>Springer</v>
      </c>
      <c r="J1052" s="1">
        <f ca="1">IFERROR(__xludf.DUMMYFUNCTION("""COMPUTED_VALUE"""),2000)</f>
        <v>2000</v>
      </c>
      <c r="K1052" s="1" t="str">
        <f ca="1">IFERROR(__xludf.DUMMYFUNCTION("""COMPUTED_VALUE"""),"Medicine")</f>
        <v>Medicine</v>
      </c>
      <c r="L1052" s="1" t="str">
        <f ca="1">IFERROR(__xludf.DUMMYFUNCTION("""COMPUTED_VALUE"""),"〇")</f>
        <v>〇</v>
      </c>
      <c r="M1052" s="1" t="str">
        <f ca="1">IFERROR(__xludf.DUMMYFUNCTION("""COMPUTED_VALUE"""),"〇")</f>
        <v>〇</v>
      </c>
      <c r="N1052" s="1"/>
      <c r="O1052" s="1"/>
      <c r="P1052" s="1"/>
    </row>
    <row r="1053" spans="1:16" ht="14.25" customHeight="1" x14ac:dyDescent="0.25">
      <c r="A1053" s="1"/>
      <c r="B1053" s="1">
        <f ca="1"/>
        <v>1041</v>
      </c>
      <c r="C1053" s="1">
        <f ca="1">IFERROR(__xludf.DUMMYFUNCTION("""COMPUTED_VALUE"""),2023)</f>
        <v>2023</v>
      </c>
      <c r="D1053" s="1">
        <f ca="1">IFERROR(__xludf.DUMMYFUNCTION("""COMPUTED_VALUE"""),12232)</f>
        <v>12232</v>
      </c>
      <c r="E1053" s="1" t="str">
        <f ca="1">IFERROR(__xludf.DUMMYFUNCTION("""COMPUTED_VALUE"""),"International Review of Economics")</f>
        <v>International Review of Economics</v>
      </c>
      <c r="F1053" s="1" t="str">
        <f ca="1">IFERROR(__xludf.DUMMYFUNCTION("""COMPUTED_VALUE"""),"1863-4613")</f>
        <v>1863-4613</v>
      </c>
      <c r="G1053" s="1" t="str">
        <f ca="1">IFERROR(__xludf.DUMMYFUNCTION("""COMPUTED_VALUE"""),"1865-1704")</f>
        <v>1865-1704</v>
      </c>
      <c r="H1053" s="27" t="str">
        <f ca="1">IFERROR(__xludf.DUMMYFUNCTION("""COMPUTED_VALUE"""),"https://link.springer.com/journal/12232")</f>
        <v>https://link.springer.com/journal/12232</v>
      </c>
      <c r="I1053" s="1" t="str">
        <f ca="1">IFERROR(__xludf.DUMMYFUNCTION("""COMPUTED_VALUE"""),"Springer")</f>
        <v>Springer</v>
      </c>
      <c r="J1053" s="1">
        <f ca="1">IFERROR(__xludf.DUMMYFUNCTION("""COMPUTED_VALUE"""),2006)</f>
        <v>2006</v>
      </c>
      <c r="K1053" s="1" t="str">
        <f ca="1">IFERROR(__xludf.DUMMYFUNCTION("""COMPUTED_VALUE"""),"Economics and Finance")</f>
        <v>Economics and Finance</v>
      </c>
      <c r="L1053" s="1" t="str">
        <f ca="1">IFERROR(__xludf.DUMMYFUNCTION("""COMPUTED_VALUE"""),"〇")</f>
        <v>〇</v>
      </c>
      <c r="M1053" s="1" t="str">
        <f ca="1">IFERROR(__xludf.DUMMYFUNCTION("""COMPUTED_VALUE"""),"〇")</f>
        <v>〇</v>
      </c>
      <c r="N1053" s="1" t="str">
        <f ca="1">IFERROR(__xludf.DUMMYFUNCTION("""COMPUTED_VALUE"""),"TO7")</f>
        <v>TO7</v>
      </c>
      <c r="O1053" s="1"/>
      <c r="P1053" s="1"/>
    </row>
    <row r="1054" spans="1:16" ht="14.25" customHeight="1" x14ac:dyDescent="0.25">
      <c r="A1054" s="1"/>
      <c r="B1054" s="1">
        <f ca="1"/>
        <v>1042</v>
      </c>
      <c r="C1054" s="1">
        <f ca="1">IFERROR(__xludf.DUMMYFUNCTION("""COMPUTED_VALUE"""),2023)</f>
        <v>2023</v>
      </c>
      <c r="D1054" s="1">
        <f ca="1">IFERROR(__xludf.DUMMYFUNCTION("""COMPUTED_VALUE"""),11159)</f>
        <v>11159</v>
      </c>
      <c r="E1054" s="1" t="str">
        <f ca="1">IFERROR(__xludf.DUMMYFUNCTION("""COMPUTED_VALUE"""),"International Review of Education")</f>
        <v>International Review of Education</v>
      </c>
      <c r="F1054" s="1" t="str">
        <f ca="1">IFERROR(__xludf.DUMMYFUNCTION("""COMPUTED_VALUE"""),"1573-0638")</f>
        <v>1573-0638</v>
      </c>
      <c r="G1054" s="1" t="str">
        <f ca="1">IFERROR(__xludf.DUMMYFUNCTION("""COMPUTED_VALUE"""),"0020-8566")</f>
        <v>0020-8566</v>
      </c>
      <c r="H1054" s="27" t="str">
        <f ca="1">IFERROR(__xludf.DUMMYFUNCTION("""COMPUTED_VALUE"""),"https://link.springer.com/journal/11159")</f>
        <v>https://link.springer.com/journal/11159</v>
      </c>
      <c r="I1054" s="1" t="str">
        <f ca="1">IFERROR(__xludf.DUMMYFUNCTION("""COMPUTED_VALUE"""),"Springer")</f>
        <v>Springer</v>
      </c>
      <c r="J1054" s="1">
        <f ca="1">IFERROR(__xludf.DUMMYFUNCTION("""COMPUTED_VALUE"""),2000)</f>
        <v>2000</v>
      </c>
      <c r="K1054" s="1" t="str">
        <f ca="1">IFERROR(__xludf.DUMMYFUNCTION("""COMPUTED_VALUE"""),"Education")</f>
        <v>Education</v>
      </c>
      <c r="L1054" s="1" t="str">
        <f ca="1">IFERROR(__xludf.DUMMYFUNCTION("""COMPUTED_VALUE"""),"〇")</f>
        <v>〇</v>
      </c>
      <c r="M1054" s="1" t="str">
        <f ca="1">IFERROR(__xludf.DUMMYFUNCTION("""COMPUTED_VALUE"""),"〇")</f>
        <v>〇</v>
      </c>
      <c r="N1054" s="1"/>
      <c r="O1054" s="1"/>
      <c r="P1054" s="1"/>
    </row>
    <row r="1055" spans="1:16" ht="14.25" customHeight="1" x14ac:dyDescent="0.25">
      <c r="A1055" s="1"/>
      <c r="B1055" s="1">
        <f ca="1"/>
        <v>1043</v>
      </c>
      <c r="C1055" s="1">
        <f ca="1">IFERROR(__xludf.DUMMYFUNCTION("""COMPUTED_VALUE"""),2023)</f>
        <v>2023</v>
      </c>
      <c r="D1055" s="1">
        <f ca="1">IFERROR(__xludf.DUMMYFUNCTION("""COMPUTED_VALUE"""),12208)</f>
        <v>12208</v>
      </c>
      <c r="E1055" s="1" t="str">
        <f ca="1">IFERROR(__xludf.DUMMYFUNCTION("""COMPUTED_VALUE"""),"International Review on Public and Nonprofit Marketing")</f>
        <v>International Review on Public and Nonprofit Marketing</v>
      </c>
      <c r="F1055" s="1" t="str">
        <f ca="1">IFERROR(__xludf.DUMMYFUNCTION("""COMPUTED_VALUE"""),"1865-1992")</f>
        <v>1865-1992</v>
      </c>
      <c r="G1055" s="1"/>
      <c r="H1055" s="27" t="str">
        <f ca="1">IFERROR(__xludf.DUMMYFUNCTION("""COMPUTED_VALUE"""),"https://link.springer.com/journal/12208")</f>
        <v>https://link.springer.com/journal/12208</v>
      </c>
      <c r="I1055" s="1" t="str">
        <f ca="1">IFERROR(__xludf.DUMMYFUNCTION("""COMPUTED_VALUE"""),"Springer")</f>
        <v>Springer</v>
      </c>
      <c r="J1055" s="1">
        <f ca="1">IFERROR(__xludf.DUMMYFUNCTION("""COMPUTED_VALUE"""),2004)</f>
        <v>2004</v>
      </c>
      <c r="K1055" s="1" t="str">
        <f ca="1">IFERROR(__xludf.DUMMYFUNCTION("""COMPUTED_VALUE"""),"Business and Management")</f>
        <v>Business and Management</v>
      </c>
      <c r="L1055" s="1"/>
      <c r="M1055" s="1" t="str">
        <f ca="1">IFERROR(__xludf.DUMMYFUNCTION("""COMPUTED_VALUE"""),"〇")</f>
        <v>〇</v>
      </c>
      <c r="N1055" s="1" t="str">
        <f ca="1">IFERROR(__xludf.DUMMYFUNCTION("""COMPUTED_VALUE"""),"TO8")</f>
        <v>TO8</v>
      </c>
      <c r="O1055" s="1"/>
      <c r="P1055" s="1"/>
    </row>
    <row r="1056" spans="1:16" ht="14.25" customHeight="1" x14ac:dyDescent="0.25">
      <c r="A1056" s="1"/>
      <c r="B1056" s="1">
        <f ca="1"/>
        <v>1044</v>
      </c>
      <c r="C1056" s="1">
        <f ca="1">IFERROR(__xludf.DUMMYFUNCTION("""COMPUTED_VALUE"""),2023)</f>
        <v>2023</v>
      </c>
      <c r="D1056" s="1">
        <f ca="1">IFERROR(__xludf.DUMMYFUNCTION("""COMPUTED_VALUE"""),10797)</f>
        <v>10797</v>
      </c>
      <c r="E1056" s="1" t="str">
        <f ca="1">IFERROR(__xludf.DUMMYFUNCTION("""COMPUTED_VALUE"""),"International Tax and Public Finance")</f>
        <v>International Tax and Public Finance</v>
      </c>
      <c r="F1056" s="1" t="str">
        <f ca="1">IFERROR(__xludf.DUMMYFUNCTION("""COMPUTED_VALUE"""),"1573-6970")</f>
        <v>1573-6970</v>
      </c>
      <c r="G1056" s="1" t="str">
        <f ca="1">IFERROR(__xludf.DUMMYFUNCTION("""COMPUTED_VALUE"""),"0927-5940")</f>
        <v>0927-5940</v>
      </c>
      <c r="H1056" s="27" t="str">
        <f ca="1">IFERROR(__xludf.DUMMYFUNCTION("""COMPUTED_VALUE"""),"https://link.springer.com/journal/10797")</f>
        <v>https://link.springer.com/journal/10797</v>
      </c>
      <c r="I1056" s="1" t="str">
        <f ca="1">IFERROR(__xludf.DUMMYFUNCTION("""COMPUTED_VALUE"""),"Springer")</f>
        <v>Springer</v>
      </c>
      <c r="J1056" s="1">
        <f ca="1">IFERROR(__xludf.DUMMYFUNCTION("""COMPUTED_VALUE"""),2000)</f>
        <v>2000</v>
      </c>
      <c r="K1056" s="1" t="str">
        <f ca="1">IFERROR(__xludf.DUMMYFUNCTION("""COMPUTED_VALUE"""),"Economics and Finance")</f>
        <v>Economics and Finance</v>
      </c>
      <c r="L1056" s="1" t="str">
        <f ca="1">IFERROR(__xludf.DUMMYFUNCTION("""COMPUTED_VALUE"""),"〇")</f>
        <v>〇</v>
      </c>
      <c r="M1056" s="1" t="str">
        <f ca="1">IFERROR(__xludf.DUMMYFUNCTION("""COMPUTED_VALUE"""),"〇")</f>
        <v>〇</v>
      </c>
      <c r="N1056" s="1"/>
      <c r="O1056" s="1"/>
      <c r="P1056" s="1"/>
    </row>
    <row r="1057" spans="1:16" ht="14.25" customHeight="1" x14ac:dyDescent="0.25">
      <c r="A1057" s="1"/>
      <c r="B1057" s="1">
        <f ca="1"/>
        <v>1045</v>
      </c>
      <c r="C1057" s="1">
        <f ca="1">IFERROR(__xludf.DUMMYFUNCTION("""COMPUTED_VALUE"""),2023)</f>
        <v>2023</v>
      </c>
      <c r="D1057" s="1">
        <f ca="1">IFERROR(__xludf.DUMMYFUNCTION("""COMPUTED_VALUE"""),192)</f>
        <v>192</v>
      </c>
      <c r="E1057" s="1" t="str">
        <f ca="1">IFERROR(__xludf.DUMMYFUNCTION("""COMPUTED_VALUE"""),"International Urogynecology Journal")</f>
        <v>International Urogynecology Journal</v>
      </c>
      <c r="F1057" s="1" t="str">
        <f ca="1">IFERROR(__xludf.DUMMYFUNCTION("""COMPUTED_VALUE"""),"1433-3023")</f>
        <v>1433-3023</v>
      </c>
      <c r="G1057" s="1" t="str">
        <f ca="1">IFERROR(__xludf.DUMMYFUNCTION("""COMPUTED_VALUE"""),"0937-3462")</f>
        <v>0937-3462</v>
      </c>
      <c r="H1057" s="27" t="str">
        <f ca="1">IFERROR(__xludf.DUMMYFUNCTION("""COMPUTED_VALUE"""),"https://link.springer.com/journal/192")</f>
        <v>https://link.springer.com/journal/192</v>
      </c>
      <c r="I1057" s="1" t="str">
        <f ca="1">IFERROR(__xludf.DUMMYFUNCTION("""COMPUTED_VALUE"""),"Springer")</f>
        <v>Springer</v>
      </c>
      <c r="J1057" s="1">
        <f ca="1">IFERROR(__xludf.DUMMYFUNCTION("""COMPUTED_VALUE"""),2000)</f>
        <v>2000</v>
      </c>
      <c r="K1057" s="1" t="str">
        <f ca="1">IFERROR(__xludf.DUMMYFUNCTION("""COMPUTED_VALUE"""),"Medicine")</f>
        <v>Medicine</v>
      </c>
      <c r="L1057" s="1" t="str">
        <f ca="1">IFERROR(__xludf.DUMMYFUNCTION("""COMPUTED_VALUE"""),"〇")</f>
        <v>〇</v>
      </c>
      <c r="M1057" s="1" t="str">
        <f ca="1">IFERROR(__xludf.DUMMYFUNCTION("""COMPUTED_VALUE"""),"〇")</f>
        <v>〇</v>
      </c>
      <c r="N1057" s="1"/>
      <c r="O1057" s="1"/>
      <c r="P1057" s="1"/>
    </row>
    <row r="1058" spans="1:16" ht="14.25" customHeight="1" x14ac:dyDescent="0.25">
      <c r="A1058" s="1"/>
      <c r="B1058" s="1">
        <f ca="1"/>
        <v>1046</v>
      </c>
      <c r="C1058" s="1">
        <f ca="1">IFERROR(__xludf.DUMMYFUNCTION("""COMPUTED_VALUE"""),2023)</f>
        <v>2023</v>
      </c>
      <c r="D1058" s="1">
        <f ca="1">IFERROR(__xludf.DUMMYFUNCTION("""COMPUTED_VALUE"""),11255)</f>
        <v>11255</v>
      </c>
      <c r="E1058" s="1" t="str">
        <f ca="1">IFERROR(__xludf.DUMMYFUNCTION("""COMPUTED_VALUE"""),"International Urology and Nephrology")</f>
        <v>International Urology and Nephrology</v>
      </c>
      <c r="F1058" s="1" t="str">
        <f ca="1">IFERROR(__xludf.DUMMYFUNCTION("""COMPUTED_VALUE"""),"1573-2584")</f>
        <v>1573-2584</v>
      </c>
      <c r="G1058" s="1"/>
      <c r="H1058" s="27" t="str">
        <f ca="1">IFERROR(__xludf.DUMMYFUNCTION("""COMPUTED_VALUE"""),"https://link.springer.com/journal/11255")</f>
        <v>https://link.springer.com/journal/11255</v>
      </c>
      <c r="I1058" s="1" t="str">
        <f ca="1">IFERROR(__xludf.DUMMYFUNCTION("""COMPUTED_VALUE"""),"Springer")</f>
        <v>Springer</v>
      </c>
      <c r="J1058" s="1">
        <f ca="1">IFERROR(__xludf.DUMMYFUNCTION("""COMPUTED_VALUE"""),2000)</f>
        <v>2000</v>
      </c>
      <c r="K1058" s="1" t="str">
        <f ca="1">IFERROR(__xludf.DUMMYFUNCTION("""COMPUTED_VALUE"""),"Medicine")</f>
        <v>Medicine</v>
      </c>
      <c r="L1058" s="1"/>
      <c r="M1058" s="1" t="str">
        <f ca="1">IFERROR(__xludf.DUMMYFUNCTION("""COMPUTED_VALUE"""),"〇")</f>
        <v>〇</v>
      </c>
      <c r="N1058" s="1"/>
      <c r="O1058" s="1"/>
      <c r="P1058" s="1"/>
    </row>
    <row r="1059" spans="1:16" ht="14.25" customHeight="1" x14ac:dyDescent="0.25">
      <c r="A1059" s="1"/>
      <c r="B1059" s="1">
        <f ca="1"/>
        <v>1047</v>
      </c>
      <c r="C1059" s="1">
        <f ca="1">IFERROR(__xludf.DUMMYFUNCTION("""COMPUTED_VALUE"""),2023)</f>
        <v>2023</v>
      </c>
      <c r="D1059" s="1">
        <f ca="1">IFERROR(__xludf.DUMMYFUNCTION("""COMPUTED_VALUE"""),222)</f>
        <v>222</v>
      </c>
      <c r="E1059" s="1" t="str">
        <f ca="1">IFERROR(__xludf.DUMMYFUNCTION("""COMPUTED_VALUE"""),"Inventiones mathematicae")</f>
        <v>Inventiones mathematicae</v>
      </c>
      <c r="F1059" s="1" t="str">
        <f ca="1">IFERROR(__xludf.DUMMYFUNCTION("""COMPUTED_VALUE"""),"1432-1297")</f>
        <v>1432-1297</v>
      </c>
      <c r="G1059" s="1" t="str">
        <f ca="1">IFERROR(__xludf.DUMMYFUNCTION("""COMPUTED_VALUE"""),"0020-9910")</f>
        <v>0020-9910</v>
      </c>
      <c r="H1059" s="27" t="str">
        <f ca="1">IFERROR(__xludf.DUMMYFUNCTION("""COMPUTED_VALUE"""),"https://link.springer.com/journal/222")</f>
        <v>https://link.springer.com/journal/222</v>
      </c>
      <c r="I1059" s="1" t="str">
        <f ca="1">IFERROR(__xludf.DUMMYFUNCTION("""COMPUTED_VALUE"""),"Springer")</f>
        <v>Springer</v>
      </c>
      <c r="J1059" s="1">
        <f ca="1">IFERROR(__xludf.DUMMYFUNCTION("""COMPUTED_VALUE"""),2000)</f>
        <v>2000</v>
      </c>
      <c r="K1059" s="1" t="str">
        <f ca="1">IFERROR(__xludf.DUMMYFUNCTION("""COMPUTED_VALUE"""),"Mathematics and Statistics")</f>
        <v>Mathematics and Statistics</v>
      </c>
      <c r="L1059" s="1" t="str">
        <f ca="1">IFERROR(__xludf.DUMMYFUNCTION("""COMPUTED_VALUE"""),"〇")</f>
        <v>〇</v>
      </c>
      <c r="M1059" s="1" t="str">
        <f ca="1">IFERROR(__xludf.DUMMYFUNCTION("""COMPUTED_VALUE"""),"〇")</f>
        <v>〇</v>
      </c>
      <c r="N1059" s="1"/>
      <c r="O1059" s="1"/>
      <c r="P1059" s="1"/>
    </row>
    <row r="1060" spans="1:16" ht="14.25" customHeight="1" x14ac:dyDescent="0.25">
      <c r="A1060" s="1"/>
      <c r="B1060" s="1">
        <f ca="1"/>
        <v>1048</v>
      </c>
      <c r="C1060" s="1">
        <f ca="1">IFERROR(__xludf.DUMMYFUNCTION("""COMPUTED_VALUE"""),2023)</f>
        <v>2023</v>
      </c>
      <c r="D1060" s="1">
        <f ca="1">IFERROR(__xludf.DUMMYFUNCTION("""COMPUTED_VALUE"""),10637)</f>
        <v>10637</v>
      </c>
      <c r="E1060" s="1" t="str">
        <f ca="1">IFERROR(__xludf.DUMMYFUNCTION("""COMPUTED_VALUE"""),"Investigational New Drugs")</f>
        <v>Investigational New Drugs</v>
      </c>
      <c r="F1060" s="1" t="str">
        <f ca="1">IFERROR(__xludf.DUMMYFUNCTION("""COMPUTED_VALUE"""),"1573-0646")</f>
        <v>1573-0646</v>
      </c>
      <c r="G1060" s="1"/>
      <c r="H1060" s="27" t="str">
        <f ca="1">IFERROR(__xludf.DUMMYFUNCTION("""COMPUTED_VALUE"""),"https://link.springer.com/journal/10637")</f>
        <v>https://link.springer.com/journal/10637</v>
      </c>
      <c r="I1060" s="1" t="str">
        <f ca="1">IFERROR(__xludf.DUMMYFUNCTION("""COMPUTED_VALUE"""),"Springer")</f>
        <v>Springer</v>
      </c>
      <c r="J1060" s="1">
        <f ca="1">IFERROR(__xludf.DUMMYFUNCTION("""COMPUTED_VALUE"""),2000)</f>
        <v>2000</v>
      </c>
      <c r="K1060" s="1" t="str">
        <f ca="1">IFERROR(__xludf.DUMMYFUNCTION("""COMPUTED_VALUE"""),"Medicine")</f>
        <v>Medicine</v>
      </c>
      <c r="L1060" s="1"/>
      <c r="M1060" s="1" t="str">
        <f ca="1">IFERROR(__xludf.DUMMYFUNCTION("""COMPUTED_VALUE"""),"〇")</f>
        <v>〇</v>
      </c>
      <c r="N1060" s="1"/>
      <c r="O1060" s="1"/>
      <c r="P1060" s="1"/>
    </row>
    <row r="1061" spans="1:16" ht="14.25" customHeight="1" x14ac:dyDescent="0.25">
      <c r="A1061" s="1"/>
      <c r="B1061" s="1">
        <f ca="1"/>
        <v>1049</v>
      </c>
      <c r="C1061" s="1">
        <f ca="1">IFERROR(__xludf.DUMMYFUNCTION("""COMPUTED_VALUE"""),2023)</f>
        <v>2023</v>
      </c>
      <c r="D1061" s="1">
        <f ca="1">IFERROR(__xludf.DUMMYFUNCTION("""COMPUTED_VALUE"""),11581)</f>
        <v>11581</v>
      </c>
      <c r="E1061" s="1" t="str">
        <f ca="1">IFERROR(__xludf.DUMMYFUNCTION("""COMPUTED_VALUE"""),"Ionics")</f>
        <v>Ionics</v>
      </c>
      <c r="F1061" s="1" t="str">
        <f ca="1">IFERROR(__xludf.DUMMYFUNCTION("""COMPUTED_VALUE"""),"1862-0760")</f>
        <v>1862-0760</v>
      </c>
      <c r="G1061" s="1" t="str">
        <f ca="1">IFERROR(__xludf.DUMMYFUNCTION("""COMPUTED_VALUE"""),"0947-7047")</f>
        <v>0947-7047</v>
      </c>
      <c r="H1061" s="27" t="str">
        <f ca="1">IFERROR(__xludf.DUMMYFUNCTION("""COMPUTED_VALUE"""),"https://link.springer.com/journal/11581")</f>
        <v>https://link.springer.com/journal/11581</v>
      </c>
      <c r="I1061" s="1" t="str">
        <f ca="1">IFERROR(__xludf.DUMMYFUNCTION("""COMPUTED_VALUE"""),"Springer")</f>
        <v>Springer</v>
      </c>
      <c r="J1061" s="1">
        <f ca="1">IFERROR(__xludf.DUMMYFUNCTION("""COMPUTED_VALUE"""),2000)</f>
        <v>2000</v>
      </c>
      <c r="K1061" s="1" t="str">
        <f ca="1">IFERROR(__xludf.DUMMYFUNCTION("""COMPUTED_VALUE"""),"Chemistry and Materials Science")</f>
        <v>Chemistry and Materials Science</v>
      </c>
      <c r="L1061" s="1" t="str">
        <f ca="1">IFERROR(__xludf.DUMMYFUNCTION("""COMPUTED_VALUE"""),"〇")</f>
        <v>〇</v>
      </c>
      <c r="M1061" s="1" t="str">
        <f ca="1">IFERROR(__xludf.DUMMYFUNCTION("""COMPUTED_VALUE"""),"〇")</f>
        <v>〇</v>
      </c>
      <c r="N1061" s="1"/>
      <c r="O1061" s="1"/>
      <c r="P1061" s="1"/>
    </row>
    <row r="1062" spans="1:16" ht="14.25" customHeight="1" x14ac:dyDescent="0.25">
      <c r="A1062" s="1"/>
      <c r="B1062" s="1">
        <f ca="1"/>
        <v>1050</v>
      </c>
      <c r="C1062" s="1">
        <f ca="1">IFERROR(__xludf.DUMMYFUNCTION("""COMPUTED_VALUE"""),2023)</f>
        <v>2023</v>
      </c>
      <c r="D1062" s="1">
        <f ca="1">IFERROR(__xludf.DUMMYFUNCTION("""COMPUTED_VALUE"""),42044)</f>
        <v>42044</v>
      </c>
      <c r="E1062" s="1" t="str">
        <f ca="1">IFERROR(__xludf.DUMMYFUNCTION("""COMPUTED_VALUE"""),"Iran Journal of Computer Science")</f>
        <v>Iran Journal of Computer Science</v>
      </c>
      <c r="F1062" s="1" t="str">
        <f ca="1">IFERROR(__xludf.DUMMYFUNCTION("""COMPUTED_VALUE"""),"2520-8446")</f>
        <v>2520-8446</v>
      </c>
      <c r="G1062" s="1" t="str">
        <f ca="1">IFERROR(__xludf.DUMMYFUNCTION("""COMPUTED_VALUE"""),"2520-8438")</f>
        <v>2520-8438</v>
      </c>
      <c r="H1062" s="27" t="str">
        <f ca="1">IFERROR(__xludf.DUMMYFUNCTION("""COMPUTED_VALUE"""),"https://link.springer.com/journal/42044")</f>
        <v>https://link.springer.com/journal/42044</v>
      </c>
      <c r="I1062" s="1" t="str">
        <f ca="1">IFERROR(__xludf.DUMMYFUNCTION("""COMPUTED_VALUE"""),"Springer")</f>
        <v>Springer</v>
      </c>
      <c r="J1062" s="1">
        <f ca="1">IFERROR(__xludf.DUMMYFUNCTION("""COMPUTED_VALUE"""),2018)</f>
        <v>2018</v>
      </c>
      <c r="K1062" s="1" t="str">
        <f ca="1">IFERROR(__xludf.DUMMYFUNCTION("""COMPUTED_VALUE"""),"Computer Science")</f>
        <v>Computer Science</v>
      </c>
      <c r="L1062" s="1" t="str">
        <f ca="1">IFERROR(__xludf.DUMMYFUNCTION("""COMPUTED_VALUE"""),"〇")</f>
        <v>〇</v>
      </c>
      <c r="M1062" s="1"/>
      <c r="N1062" s="1" t="str">
        <f ca="1">IFERROR(__xludf.DUMMYFUNCTION("""COMPUTED_VALUE"""),"SNS18")</f>
        <v>SNS18</v>
      </c>
      <c r="O1062" s="1"/>
      <c r="P1062" s="1"/>
    </row>
    <row r="1063" spans="1:16" ht="14.25" customHeight="1" x14ac:dyDescent="0.25">
      <c r="A1063" s="1"/>
      <c r="B1063" s="1">
        <f ca="1"/>
        <v>1051</v>
      </c>
      <c r="C1063" s="1">
        <f ca="1">IFERROR(__xludf.DUMMYFUNCTION("""COMPUTED_VALUE"""),2023)</f>
        <v>2023</v>
      </c>
      <c r="D1063" s="1">
        <f ca="1">IFERROR(__xludf.DUMMYFUNCTION("""COMPUTED_VALUE"""),40995)</f>
        <v>40995</v>
      </c>
      <c r="E1063" s="1" t="str">
        <f ca="1">IFERROR(__xludf.DUMMYFUNCTION("""COMPUTED_VALUE"""),"Iranian Journal of Science")</f>
        <v>Iranian Journal of Science</v>
      </c>
      <c r="F1063" s="1" t="str">
        <f ca="1">IFERROR(__xludf.DUMMYFUNCTION("""COMPUTED_VALUE"""),"2731-8109")</f>
        <v>2731-8109</v>
      </c>
      <c r="G1063" s="1" t="str">
        <f ca="1">IFERROR(__xludf.DUMMYFUNCTION("""COMPUTED_VALUE"""),"2731-8095")</f>
        <v>2731-8095</v>
      </c>
      <c r="H1063" s="27" t="str">
        <f ca="1">IFERROR(__xludf.DUMMYFUNCTION("""COMPUTED_VALUE"""),"https://link.springer.com/journal/40995")</f>
        <v>https://link.springer.com/journal/40995</v>
      </c>
      <c r="I1063" s="1" t="str">
        <f ca="1">IFERROR(__xludf.DUMMYFUNCTION("""COMPUTED_VALUE"""),"Springer")</f>
        <v>Springer</v>
      </c>
      <c r="J1063" s="1">
        <f ca="1">IFERROR(__xludf.DUMMYFUNCTION("""COMPUTED_VALUE"""),2016)</f>
        <v>2016</v>
      </c>
      <c r="K1063" s="1" t="str">
        <f ca="1">IFERROR(__xludf.DUMMYFUNCTION("""COMPUTED_VALUE"""),"Engineering")</f>
        <v>Engineering</v>
      </c>
      <c r="L1063" s="1" t="str">
        <f ca="1">IFERROR(__xludf.DUMMYFUNCTION("""COMPUTED_VALUE"""),"〇")</f>
        <v>〇</v>
      </c>
      <c r="M1063" s="1"/>
      <c r="N1063" s="1" t="str">
        <f ca="1">IFERROR(__xludf.DUMMYFUNCTION("""COMPUTED_VALUE"""),"TO16")</f>
        <v>TO16</v>
      </c>
      <c r="O1063" s="1"/>
      <c r="P1063" s="1"/>
    </row>
    <row r="1064" spans="1:16" ht="14.25" customHeight="1" x14ac:dyDescent="0.25">
      <c r="A1064" s="1"/>
      <c r="B1064" s="1">
        <f ca="1"/>
        <v>1052</v>
      </c>
      <c r="C1064" s="1">
        <f ca="1">IFERROR(__xludf.DUMMYFUNCTION("""COMPUTED_VALUE"""),2023)</f>
        <v>2023</v>
      </c>
      <c r="D1064" s="1">
        <f ca="1">IFERROR(__xludf.DUMMYFUNCTION("""COMPUTED_VALUE"""),40996)</f>
        <v>40996</v>
      </c>
      <c r="E1064" s="1" t="str">
        <f ca="1">IFERROR(__xludf.DUMMYFUNCTION("""COMPUTED_VALUE"""),"Iranian Journal of Science and Technology, Transactions of Civil Engineering")</f>
        <v>Iranian Journal of Science and Technology, Transactions of Civil Engineering</v>
      </c>
      <c r="F1064" s="1" t="str">
        <f ca="1">IFERROR(__xludf.DUMMYFUNCTION("""COMPUTED_VALUE"""),"2364-1843")</f>
        <v>2364-1843</v>
      </c>
      <c r="G1064" s="1" t="str">
        <f ca="1">IFERROR(__xludf.DUMMYFUNCTION("""COMPUTED_VALUE"""),"2228-6160")</f>
        <v>2228-6160</v>
      </c>
      <c r="H1064" s="27" t="str">
        <f ca="1">IFERROR(__xludf.DUMMYFUNCTION("""COMPUTED_VALUE"""),"https://link.springer.com/journal/40996")</f>
        <v>https://link.springer.com/journal/40996</v>
      </c>
      <c r="I1064" s="1" t="str">
        <f ca="1">IFERROR(__xludf.DUMMYFUNCTION("""COMPUTED_VALUE"""),"Springer")</f>
        <v>Springer</v>
      </c>
      <c r="J1064" s="1">
        <f ca="1">IFERROR(__xludf.DUMMYFUNCTION("""COMPUTED_VALUE"""),2016)</f>
        <v>2016</v>
      </c>
      <c r="K1064" s="1" t="str">
        <f ca="1">IFERROR(__xludf.DUMMYFUNCTION("""COMPUTED_VALUE"""),"Engineering")</f>
        <v>Engineering</v>
      </c>
      <c r="L1064" s="1" t="str">
        <f ca="1">IFERROR(__xludf.DUMMYFUNCTION("""COMPUTED_VALUE"""),"〇")</f>
        <v>〇</v>
      </c>
      <c r="M1064" s="1"/>
      <c r="N1064" s="1" t="str">
        <f ca="1">IFERROR(__xludf.DUMMYFUNCTION("""COMPUTED_VALUE"""),"TO16")</f>
        <v>TO16</v>
      </c>
      <c r="O1064" s="1"/>
      <c r="P1064" s="1"/>
    </row>
    <row r="1065" spans="1:16" ht="14.25" customHeight="1" x14ac:dyDescent="0.25">
      <c r="A1065" s="1"/>
      <c r="B1065" s="1">
        <f ca="1"/>
        <v>1053</v>
      </c>
      <c r="C1065" s="1">
        <f ca="1">IFERROR(__xludf.DUMMYFUNCTION("""COMPUTED_VALUE"""),2023)</f>
        <v>2023</v>
      </c>
      <c r="D1065" s="1">
        <f ca="1">IFERROR(__xludf.DUMMYFUNCTION("""COMPUTED_VALUE"""),40998)</f>
        <v>40998</v>
      </c>
      <c r="E1065" s="1" t="str">
        <f ca="1">IFERROR(__xludf.DUMMYFUNCTION("""COMPUTED_VALUE"""),"Iranian Journal of Science and Technology, Transactions of Electrical Engineering")</f>
        <v>Iranian Journal of Science and Technology, Transactions of Electrical Engineering</v>
      </c>
      <c r="F1065" s="1" t="str">
        <f ca="1">IFERROR(__xludf.DUMMYFUNCTION("""COMPUTED_VALUE"""),"2364-1827")</f>
        <v>2364-1827</v>
      </c>
      <c r="G1065" s="1" t="str">
        <f ca="1">IFERROR(__xludf.DUMMYFUNCTION("""COMPUTED_VALUE"""),"2228-6179")</f>
        <v>2228-6179</v>
      </c>
      <c r="H1065" s="27" t="str">
        <f ca="1">IFERROR(__xludf.DUMMYFUNCTION("""COMPUTED_VALUE"""),"https://link.springer.com/journal/40998")</f>
        <v>https://link.springer.com/journal/40998</v>
      </c>
      <c r="I1065" s="1" t="str">
        <f ca="1">IFERROR(__xludf.DUMMYFUNCTION("""COMPUTED_VALUE"""),"Springer")</f>
        <v>Springer</v>
      </c>
      <c r="J1065" s="1">
        <f ca="1">IFERROR(__xludf.DUMMYFUNCTION("""COMPUTED_VALUE"""),2016)</f>
        <v>2016</v>
      </c>
      <c r="K1065" s="1" t="str">
        <f ca="1">IFERROR(__xludf.DUMMYFUNCTION("""COMPUTED_VALUE"""),"Engineering")</f>
        <v>Engineering</v>
      </c>
      <c r="L1065" s="1" t="str">
        <f ca="1">IFERROR(__xludf.DUMMYFUNCTION("""COMPUTED_VALUE"""),"〇")</f>
        <v>〇</v>
      </c>
      <c r="M1065" s="1"/>
      <c r="N1065" s="1" t="str">
        <f ca="1">IFERROR(__xludf.DUMMYFUNCTION("""COMPUTED_VALUE"""),"TO16")</f>
        <v>TO16</v>
      </c>
      <c r="O1065" s="1"/>
      <c r="P1065" s="1"/>
    </row>
    <row r="1066" spans="1:16" ht="14.25" customHeight="1" x14ac:dyDescent="0.25">
      <c r="A1066" s="1"/>
      <c r="B1066" s="1">
        <f ca="1"/>
        <v>1054</v>
      </c>
      <c r="C1066" s="1">
        <f ca="1">IFERROR(__xludf.DUMMYFUNCTION("""COMPUTED_VALUE"""),2023)</f>
        <v>2023</v>
      </c>
      <c r="D1066" s="1">
        <f ca="1">IFERROR(__xludf.DUMMYFUNCTION("""COMPUTED_VALUE"""),40997)</f>
        <v>40997</v>
      </c>
      <c r="E1066" s="1" t="str">
        <f ca="1">IFERROR(__xludf.DUMMYFUNCTION("""COMPUTED_VALUE"""),"Iranian Journal of Science and Technology, Transactions of Mechanical Engineering")</f>
        <v>Iranian Journal of Science and Technology, Transactions of Mechanical Engineering</v>
      </c>
      <c r="F1066" s="1" t="str">
        <f ca="1">IFERROR(__xludf.DUMMYFUNCTION("""COMPUTED_VALUE"""),"2364-1835")</f>
        <v>2364-1835</v>
      </c>
      <c r="G1066" s="1" t="str">
        <f ca="1">IFERROR(__xludf.DUMMYFUNCTION("""COMPUTED_VALUE"""),"2228-6187")</f>
        <v>2228-6187</v>
      </c>
      <c r="H1066" s="27" t="str">
        <f ca="1">IFERROR(__xludf.DUMMYFUNCTION("""COMPUTED_VALUE"""),"https://link.springer.com/journal/40997")</f>
        <v>https://link.springer.com/journal/40997</v>
      </c>
      <c r="I1066" s="1" t="str">
        <f ca="1">IFERROR(__xludf.DUMMYFUNCTION("""COMPUTED_VALUE"""),"Springer")</f>
        <v>Springer</v>
      </c>
      <c r="J1066" s="1">
        <f ca="1">IFERROR(__xludf.DUMMYFUNCTION("""COMPUTED_VALUE"""),2016)</f>
        <v>2016</v>
      </c>
      <c r="K1066" s="1" t="str">
        <f ca="1">IFERROR(__xludf.DUMMYFUNCTION("""COMPUTED_VALUE"""),"Engineering")</f>
        <v>Engineering</v>
      </c>
      <c r="L1066" s="1" t="str">
        <f ca="1">IFERROR(__xludf.DUMMYFUNCTION("""COMPUTED_VALUE"""),"〇")</f>
        <v>〇</v>
      </c>
      <c r="M1066" s="1"/>
      <c r="N1066" s="1" t="str">
        <f ca="1">IFERROR(__xludf.DUMMYFUNCTION("""COMPUTED_VALUE"""),"TO16")</f>
        <v>TO16</v>
      </c>
      <c r="O1066" s="1"/>
      <c r="P1066" s="1"/>
    </row>
    <row r="1067" spans="1:16" ht="14.25" customHeight="1" x14ac:dyDescent="0.25">
      <c r="A1067" s="1"/>
      <c r="B1067" s="1">
        <f ca="1"/>
        <v>1055</v>
      </c>
      <c r="C1067" s="1">
        <f ca="1">IFERROR(__xludf.DUMMYFUNCTION("""COMPUTED_VALUE"""),2023)</f>
        <v>2023</v>
      </c>
      <c r="D1067" s="1">
        <f ca="1">IFERROR(__xludf.DUMMYFUNCTION("""COMPUTED_VALUE"""),13726)</f>
        <v>13726</v>
      </c>
      <c r="E1067" s="1" t="str">
        <f ca="1">IFERROR(__xludf.DUMMYFUNCTION("""COMPUTED_VALUE"""),"Iranian Polymer Journal")</f>
        <v>Iranian Polymer Journal</v>
      </c>
      <c r="F1067" s="1" t="str">
        <f ca="1">IFERROR(__xludf.DUMMYFUNCTION("""COMPUTED_VALUE"""),"1735-5265")</f>
        <v>1735-5265</v>
      </c>
      <c r="G1067" s="1" t="str">
        <f ca="1">IFERROR(__xludf.DUMMYFUNCTION("""COMPUTED_VALUE"""),"1026-1265")</f>
        <v>1026-1265</v>
      </c>
      <c r="H1067" s="27" t="str">
        <f ca="1">IFERROR(__xludf.DUMMYFUNCTION("""COMPUTED_VALUE"""),"https://link.springer.com/journal/13726")</f>
        <v>https://link.springer.com/journal/13726</v>
      </c>
      <c r="I1067" s="1" t="str">
        <f ca="1">IFERROR(__xludf.DUMMYFUNCTION("""COMPUTED_VALUE"""),"Springer")</f>
        <v>Springer</v>
      </c>
      <c r="J1067" s="1">
        <f ca="1">IFERROR(__xludf.DUMMYFUNCTION("""COMPUTED_VALUE"""),2012)</f>
        <v>2012</v>
      </c>
      <c r="K1067" s="1" t="str">
        <f ca="1">IFERROR(__xludf.DUMMYFUNCTION("""COMPUTED_VALUE"""),"Chemistry and Materials Science")</f>
        <v>Chemistry and Materials Science</v>
      </c>
      <c r="L1067" s="1" t="str">
        <f ca="1">IFERROR(__xludf.DUMMYFUNCTION("""COMPUTED_VALUE"""),"〇")</f>
        <v>〇</v>
      </c>
      <c r="M1067" s="1"/>
      <c r="N1067" s="1" t="str">
        <f ca="1">IFERROR(__xludf.DUMMYFUNCTION("""COMPUTED_VALUE"""),"TO12")</f>
        <v>TO12</v>
      </c>
      <c r="O1067" s="1"/>
      <c r="P1067" s="1"/>
    </row>
    <row r="1068" spans="1:16" ht="14.25" customHeight="1" x14ac:dyDescent="0.25">
      <c r="A1068" s="1"/>
      <c r="B1068" s="1">
        <f ca="1"/>
        <v>1056</v>
      </c>
      <c r="C1068" s="1">
        <f ca="1">IFERROR(__xludf.DUMMYFUNCTION("""COMPUTED_VALUE"""),2023)</f>
        <v>2023</v>
      </c>
      <c r="D1068" s="1">
        <f ca="1">IFERROR(__xludf.DUMMYFUNCTION("""COMPUTED_VALUE"""),11845)</f>
        <v>11845</v>
      </c>
      <c r="E1068" s="1" t="str">
        <f ca="1">IFERROR(__xludf.DUMMYFUNCTION("""COMPUTED_VALUE"""),"Irish Journal of Medical Science (1971 -)")</f>
        <v>Irish Journal of Medical Science (1971 -)</v>
      </c>
      <c r="F1068" s="1" t="str">
        <f ca="1">IFERROR(__xludf.DUMMYFUNCTION("""COMPUTED_VALUE"""),"1863-4362")</f>
        <v>1863-4362</v>
      </c>
      <c r="G1068" s="1" t="str">
        <f ca="1">IFERROR(__xludf.DUMMYFUNCTION("""COMPUTED_VALUE"""),"0021-1265")</f>
        <v>0021-1265</v>
      </c>
      <c r="H1068" s="27" t="str">
        <f ca="1">IFERROR(__xludf.DUMMYFUNCTION("""COMPUTED_VALUE"""),"https://link.springer.com/journal/11845")</f>
        <v>https://link.springer.com/journal/11845</v>
      </c>
      <c r="I1068" s="1" t="str">
        <f ca="1">IFERROR(__xludf.DUMMYFUNCTION("""COMPUTED_VALUE"""),"Springer")</f>
        <v>Springer</v>
      </c>
      <c r="J1068" s="1">
        <f ca="1">IFERROR(__xludf.DUMMYFUNCTION("""COMPUTED_VALUE"""),2000)</f>
        <v>2000</v>
      </c>
      <c r="K1068" s="1" t="str">
        <f ca="1">IFERROR(__xludf.DUMMYFUNCTION("""COMPUTED_VALUE"""),"Medicine")</f>
        <v>Medicine</v>
      </c>
      <c r="L1068" s="1" t="str">
        <f ca="1">IFERROR(__xludf.DUMMYFUNCTION("""COMPUTED_VALUE"""),"〇")</f>
        <v>〇</v>
      </c>
      <c r="M1068" s="1" t="str">
        <f ca="1">IFERROR(__xludf.DUMMYFUNCTION("""COMPUTED_VALUE"""),"〇")</f>
        <v>〇</v>
      </c>
      <c r="N1068" s="1" t="str">
        <f ca="1">IFERROR(__xludf.DUMMYFUNCTION("""COMPUTED_VALUE"""),"TO7")</f>
        <v>TO7</v>
      </c>
      <c r="O1068" s="1"/>
      <c r="P1068" s="1"/>
    </row>
    <row r="1069" spans="1:16" ht="14.25" customHeight="1" x14ac:dyDescent="0.25">
      <c r="A1069" s="1"/>
      <c r="B1069" s="1">
        <f ca="1"/>
        <v>1057</v>
      </c>
      <c r="C1069" s="1">
        <f ca="1">IFERROR(__xludf.DUMMYFUNCTION("""COMPUTED_VALUE"""),2023)</f>
        <v>2023</v>
      </c>
      <c r="D1069" s="1">
        <f ca="1">IFERROR(__xludf.DUMMYFUNCTION("""COMPUTED_VALUE"""),271)</f>
        <v>271</v>
      </c>
      <c r="E1069" s="1" t="str">
        <f ca="1">IFERROR(__xludf.DUMMYFUNCTION("""COMPUTED_VALUE"""),"Irrigation Science")</f>
        <v>Irrigation Science</v>
      </c>
      <c r="F1069" s="1" t="str">
        <f ca="1">IFERROR(__xludf.DUMMYFUNCTION("""COMPUTED_VALUE"""),"1432-1319")</f>
        <v>1432-1319</v>
      </c>
      <c r="G1069" s="1" t="str">
        <f ca="1">IFERROR(__xludf.DUMMYFUNCTION("""COMPUTED_VALUE"""),"0342-7188")</f>
        <v>0342-7188</v>
      </c>
      <c r="H1069" s="27" t="str">
        <f ca="1">IFERROR(__xludf.DUMMYFUNCTION("""COMPUTED_VALUE"""),"https://link.springer.com/journal/271")</f>
        <v>https://link.springer.com/journal/271</v>
      </c>
      <c r="I1069" s="1" t="str">
        <f ca="1">IFERROR(__xludf.DUMMYFUNCTION("""COMPUTED_VALUE"""),"Springer")</f>
        <v>Springer</v>
      </c>
      <c r="J1069" s="1">
        <f ca="1">IFERROR(__xludf.DUMMYFUNCTION("""COMPUTED_VALUE"""),2000)</f>
        <v>2000</v>
      </c>
      <c r="K1069" s="1" t="str">
        <f ca="1">IFERROR(__xludf.DUMMYFUNCTION("""COMPUTED_VALUE"""),"Biomedical and Life Sciences")</f>
        <v>Biomedical and Life Sciences</v>
      </c>
      <c r="L1069" s="1" t="str">
        <f ca="1">IFERROR(__xludf.DUMMYFUNCTION("""COMPUTED_VALUE"""),"〇")</f>
        <v>〇</v>
      </c>
      <c r="M1069" s="1" t="str">
        <f ca="1">IFERROR(__xludf.DUMMYFUNCTION("""COMPUTED_VALUE"""),"〇")</f>
        <v>〇</v>
      </c>
      <c r="N1069" s="1"/>
      <c r="O1069" s="1"/>
      <c r="P1069" s="1"/>
    </row>
    <row r="1070" spans="1:16" ht="14.25" customHeight="1" x14ac:dyDescent="0.25">
      <c r="A1070" s="1"/>
      <c r="B1070" s="1">
        <f ca="1"/>
        <v>1058</v>
      </c>
      <c r="C1070" s="1">
        <f ca="1">IFERROR(__xludf.DUMMYFUNCTION("""COMPUTED_VALUE"""),2023)</f>
        <v>2023</v>
      </c>
      <c r="D1070" s="1">
        <f ca="1">IFERROR(__xludf.DUMMYFUNCTION("""COMPUTED_VALUE"""),11856)</f>
        <v>11856</v>
      </c>
      <c r="E1070" s="1" t="str">
        <f ca="1">IFERROR(__xludf.DUMMYFUNCTION("""COMPUTED_VALUE"""),"Israel Journal of Mathematics")</f>
        <v>Israel Journal of Mathematics</v>
      </c>
      <c r="F1070" s="1" t="str">
        <f ca="1">IFERROR(__xludf.DUMMYFUNCTION("""COMPUTED_VALUE"""),"1565-8511")</f>
        <v>1565-8511</v>
      </c>
      <c r="G1070" s="1" t="str">
        <f ca="1">IFERROR(__xludf.DUMMYFUNCTION("""COMPUTED_VALUE"""),"0021-2172")</f>
        <v>0021-2172</v>
      </c>
      <c r="H1070" s="27" t="str">
        <f ca="1">IFERROR(__xludf.DUMMYFUNCTION("""COMPUTED_VALUE"""),"https://link.springer.com/journal/11856")</f>
        <v>https://link.springer.com/journal/11856</v>
      </c>
      <c r="I1070" s="1" t="str">
        <f ca="1">IFERROR(__xludf.DUMMYFUNCTION("""COMPUTED_VALUE"""),"Hebrew University Magnes Press")</f>
        <v>Hebrew University Magnes Press</v>
      </c>
      <c r="J1070" s="1">
        <f ca="1">IFERROR(__xludf.DUMMYFUNCTION("""COMPUTED_VALUE"""),2000)</f>
        <v>2000</v>
      </c>
      <c r="K1070" s="1" t="str">
        <f ca="1">IFERROR(__xludf.DUMMYFUNCTION("""COMPUTED_VALUE"""),"Mathematics and Statistics")</f>
        <v>Mathematics and Statistics</v>
      </c>
      <c r="L1070" s="1" t="str">
        <f ca="1">IFERROR(__xludf.DUMMYFUNCTION("""COMPUTED_VALUE"""),"〇")</f>
        <v>〇</v>
      </c>
      <c r="M1070" s="1" t="str">
        <f ca="1">IFERROR(__xludf.DUMMYFUNCTION("""COMPUTED_VALUE"""),"〇")</f>
        <v>〇</v>
      </c>
      <c r="N1070" s="1" t="str">
        <f ca="1">IFERROR(__xludf.DUMMYFUNCTION("""COMPUTED_VALUE"""),"TO7")</f>
        <v>TO7</v>
      </c>
      <c r="O1070" s="1"/>
      <c r="P1070" s="1"/>
    </row>
    <row r="1071" spans="1:16" ht="14.25" customHeight="1" x14ac:dyDescent="0.25">
      <c r="A1071" s="1"/>
      <c r="B1071" s="1">
        <f ca="1"/>
        <v>1059</v>
      </c>
      <c r="C1071" s="1">
        <f ca="1">IFERROR(__xludf.DUMMYFUNCTION("""COMPUTED_VALUE"""),2023)</f>
        <v>2023</v>
      </c>
      <c r="D1071" s="1">
        <f ca="1">IFERROR(__xludf.DUMMYFUNCTION("""COMPUTED_VALUE"""),41683)</f>
        <v>41683</v>
      </c>
      <c r="E1071" s="1" t="str">
        <f ca="1">IFERROR(__xludf.DUMMYFUNCTION("""COMPUTED_VALUE"""),"ISSS Journal of Micro and Smart Systems")</f>
        <v>ISSS Journal of Micro and Smart Systems</v>
      </c>
      <c r="F1071" s="1" t="str">
        <f ca="1">IFERROR(__xludf.DUMMYFUNCTION("""COMPUTED_VALUE"""),"2509-7997")</f>
        <v>2509-7997</v>
      </c>
      <c r="G1071" s="1" t="str">
        <f ca="1">IFERROR(__xludf.DUMMYFUNCTION("""COMPUTED_VALUE"""),"2509-7989")</f>
        <v>2509-7989</v>
      </c>
      <c r="H1071" s="27" t="str">
        <f ca="1">IFERROR(__xludf.DUMMYFUNCTION("""COMPUTED_VALUE"""),"https://link.springer.com/journal/41683")</f>
        <v>https://link.springer.com/journal/41683</v>
      </c>
      <c r="I1071" s="1" t="str">
        <f ca="1">IFERROR(__xludf.DUMMYFUNCTION("""COMPUTED_VALUE"""),"Springer")</f>
        <v>Springer</v>
      </c>
      <c r="J1071" s="1">
        <f ca="1">IFERROR(__xludf.DUMMYFUNCTION("""COMPUTED_VALUE"""),2017)</f>
        <v>2017</v>
      </c>
      <c r="K1071" s="1" t="str">
        <f ca="1">IFERROR(__xludf.DUMMYFUNCTION("""COMPUTED_VALUE"""),"Engineering")</f>
        <v>Engineering</v>
      </c>
      <c r="L1071" s="1" t="str">
        <f ca="1">IFERROR(__xludf.DUMMYFUNCTION("""COMPUTED_VALUE"""),"〇")</f>
        <v>〇</v>
      </c>
      <c r="M1071" s="1"/>
      <c r="N1071" s="1" t="str">
        <f ca="1">IFERROR(__xludf.DUMMYFUNCTION("""COMPUTED_VALUE"""),"TO17")</f>
        <v>TO17</v>
      </c>
      <c r="O1071" s="1"/>
      <c r="P1071" s="1"/>
    </row>
    <row r="1072" spans="1:16" ht="14.25" customHeight="1" x14ac:dyDescent="0.25">
      <c r="A1072" s="1"/>
      <c r="B1072" s="1">
        <f ca="1"/>
        <v>1060</v>
      </c>
      <c r="C1072" s="1">
        <f ca="1">IFERROR(__xludf.DUMMYFUNCTION("""COMPUTED_VALUE"""),2023)</f>
        <v>2023</v>
      </c>
      <c r="D1072" s="1">
        <f ca="1">IFERROR(__xludf.DUMMYFUNCTION("""COMPUTED_VALUE"""),35724)</f>
        <v>35724</v>
      </c>
      <c r="E1072" s="1" t="str">
        <f ca="1">IFERROR(__xludf.DUMMYFUNCTION("""COMPUTED_VALUE"""),"IST International Surface Technology")</f>
        <v>IST International Surface Technology</v>
      </c>
      <c r="F1072" s="1" t="str">
        <f ca="1">IFERROR(__xludf.DUMMYFUNCTION("""COMPUTED_VALUE"""),"2192-8703")</f>
        <v>2192-8703</v>
      </c>
      <c r="G1072" s="1" t="str">
        <f ca="1">IFERROR(__xludf.DUMMYFUNCTION("""COMPUTED_VALUE"""),"1865-4827")</f>
        <v>1865-4827</v>
      </c>
      <c r="H1072" s="27" t="str">
        <f ca="1">IFERROR(__xludf.DUMMYFUNCTION("""COMPUTED_VALUE"""),"https://link.springer.com/journal/35724")</f>
        <v>https://link.springer.com/journal/35724</v>
      </c>
      <c r="I1072" s="1" t="str">
        <f ca="1">IFERROR(__xludf.DUMMYFUNCTION("""COMPUTED_VALUE"""),"Springer Vieweg")</f>
        <v>Springer Vieweg</v>
      </c>
      <c r="J1072" s="1">
        <f ca="1">IFERROR(__xludf.DUMMYFUNCTION("""COMPUTED_VALUE"""),2010)</f>
        <v>2010</v>
      </c>
      <c r="K1072" s="1" t="str">
        <f ca="1">IFERROR(__xludf.DUMMYFUNCTION("""COMPUTED_VALUE"""),"Chemistry and Materials Science")</f>
        <v>Chemistry and Materials Science</v>
      </c>
      <c r="L1072" s="1" t="str">
        <f ca="1">IFERROR(__xludf.DUMMYFUNCTION("""COMPUTED_VALUE"""),"〇")</f>
        <v>〇</v>
      </c>
      <c r="M1072" s="1"/>
      <c r="N1072" s="1"/>
      <c r="O1072" s="1"/>
      <c r="P1072" s="1"/>
    </row>
    <row r="1073" spans="1:16" ht="14.25" customHeight="1" x14ac:dyDescent="0.25">
      <c r="A1073" s="1"/>
      <c r="B1073" s="1">
        <f ca="1"/>
        <v>1061</v>
      </c>
      <c r="C1073" s="1">
        <f ca="1">IFERROR(__xludf.DUMMYFUNCTION("""COMPUTED_VALUE"""),2023)</f>
        <v>2023</v>
      </c>
      <c r="D1073" s="1">
        <f ca="1">IFERROR(__xludf.DUMMYFUNCTION("""COMPUTED_VALUE"""),40797)</f>
        <v>40797</v>
      </c>
      <c r="E1073" s="1" t="str">
        <f ca="1">IFERROR(__xludf.DUMMYFUNCTION("""COMPUTED_VALUE"""),"Italian Economic Journal")</f>
        <v>Italian Economic Journal</v>
      </c>
      <c r="F1073" s="1" t="str">
        <f ca="1">IFERROR(__xludf.DUMMYFUNCTION("""COMPUTED_VALUE"""),"2199-3238")</f>
        <v>2199-3238</v>
      </c>
      <c r="G1073" s="1" t="str">
        <f ca="1">IFERROR(__xludf.DUMMYFUNCTION("""COMPUTED_VALUE"""),"2199-322X")</f>
        <v>2199-322X</v>
      </c>
      <c r="H1073" s="27" t="str">
        <f ca="1">IFERROR(__xludf.DUMMYFUNCTION("""COMPUTED_VALUE"""),"https://link.springer.com/journal/40797")</f>
        <v>https://link.springer.com/journal/40797</v>
      </c>
      <c r="I1073" s="1" t="str">
        <f ca="1">IFERROR(__xludf.DUMMYFUNCTION("""COMPUTED_VALUE"""),"Springer")</f>
        <v>Springer</v>
      </c>
      <c r="J1073" s="1">
        <f ca="1">IFERROR(__xludf.DUMMYFUNCTION("""COMPUTED_VALUE"""),2015)</f>
        <v>2015</v>
      </c>
      <c r="K1073" s="1" t="str">
        <f ca="1">IFERROR(__xludf.DUMMYFUNCTION("""COMPUTED_VALUE"""),"Economics and Finance")</f>
        <v>Economics and Finance</v>
      </c>
      <c r="L1073" s="1" t="str">
        <f ca="1">IFERROR(__xludf.DUMMYFUNCTION("""COMPUTED_VALUE"""),"〇")</f>
        <v>〇</v>
      </c>
      <c r="M1073" s="1"/>
      <c r="N1073" s="1" t="str">
        <f ca="1">IFERROR(__xludf.DUMMYFUNCTION("""COMPUTED_VALUE"""),"SNS15")</f>
        <v>SNS15</v>
      </c>
      <c r="O1073" s="1"/>
      <c r="P1073" s="1"/>
    </row>
    <row r="1074" spans="1:16" ht="14.25" customHeight="1" x14ac:dyDescent="0.25">
      <c r="A1074" s="1"/>
      <c r="B1074" s="1">
        <f ca="1"/>
        <v>1062</v>
      </c>
      <c r="C1074" s="1">
        <f ca="1">IFERROR(__xludf.DUMMYFUNCTION("""COMPUTED_VALUE"""),2023)</f>
        <v>2023</v>
      </c>
      <c r="D1074" s="1">
        <f ca="1">IFERROR(__xludf.DUMMYFUNCTION("""COMPUTED_VALUE"""),43039)</f>
        <v>43039</v>
      </c>
      <c r="E1074" s="1" t="str">
        <f ca="1">IFERROR(__xludf.DUMMYFUNCTION("""COMPUTED_VALUE"""),"Italian Journal of Marketing")</f>
        <v>Italian Journal of Marketing</v>
      </c>
      <c r="F1074" s="1" t="str">
        <f ca="1">IFERROR(__xludf.DUMMYFUNCTION("""COMPUTED_VALUE"""),"2662-3331")</f>
        <v>2662-3331</v>
      </c>
      <c r="G1074" s="1" t="str">
        <f ca="1">IFERROR(__xludf.DUMMYFUNCTION("""COMPUTED_VALUE"""),"2662-3323")</f>
        <v>2662-3323</v>
      </c>
      <c r="H1074" s="27" t="str">
        <f ca="1">IFERROR(__xludf.DUMMYFUNCTION("""COMPUTED_VALUE"""),"https://link.springer.com/journal/43039")</f>
        <v>https://link.springer.com/journal/43039</v>
      </c>
      <c r="I1074" s="1" t="str">
        <f ca="1">IFERROR(__xludf.DUMMYFUNCTION("""COMPUTED_VALUE"""),"Springer")</f>
        <v>Springer</v>
      </c>
      <c r="J1074" s="1">
        <f ca="1">IFERROR(__xludf.DUMMYFUNCTION("""COMPUTED_VALUE"""),2020)</f>
        <v>2020</v>
      </c>
      <c r="K1074" s="1" t="str">
        <f ca="1">IFERROR(__xludf.DUMMYFUNCTION("""COMPUTED_VALUE"""),"Business and Management")</f>
        <v>Business and Management</v>
      </c>
      <c r="L1074" s="1" t="str">
        <f ca="1">IFERROR(__xludf.DUMMYFUNCTION("""COMPUTED_VALUE"""),"〇")</f>
        <v>〇</v>
      </c>
      <c r="M1074" s="1"/>
      <c r="N1074" s="1" t="str">
        <f ca="1">IFERROR(__xludf.DUMMYFUNCTION("""COMPUTED_VALUE"""),"TO20")</f>
        <v>TO20</v>
      </c>
      <c r="O1074" s="1"/>
      <c r="P1074" s="1"/>
    </row>
    <row r="1075" spans="1:16" ht="14.25" customHeight="1" x14ac:dyDescent="0.25">
      <c r="A1075" s="1"/>
      <c r="B1075" s="1">
        <f ca="1"/>
        <v>1063</v>
      </c>
      <c r="C1075" s="1">
        <f ca="1">IFERROR(__xludf.DUMMYFUNCTION("""COMPUTED_VALUE"""),2023)</f>
        <v>2023</v>
      </c>
      <c r="D1075" s="1">
        <f ca="1">IFERROR(__xludf.DUMMYFUNCTION("""COMPUTED_VALUE"""),11485)</f>
        <v>11485</v>
      </c>
      <c r="E1075" s="1" t="str">
        <f ca="1">IFERROR(__xludf.DUMMYFUNCTION("""COMPUTED_VALUE"""),"Izvestiya, Atmospheric and Oceanic Physics")</f>
        <v>Izvestiya, Atmospheric and Oceanic Physics</v>
      </c>
      <c r="F1075" s="1" t="str">
        <f ca="1">IFERROR(__xludf.DUMMYFUNCTION("""COMPUTED_VALUE"""),"1555-628X")</f>
        <v>1555-628X</v>
      </c>
      <c r="G1075" s="1" t="str">
        <f ca="1">IFERROR(__xludf.DUMMYFUNCTION("""COMPUTED_VALUE"""),"0001-4338")</f>
        <v>0001-4338</v>
      </c>
      <c r="H1075" s="27" t="str">
        <f ca="1">IFERROR(__xludf.DUMMYFUNCTION("""COMPUTED_VALUE"""),"https://link.springer.com/journal/11485")</f>
        <v>https://link.springer.com/journal/11485</v>
      </c>
      <c r="I1075" s="1" t="str">
        <f ca="1">IFERROR(__xludf.DUMMYFUNCTION("""COMPUTED_VALUE"""),"Pleiades Publishing")</f>
        <v>Pleiades Publishing</v>
      </c>
      <c r="J1075" s="1">
        <f ca="1">IFERROR(__xludf.DUMMYFUNCTION("""COMPUTED_VALUE"""),2006)</f>
        <v>2006</v>
      </c>
      <c r="K1075" s="1" t="str">
        <f ca="1">IFERROR(__xludf.DUMMYFUNCTION("""COMPUTED_VALUE"""),"Earth and Environmental Science")</f>
        <v>Earth and Environmental Science</v>
      </c>
      <c r="L1075" s="1" t="str">
        <f ca="1">IFERROR(__xludf.DUMMYFUNCTION("""COMPUTED_VALUE"""),"〇")</f>
        <v>〇</v>
      </c>
      <c r="M1075" s="1" t="str">
        <f ca="1">IFERROR(__xludf.DUMMYFUNCTION("""COMPUTED_VALUE"""),"〇")</f>
        <v>〇</v>
      </c>
      <c r="N1075" s="1"/>
      <c r="O1075" s="1"/>
      <c r="P1075" s="1"/>
    </row>
    <row r="1076" spans="1:16" ht="14.25" customHeight="1" x14ac:dyDescent="0.25">
      <c r="A1076" s="1"/>
      <c r="B1076" s="1">
        <f ca="1"/>
        <v>1064</v>
      </c>
      <c r="C1076" s="1">
        <f ca="1">IFERROR(__xludf.DUMMYFUNCTION("""COMPUTED_VALUE"""),2023)</f>
        <v>2023</v>
      </c>
      <c r="D1076" s="1">
        <f ca="1">IFERROR(__xludf.DUMMYFUNCTION("""COMPUTED_VALUE"""),11486)</f>
        <v>11486</v>
      </c>
      <c r="E1076" s="1" t="str">
        <f ca="1">IFERROR(__xludf.DUMMYFUNCTION("""COMPUTED_VALUE"""),"Izvestiya, Physics of the Solid Earth")</f>
        <v>Izvestiya, Physics of the Solid Earth</v>
      </c>
      <c r="F1076" s="1" t="str">
        <f ca="1">IFERROR(__xludf.DUMMYFUNCTION("""COMPUTED_VALUE"""),"1555-6506")</f>
        <v>1555-6506</v>
      </c>
      <c r="G1076" s="1" t="str">
        <f ca="1">IFERROR(__xludf.DUMMYFUNCTION("""COMPUTED_VALUE"""),"1069-3513")</f>
        <v>1069-3513</v>
      </c>
      <c r="H1076" s="27" t="str">
        <f ca="1">IFERROR(__xludf.DUMMYFUNCTION("""COMPUTED_VALUE"""),"https://link.springer.com/journal/11486")</f>
        <v>https://link.springer.com/journal/11486</v>
      </c>
      <c r="I1076" s="1" t="str">
        <f ca="1">IFERROR(__xludf.DUMMYFUNCTION("""COMPUTED_VALUE"""),"Pleiades Publishing")</f>
        <v>Pleiades Publishing</v>
      </c>
      <c r="J1076" s="1">
        <f ca="1">IFERROR(__xludf.DUMMYFUNCTION("""COMPUTED_VALUE"""),2006)</f>
        <v>2006</v>
      </c>
      <c r="K1076" s="1" t="str">
        <f ca="1">IFERROR(__xludf.DUMMYFUNCTION("""COMPUTED_VALUE"""),"Earth and Environmental Science")</f>
        <v>Earth and Environmental Science</v>
      </c>
      <c r="L1076" s="1" t="str">
        <f ca="1">IFERROR(__xludf.DUMMYFUNCTION("""COMPUTED_VALUE"""),"〇")</f>
        <v>〇</v>
      </c>
      <c r="M1076" s="1" t="str">
        <f ca="1">IFERROR(__xludf.DUMMYFUNCTION("""COMPUTED_VALUE"""),"〇")</f>
        <v>〇</v>
      </c>
      <c r="N1076" s="1"/>
      <c r="O1076" s="1"/>
      <c r="P1076" s="1"/>
    </row>
    <row r="1077" spans="1:16" ht="14.25" customHeight="1" x14ac:dyDescent="0.25">
      <c r="A1077" s="1"/>
      <c r="B1077" s="1">
        <f ca="1"/>
        <v>1065</v>
      </c>
      <c r="C1077" s="1">
        <f ca="1">IFERROR(__xludf.DUMMYFUNCTION("""COMPUTED_VALUE"""),2023)</f>
        <v>2023</v>
      </c>
      <c r="D1077" s="1">
        <f ca="1">IFERROR(__xludf.DUMMYFUNCTION("""COMPUTED_VALUE"""),13291)</f>
        <v>13291</v>
      </c>
      <c r="E1077" s="1" t="str">
        <f ca="1">IFERROR(__xludf.DUMMYFUNCTION("""COMPUTED_VALUE"""),"Jahresbericht der Deutschen Mathematiker-Vereinigung")</f>
        <v>Jahresbericht der Deutschen Mathematiker-Vereinigung</v>
      </c>
      <c r="F1077" s="1" t="str">
        <f ca="1">IFERROR(__xludf.DUMMYFUNCTION("""COMPUTED_VALUE"""),"1869-7135")</f>
        <v>1869-7135</v>
      </c>
      <c r="G1077" s="1" t="str">
        <f ca="1">IFERROR(__xludf.DUMMYFUNCTION("""COMPUTED_VALUE"""),"0012-0456")</f>
        <v>0012-0456</v>
      </c>
      <c r="H1077" s="27" t="str">
        <f ca="1">IFERROR(__xludf.DUMMYFUNCTION("""COMPUTED_VALUE"""),"https://link.springer.com/journal/13291")</f>
        <v>https://link.springer.com/journal/13291</v>
      </c>
      <c r="I1077" s="1" t="str">
        <f ca="1">IFERROR(__xludf.DUMMYFUNCTION("""COMPUTED_VALUE"""),"Springer")</f>
        <v>Springer</v>
      </c>
      <c r="J1077" s="1">
        <f ca="1">IFERROR(__xludf.DUMMYFUNCTION("""COMPUTED_VALUE"""),2010)</f>
        <v>2010</v>
      </c>
      <c r="K1077" s="1" t="str">
        <f ca="1">IFERROR(__xludf.DUMMYFUNCTION("""COMPUTED_VALUE"""),"Mathematics and Statistics")</f>
        <v>Mathematics and Statistics</v>
      </c>
      <c r="L1077" s="1" t="str">
        <f ca="1">IFERROR(__xludf.DUMMYFUNCTION("""COMPUTED_VALUE"""),"〇")</f>
        <v>〇</v>
      </c>
      <c r="M1077" s="1" t="str">
        <f ca="1">IFERROR(__xludf.DUMMYFUNCTION("""COMPUTED_VALUE"""),"〇")</f>
        <v>〇</v>
      </c>
      <c r="N1077" s="1"/>
      <c r="O1077" s="1"/>
      <c r="P1077" s="1"/>
    </row>
    <row r="1078" spans="1:16" ht="14.25" customHeight="1" x14ac:dyDescent="0.25">
      <c r="A1078" s="1"/>
      <c r="B1078" s="1">
        <f ca="1"/>
        <v>1066</v>
      </c>
      <c r="C1078" s="1">
        <f ca="1">IFERROR(__xludf.DUMMYFUNCTION("""COMPUTED_VALUE"""),2023)</f>
        <v>2023</v>
      </c>
      <c r="D1078" s="1">
        <f ca="1">IFERROR(__xludf.DUMMYFUNCTION("""COMPUTED_VALUE"""),13160)</f>
        <v>13160</v>
      </c>
      <c r="E1078" s="1" t="str">
        <f ca="1">IFERROR(__xludf.DUMMYFUNCTION("""COMPUTED_VALUE"""),"Japan Journal of Industrial and Applied Mathematics")</f>
        <v>Japan Journal of Industrial and Applied Mathematics</v>
      </c>
      <c r="F1078" s="1" t="str">
        <f ca="1">IFERROR(__xludf.DUMMYFUNCTION("""COMPUTED_VALUE"""),"1868-937X")</f>
        <v>1868-937X</v>
      </c>
      <c r="G1078" s="1" t="str">
        <f ca="1">IFERROR(__xludf.DUMMYFUNCTION("""COMPUTED_VALUE"""),"0916-7005")</f>
        <v>0916-7005</v>
      </c>
      <c r="H1078" s="27" t="str">
        <f ca="1">IFERROR(__xludf.DUMMYFUNCTION("""COMPUTED_VALUE"""),"https://link.springer.com/journal/13160")</f>
        <v>https://link.springer.com/journal/13160</v>
      </c>
      <c r="I1078" s="1" t="str">
        <f ca="1">IFERROR(__xludf.DUMMYFUNCTION("""COMPUTED_VALUE"""),"Springer")</f>
        <v>Springer</v>
      </c>
      <c r="J1078" s="1">
        <f ca="1">IFERROR(__xludf.DUMMYFUNCTION("""COMPUTED_VALUE"""),2000)</f>
        <v>2000</v>
      </c>
      <c r="K1078" s="1" t="str">
        <f ca="1">IFERROR(__xludf.DUMMYFUNCTION("""COMPUTED_VALUE"""),"Mathematics and Statistics")</f>
        <v>Mathematics and Statistics</v>
      </c>
      <c r="L1078" s="1" t="str">
        <f ca="1">IFERROR(__xludf.DUMMYFUNCTION("""COMPUTED_VALUE"""),"〇")</f>
        <v>〇</v>
      </c>
      <c r="M1078" s="1"/>
      <c r="N1078" s="1" t="str">
        <f ca="1">IFERROR(__xludf.DUMMYFUNCTION("""COMPUTED_VALUE"""),"TO10")</f>
        <v>TO10</v>
      </c>
      <c r="O1078" s="1"/>
      <c r="P1078" s="1"/>
    </row>
    <row r="1079" spans="1:16" ht="14.25" customHeight="1" x14ac:dyDescent="0.25">
      <c r="A1079" s="1"/>
      <c r="B1079" s="1">
        <f ca="1"/>
        <v>1067</v>
      </c>
      <c r="C1079" s="1">
        <f ca="1">IFERROR(__xludf.DUMMYFUNCTION("""COMPUTED_VALUE"""),2023)</f>
        <v>2023</v>
      </c>
      <c r="D1079" s="1">
        <f ca="1">IFERROR(__xludf.DUMMYFUNCTION("""COMPUTED_VALUE"""),10384)</f>
        <v>10384</v>
      </c>
      <c r="E1079" s="1" t="str">
        <f ca="1">IFERROR(__xludf.DUMMYFUNCTION("""COMPUTED_VALUE"""),"Japanese Journal of Ophthalmology")</f>
        <v>Japanese Journal of Ophthalmology</v>
      </c>
      <c r="F1079" s="1" t="str">
        <f ca="1">IFERROR(__xludf.DUMMYFUNCTION("""COMPUTED_VALUE"""),"1613-2246")</f>
        <v>1613-2246</v>
      </c>
      <c r="G1079" s="1" t="str">
        <f ca="1">IFERROR(__xludf.DUMMYFUNCTION("""COMPUTED_VALUE"""),"0021-5155")</f>
        <v>0021-5155</v>
      </c>
      <c r="H1079" s="27" t="str">
        <f ca="1">IFERROR(__xludf.DUMMYFUNCTION("""COMPUTED_VALUE"""),"https://link.springer.com/journal/10384")</f>
        <v>https://link.springer.com/journal/10384</v>
      </c>
      <c r="I1079" s="1" t="str">
        <f ca="1">IFERROR(__xludf.DUMMYFUNCTION("""COMPUTED_VALUE"""),"Springer")</f>
        <v>Springer</v>
      </c>
      <c r="J1079" s="1">
        <f ca="1">IFERROR(__xludf.DUMMYFUNCTION("""COMPUTED_VALUE"""),2004)</f>
        <v>2004</v>
      </c>
      <c r="K1079" s="1" t="str">
        <f ca="1">IFERROR(__xludf.DUMMYFUNCTION("""COMPUTED_VALUE"""),"Medicine")</f>
        <v>Medicine</v>
      </c>
      <c r="L1079" s="1" t="str">
        <f ca="1">IFERROR(__xludf.DUMMYFUNCTION("""COMPUTED_VALUE"""),"〇")</f>
        <v>〇</v>
      </c>
      <c r="M1079" s="1" t="str">
        <f ca="1">IFERROR(__xludf.DUMMYFUNCTION("""COMPUTED_VALUE"""),"〇")</f>
        <v>〇</v>
      </c>
      <c r="N1079" s="1"/>
      <c r="O1079" s="1"/>
      <c r="P1079" s="1"/>
    </row>
    <row r="1080" spans="1:16" ht="14.25" customHeight="1" x14ac:dyDescent="0.25">
      <c r="A1080" s="1"/>
      <c r="B1080" s="1">
        <f ca="1"/>
        <v>1068</v>
      </c>
      <c r="C1080" s="1">
        <f ca="1">IFERROR(__xludf.DUMMYFUNCTION("""COMPUTED_VALUE"""),2023)</f>
        <v>2023</v>
      </c>
      <c r="D1080" s="1">
        <f ca="1">IFERROR(__xludf.DUMMYFUNCTION("""COMPUTED_VALUE"""),11604)</f>
        <v>11604</v>
      </c>
      <c r="E1080" s="1" t="str">
        <f ca="1">IFERROR(__xludf.DUMMYFUNCTION("""COMPUTED_VALUE"""),"Japanese Journal of Radiology")</f>
        <v>Japanese Journal of Radiology</v>
      </c>
      <c r="F1080" s="1" t="str">
        <f ca="1">IFERROR(__xludf.DUMMYFUNCTION("""COMPUTED_VALUE"""),"1867-108X")</f>
        <v>1867-108X</v>
      </c>
      <c r="G1080" s="1" t="str">
        <f ca="1">IFERROR(__xludf.DUMMYFUNCTION("""COMPUTED_VALUE"""),"1867-1071")</f>
        <v>1867-1071</v>
      </c>
      <c r="H1080" s="27" t="str">
        <f ca="1">IFERROR(__xludf.DUMMYFUNCTION("""COMPUTED_VALUE"""),"https://link.springer.com/journal/11604")</f>
        <v>https://link.springer.com/journal/11604</v>
      </c>
      <c r="I1080" s="1" t="str">
        <f ca="1">IFERROR(__xludf.DUMMYFUNCTION("""COMPUTED_VALUE"""),"Springer")</f>
        <v>Springer</v>
      </c>
      <c r="J1080" s="1">
        <f ca="1">IFERROR(__xludf.DUMMYFUNCTION("""COMPUTED_VALUE"""),2006)</f>
        <v>2006</v>
      </c>
      <c r="K1080" s="1" t="str">
        <f ca="1">IFERROR(__xludf.DUMMYFUNCTION("""COMPUTED_VALUE"""),"Medicine")</f>
        <v>Medicine</v>
      </c>
      <c r="L1080" s="1" t="str">
        <f ca="1">IFERROR(__xludf.DUMMYFUNCTION("""COMPUTED_VALUE"""),"〇")</f>
        <v>〇</v>
      </c>
      <c r="M1080" s="1" t="str">
        <f ca="1">IFERROR(__xludf.DUMMYFUNCTION("""COMPUTED_VALUE"""),"〇")</f>
        <v>〇</v>
      </c>
      <c r="N1080" s="1" t="str">
        <f ca="1">IFERROR(__xludf.DUMMYFUNCTION("""COMPUTED_VALUE"""),"TO7")</f>
        <v>TO7</v>
      </c>
      <c r="O1080" s="1"/>
      <c r="P1080" s="1"/>
    </row>
    <row r="1081" spans="1:16" ht="14.25" customHeight="1" x14ac:dyDescent="0.25">
      <c r="A1081" s="1"/>
      <c r="B1081" s="1">
        <f ca="1"/>
        <v>1069</v>
      </c>
      <c r="C1081" s="1">
        <f ca="1">IFERROR(__xludf.DUMMYFUNCTION("""COMPUTED_VALUE"""),2023)</f>
        <v>2023</v>
      </c>
      <c r="D1081" s="1">
        <f ca="1">IFERROR(__xludf.DUMMYFUNCTION("""COMPUTED_VALUE"""),42081)</f>
        <v>42081</v>
      </c>
      <c r="E1081" s="1" t="str">
        <f ca="1">IFERROR(__xludf.DUMMYFUNCTION("""COMPUTED_VALUE"""),"Japanese Journal of Statistics and Data Science")</f>
        <v>Japanese Journal of Statistics and Data Science</v>
      </c>
      <c r="F1081" s="1" t="str">
        <f ca="1">IFERROR(__xludf.DUMMYFUNCTION("""COMPUTED_VALUE"""),"2520-8764")</f>
        <v>2520-8764</v>
      </c>
      <c r="G1081" s="1" t="str">
        <f ca="1">IFERROR(__xludf.DUMMYFUNCTION("""COMPUTED_VALUE"""),"2520-8756")</f>
        <v>2520-8756</v>
      </c>
      <c r="H1081" s="27" t="str">
        <f ca="1">IFERROR(__xludf.DUMMYFUNCTION("""COMPUTED_VALUE"""),"https://link.springer.com/journal/42081")</f>
        <v>https://link.springer.com/journal/42081</v>
      </c>
      <c r="I1081" s="1" t="str">
        <f ca="1">IFERROR(__xludf.DUMMYFUNCTION("""COMPUTED_VALUE"""),"Springer")</f>
        <v>Springer</v>
      </c>
      <c r="J1081" s="1">
        <f ca="1">IFERROR(__xludf.DUMMYFUNCTION("""COMPUTED_VALUE"""),2018)</f>
        <v>2018</v>
      </c>
      <c r="K1081" s="1" t="str">
        <f ca="1">IFERROR(__xludf.DUMMYFUNCTION("""COMPUTED_VALUE"""),"Mathematics and Statistics")</f>
        <v>Mathematics and Statistics</v>
      </c>
      <c r="L1081" s="1" t="str">
        <f ca="1">IFERROR(__xludf.DUMMYFUNCTION("""COMPUTED_VALUE"""),"〇")</f>
        <v>〇</v>
      </c>
      <c r="M1081" s="1"/>
      <c r="N1081" s="1" t="str">
        <f ca="1">IFERROR(__xludf.DUMMYFUNCTION("""COMPUTED_VALUE"""),"SNS18")</f>
        <v>SNS18</v>
      </c>
      <c r="O1081" s="1"/>
      <c r="P1081" s="1"/>
    </row>
    <row r="1082" spans="1:16" ht="14.25" customHeight="1" x14ac:dyDescent="0.25">
      <c r="A1082" s="1"/>
      <c r="B1082" s="1">
        <f ca="1"/>
        <v>1070</v>
      </c>
      <c r="C1082" s="1">
        <f ca="1">IFERROR(__xludf.DUMMYFUNCTION("""COMPUTED_VALUE"""),2023)</f>
        <v>2023</v>
      </c>
      <c r="D1082" s="1">
        <f ca="1">IFERROR(__xludf.DUMMYFUNCTION("""COMPUTED_VALUE"""),775)</f>
        <v>775</v>
      </c>
      <c r="E1082" s="1" t="str">
        <f ca="1">IFERROR(__xludf.DUMMYFUNCTION("""COMPUTED_VALUE"""),"JBIC Journal of Biological Inorganic Chemistry")</f>
        <v>JBIC Journal of Biological Inorganic Chemistry</v>
      </c>
      <c r="F1082" s="1" t="str">
        <f ca="1">IFERROR(__xludf.DUMMYFUNCTION("""COMPUTED_VALUE"""),"1432-1327")</f>
        <v>1432-1327</v>
      </c>
      <c r="G1082" s="1"/>
      <c r="H1082" s="27" t="str">
        <f ca="1">IFERROR(__xludf.DUMMYFUNCTION("""COMPUTED_VALUE"""),"https://link.springer.com/journal/775")</f>
        <v>https://link.springer.com/journal/775</v>
      </c>
      <c r="I1082" s="1" t="str">
        <f ca="1">IFERROR(__xludf.DUMMYFUNCTION("""COMPUTED_VALUE"""),"Springer")</f>
        <v>Springer</v>
      </c>
      <c r="J1082" s="1">
        <f ca="1">IFERROR(__xludf.DUMMYFUNCTION("""COMPUTED_VALUE"""),2000)</f>
        <v>2000</v>
      </c>
      <c r="K1082" s="1" t="str">
        <f ca="1">IFERROR(__xludf.DUMMYFUNCTION("""COMPUTED_VALUE"""),"Biomedical and Life Sciences")</f>
        <v>Biomedical and Life Sciences</v>
      </c>
      <c r="L1082" s="1"/>
      <c r="M1082" s="1" t="str">
        <f ca="1">IFERROR(__xludf.DUMMYFUNCTION("""COMPUTED_VALUE"""),"〇")</f>
        <v>〇</v>
      </c>
      <c r="N1082" s="1"/>
      <c r="O1082" s="1"/>
      <c r="P1082" s="1"/>
    </row>
    <row r="1083" spans="1:16" ht="14.25" customHeight="1" x14ac:dyDescent="0.25">
      <c r="A1083" s="1"/>
      <c r="B1083" s="1">
        <f ca="1"/>
        <v>1071</v>
      </c>
      <c r="C1083" s="1">
        <f ca="1">IFERROR(__xludf.DUMMYFUNCTION("""COMPUTED_VALUE"""),2023)</f>
        <v>2023</v>
      </c>
      <c r="D1083" s="1">
        <f ca="1">IFERROR(__xludf.DUMMYFUNCTION("""COMPUTED_VALUE"""),11448)</f>
        <v>11448</v>
      </c>
      <c r="E1083" s="1" t="str">
        <f ca="1">IFERROR(__xludf.DUMMYFUNCTION("""COMPUTED_VALUE"""),"JETP Letters")</f>
        <v>JETP Letters</v>
      </c>
      <c r="F1083" s="1" t="str">
        <f ca="1">IFERROR(__xludf.DUMMYFUNCTION("""COMPUTED_VALUE"""),"1090-6487")</f>
        <v>1090-6487</v>
      </c>
      <c r="G1083" s="1" t="str">
        <f ca="1">IFERROR(__xludf.DUMMYFUNCTION("""COMPUTED_VALUE"""),"0021-3640")</f>
        <v>0021-3640</v>
      </c>
      <c r="H1083" s="27" t="str">
        <f ca="1">IFERROR(__xludf.DUMMYFUNCTION("""COMPUTED_VALUE"""),"https://link.springer.com/journal/11448")</f>
        <v>https://link.springer.com/journal/11448</v>
      </c>
      <c r="I1083" s="1" t="str">
        <f ca="1">IFERROR(__xludf.DUMMYFUNCTION("""COMPUTED_VALUE"""),"Pleiades Publishing")</f>
        <v>Pleiades Publishing</v>
      </c>
      <c r="J1083" s="1">
        <f ca="1">IFERROR(__xludf.DUMMYFUNCTION("""COMPUTED_VALUE"""),2000)</f>
        <v>2000</v>
      </c>
      <c r="K1083" s="1" t="str">
        <f ca="1">IFERROR(__xludf.DUMMYFUNCTION("""COMPUTED_VALUE"""),"Physics and Astronomy")</f>
        <v>Physics and Astronomy</v>
      </c>
      <c r="L1083" s="1" t="str">
        <f ca="1">IFERROR(__xludf.DUMMYFUNCTION("""COMPUTED_VALUE"""),"〇")</f>
        <v>〇</v>
      </c>
      <c r="M1083" s="1" t="str">
        <f ca="1">IFERROR(__xludf.DUMMYFUNCTION("""COMPUTED_VALUE"""),"〇")</f>
        <v>〇</v>
      </c>
      <c r="N1083" s="1"/>
      <c r="O1083" s="1"/>
      <c r="P1083" s="1"/>
    </row>
    <row r="1084" spans="1:16" ht="14.25" customHeight="1" x14ac:dyDescent="0.25">
      <c r="A1084" s="1"/>
      <c r="B1084" s="1">
        <f ca="1"/>
        <v>1072</v>
      </c>
      <c r="C1084" s="1">
        <f ca="1">IFERROR(__xludf.DUMMYFUNCTION("""COMPUTED_VALUE"""),2023)</f>
        <v>2023</v>
      </c>
      <c r="D1084" s="1">
        <f ca="1">IFERROR(__xludf.DUMMYFUNCTION("""COMPUTED_VALUE"""),10835)</f>
        <v>10835</v>
      </c>
      <c r="E1084" s="1" t="str">
        <f ca="1">IFERROR(__xludf.DUMMYFUNCTION("""COMPUTED_VALUE"""),"Jewish History")</f>
        <v>Jewish History</v>
      </c>
      <c r="F1084" s="1" t="str">
        <f ca="1">IFERROR(__xludf.DUMMYFUNCTION("""COMPUTED_VALUE"""),"1572-8579")</f>
        <v>1572-8579</v>
      </c>
      <c r="G1084" s="1" t="str">
        <f ca="1">IFERROR(__xludf.DUMMYFUNCTION("""COMPUTED_VALUE"""),"0334-701X")</f>
        <v>0334-701X</v>
      </c>
      <c r="H1084" s="27" t="str">
        <f ca="1">IFERROR(__xludf.DUMMYFUNCTION("""COMPUTED_VALUE"""),"https://link.springer.com/journal/10835")</f>
        <v>https://link.springer.com/journal/10835</v>
      </c>
      <c r="I1084" s="1" t="str">
        <f ca="1">IFERROR(__xludf.DUMMYFUNCTION("""COMPUTED_VALUE"""),"Springer")</f>
        <v>Springer</v>
      </c>
      <c r="J1084" s="1">
        <f ca="1">IFERROR(__xludf.DUMMYFUNCTION("""COMPUTED_VALUE"""),2000)</f>
        <v>2000</v>
      </c>
      <c r="K1084" s="1" t="str">
        <f ca="1">IFERROR(__xludf.DUMMYFUNCTION("""COMPUTED_VALUE"""),"History")</f>
        <v>History</v>
      </c>
      <c r="L1084" s="1" t="str">
        <f ca="1">IFERROR(__xludf.DUMMYFUNCTION("""COMPUTED_VALUE"""),"〇")</f>
        <v>〇</v>
      </c>
      <c r="M1084" s="1" t="str">
        <f ca="1">IFERROR(__xludf.DUMMYFUNCTION("""COMPUTED_VALUE"""),"〇")</f>
        <v>〇</v>
      </c>
      <c r="N1084" s="1"/>
      <c r="O1084" s="1"/>
      <c r="P1084" s="1"/>
    </row>
    <row r="1085" spans="1:16" ht="14.25" customHeight="1" x14ac:dyDescent="0.25">
      <c r="A1085" s="1"/>
      <c r="B1085" s="1">
        <f ca="1"/>
        <v>1073</v>
      </c>
      <c r="C1085" s="1">
        <f ca="1">IFERROR(__xludf.DUMMYFUNCTION("""COMPUTED_VALUE"""),2023)</f>
        <v>2023</v>
      </c>
      <c r="D1085" s="1">
        <f ca="1">IFERROR(__xludf.DUMMYFUNCTION("""COMPUTED_VALUE"""),41020)</f>
        <v>41020</v>
      </c>
      <c r="E1085" s="1" t="str">
        <f ca="1">IFERROR(__xludf.DUMMYFUNCTION("""COMPUTED_VALUE"""),"Jindal Global Law Review")</f>
        <v>Jindal Global Law Review</v>
      </c>
      <c r="F1085" s="1" t="str">
        <f ca="1">IFERROR(__xludf.DUMMYFUNCTION("""COMPUTED_VALUE"""),"2364-4869")</f>
        <v>2364-4869</v>
      </c>
      <c r="G1085" s="1" t="str">
        <f ca="1">IFERROR(__xludf.DUMMYFUNCTION("""COMPUTED_VALUE"""),"0975-2498")</f>
        <v>0975-2498</v>
      </c>
      <c r="H1085" s="27" t="str">
        <f ca="1">IFERROR(__xludf.DUMMYFUNCTION("""COMPUTED_VALUE"""),"https://link.springer.com/journal/41020")</f>
        <v>https://link.springer.com/journal/41020</v>
      </c>
      <c r="I1085" s="1" t="str">
        <f ca="1">IFERROR(__xludf.DUMMYFUNCTION("""COMPUTED_VALUE"""),"Springer")</f>
        <v>Springer</v>
      </c>
      <c r="J1085" s="1">
        <f ca="1">IFERROR(__xludf.DUMMYFUNCTION("""COMPUTED_VALUE"""),2015)</f>
        <v>2015</v>
      </c>
      <c r="K1085" s="1" t="str">
        <f ca="1">IFERROR(__xludf.DUMMYFUNCTION("""COMPUTED_VALUE"""),"Law and Criminology")</f>
        <v>Law and Criminology</v>
      </c>
      <c r="L1085" s="1" t="str">
        <f ca="1">IFERROR(__xludf.DUMMYFUNCTION("""COMPUTED_VALUE"""),"〇")</f>
        <v>〇</v>
      </c>
      <c r="M1085" s="1"/>
      <c r="N1085" s="1" t="str">
        <f ca="1">IFERROR(__xludf.DUMMYFUNCTION("""COMPUTED_VALUE"""),"TO15")</f>
        <v>TO15</v>
      </c>
      <c r="O1085" s="1"/>
      <c r="P1085" s="1"/>
    </row>
    <row r="1086" spans="1:16" ht="14.25" customHeight="1" x14ac:dyDescent="0.25">
      <c r="A1086" s="1"/>
      <c r="B1086" s="1">
        <f ca="1"/>
        <v>1074</v>
      </c>
      <c r="C1086" s="1">
        <f ca="1">IFERROR(__xludf.DUMMYFUNCTION("""COMPUTED_VALUE"""),2023)</f>
        <v>2023</v>
      </c>
      <c r="D1086" s="1">
        <f ca="1">IFERROR(__xludf.DUMMYFUNCTION("""COMPUTED_VALUE"""),42791)</f>
        <v>42791</v>
      </c>
      <c r="E1086" s="1" t="str">
        <f ca="1">IFERROR(__xludf.DUMMYFUNCTION("""COMPUTED_VALUE"""),"JMST Advances")</f>
        <v>JMST Advances</v>
      </c>
      <c r="F1086" s="1" t="str">
        <f ca="1">IFERROR(__xludf.DUMMYFUNCTION("""COMPUTED_VALUE"""),"2524-7913")</f>
        <v>2524-7913</v>
      </c>
      <c r="G1086" s="1" t="str">
        <f ca="1">IFERROR(__xludf.DUMMYFUNCTION("""COMPUTED_VALUE"""),"2524-7905")</f>
        <v>2524-7905</v>
      </c>
      <c r="H1086" s="27" t="str">
        <f ca="1">IFERROR(__xludf.DUMMYFUNCTION("""COMPUTED_VALUE"""),"https://link.springer.com/journal/42791")</f>
        <v>https://link.springer.com/journal/42791</v>
      </c>
      <c r="I1086" s="1" t="str">
        <f ca="1">IFERROR(__xludf.DUMMYFUNCTION("""COMPUTED_VALUE"""),"Korean Society of Mechanical Engineers, co-published with Springer")</f>
        <v>Korean Society of Mechanical Engineers, co-published with Springer</v>
      </c>
      <c r="J1086" s="1">
        <f ca="1">IFERROR(__xludf.DUMMYFUNCTION("""COMPUTED_VALUE"""),2019)</f>
        <v>2019</v>
      </c>
      <c r="K1086" s="1" t="str">
        <f ca="1">IFERROR(__xludf.DUMMYFUNCTION("""COMPUTED_VALUE"""),"Engineering")</f>
        <v>Engineering</v>
      </c>
      <c r="L1086" s="1" t="str">
        <f ca="1">IFERROR(__xludf.DUMMYFUNCTION("""COMPUTED_VALUE"""),"〇")</f>
        <v>〇</v>
      </c>
      <c r="M1086" s="1"/>
      <c r="N1086" s="1" t="str">
        <f ca="1">IFERROR(__xludf.DUMMYFUNCTION("""COMPUTED_VALUE"""),"SNS19")</f>
        <v>SNS19</v>
      </c>
      <c r="O1086" s="1"/>
      <c r="P1086" s="1"/>
    </row>
    <row r="1087" spans="1:16" ht="14.25" customHeight="1" x14ac:dyDescent="0.25">
      <c r="A1087" s="1"/>
      <c r="B1087" s="1">
        <f ca="1"/>
        <v>1075</v>
      </c>
      <c r="C1087" s="1">
        <f ca="1">IFERROR(__xludf.DUMMYFUNCTION("""COMPUTED_VALUE"""),2023)</f>
        <v>2023</v>
      </c>
      <c r="D1087" s="1">
        <f ca="1">IFERROR(__xludf.DUMMYFUNCTION("""COMPUTED_VALUE"""),11837)</f>
        <v>11837</v>
      </c>
      <c r="E1087" s="1" t="str">
        <f ca="1">IFERROR(__xludf.DUMMYFUNCTION("""COMPUTED_VALUE"""),"JOM")</f>
        <v>JOM</v>
      </c>
      <c r="F1087" s="1" t="str">
        <f ca="1">IFERROR(__xludf.DUMMYFUNCTION("""COMPUTED_VALUE"""),"1543-1851")</f>
        <v>1543-1851</v>
      </c>
      <c r="G1087" s="1" t="str">
        <f ca="1">IFERROR(__xludf.DUMMYFUNCTION("""COMPUTED_VALUE"""),"1047-4838")</f>
        <v>1047-4838</v>
      </c>
      <c r="H1087" s="27" t="str">
        <f ca="1">IFERROR(__xludf.DUMMYFUNCTION("""COMPUTED_VALUE"""),"https://link.springer.com/journal/11837")</f>
        <v>https://link.springer.com/journal/11837</v>
      </c>
      <c r="I1087" s="1" t="str">
        <f ca="1">IFERROR(__xludf.DUMMYFUNCTION("""COMPUTED_VALUE"""),"Springer")</f>
        <v>Springer</v>
      </c>
      <c r="J1087" s="1">
        <f ca="1">IFERROR(__xludf.DUMMYFUNCTION("""COMPUTED_VALUE"""),2000)</f>
        <v>2000</v>
      </c>
      <c r="K1087" s="1" t="str">
        <f ca="1">IFERROR(__xludf.DUMMYFUNCTION("""COMPUTED_VALUE"""),"Engineering")</f>
        <v>Engineering</v>
      </c>
      <c r="L1087" s="1" t="str">
        <f ca="1">IFERROR(__xludf.DUMMYFUNCTION("""COMPUTED_VALUE"""),"〇")</f>
        <v>〇</v>
      </c>
      <c r="M1087" s="1" t="str">
        <f ca="1">IFERROR(__xludf.DUMMYFUNCTION("""COMPUTED_VALUE"""),"〇")</f>
        <v>〇</v>
      </c>
      <c r="N1087" s="1" t="str">
        <f ca="1">IFERROR(__xludf.DUMMYFUNCTION("""COMPUTED_VALUE"""),"TO7")</f>
        <v>TO7</v>
      </c>
      <c r="O1087" s="1"/>
      <c r="P1087" s="1"/>
    </row>
    <row r="1088" spans="1:16" ht="14.25" customHeight="1" x14ac:dyDescent="0.25">
      <c r="A1088" s="1"/>
      <c r="B1088" s="1">
        <f ca="1"/>
        <v>1076</v>
      </c>
      <c r="C1088" s="1">
        <f ca="1">IFERROR(__xludf.DUMMYFUNCTION("""COMPUTED_VALUE"""),2023)</f>
        <v>2023</v>
      </c>
      <c r="D1088" s="1">
        <f ca="1">IFERROR(__xludf.DUMMYFUNCTION("""COMPUTED_VALUE"""),35144)</f>
        <v>35144</v>
      </c>
      <c r="E1088" s="1" t="str">
        <f ca="1">IFERROR(__xludf.DUMMYFUNCTION("""COMPUTED_VALUE"""),"JOT Journal für Oberflächentechnik")</f>
        <v>JOT Journal für Oberflächentechnik</v>
      </c>
      <c r="F1088" s="1" t="str">
        <f ca="1">IFERROR(__xludf.DUMMYFUNCTION("""COMPUTED_VALUE"""),"2192-869X")</f>
        <v>2192-869X</v>
      </c>
      <c r="G1088" s="1" t="str">
        <f ca="1">IFERROR(__xludf.DUMMYFUNCTION("""COMPUTED_VALUE"""),"0940-8789")</f>
        <v>0940-8789</v>
      </c>
      <c r="H1088" s="27" t="str">
        <f ca="1">IFERROR(__xludf.DUMMYFUNCTION("""COMPUTED_VALUE"""),"https://link.springer.com/journal/35144")</f>
        <v>https://link.springer.com/journal/35144</v>
      </c>
      <c r="I1088" s="1" t="str">
        <f ca="1">IFERROR(__xludf.DUMMYFUNCTION("""COMPUTED_VALUE"""),"Springer Vieweg")</f>
        <v>Springer Vieweg</v>
      </c>
      <c r="J1088" s="1">
        <f ca="1">IFERROR(__xludf.DUMMYFUNCTION("""COMPUTED_VALUE"""),2000)</f>
        <v>2000</v>
      </c>
      <c r="K1088" s="1" t="str">
        <f ca="1">IFERROR(__xludf.DUMMYFUNCTION("""COMPUTED_VALUE"""),"Chemistry and Materials Science")</f>
        <v>Chemistry and Materials Science</v>
      </c>
      <c r="L1088" s="1" t="str">
        <f ca="1">IFERROR(__xludf.DUMMYFUNCTION("""COMPUTED_VALUE"""),"〇")</f>
        <v>〇</v>
      </c>
      <c r="M1088" s="1"/>
      <c r="N1088" s="1"/>
      <c r="O1088" s="1"/>
      <c r="P1088" s="1"/>
    </row>
    <row r="1089" spans="1:16" ht="14.25" customHeight="1" x14ac:dyDescent="0.25">
      <c r="A1089" s="1"/>
      <c r="B1089" s="1">
        <f ca="1"/>
        <v>1077</v>
      </c>
      <c r="C1089" s="1">
        <f ca="1">IFERROR(__xludf.DUMMYFUNCTION("""COMPUTED_VALUE"""),2023)</f>
        <v>2023</v>
      </c>
      <c r="D1089" s="1">
        <f ca="1">IFERROR(__xludf.DUMMYFUNCTION("""COMPUTED_VALUE"""),11854)</f>
        <v>11854</v>
      </c>
      <c r="E1089" s="1" t="str">
        <f ca="1">IFERROR(__xludf.DUMMYFUNCTION("""COMPUTED_VALUE"""),"Journal d'Analyse Mathématique")</f>
        <v>Journal d'Analyse Mathématique</v>
      </c>
      <c r="F1089" s="1" t="str">
        <f ca="1">IFERROR(__xludf.DUMMYFUNCTION("""COMPUTED_VALUE"""),"1565-8538")</f>
        <v>1565-8538</v>
      </c>
      <c r="G1089" s="1" t="str">
        <f ca="1">IFERROR(__xludf.DUMMYFUNCTION("""COMPUTED_VALUE"""),"0021-7670")</f>
        <v>0021-7670</v>
      </c>
      <c r="H1089" s="27" t="str">
        <f ca="1">IFERROR(__xludf.DUMMYFUNCTION("""COMPUTED_VALUE"""),"https://link.springer.com/journal/11854")</f>
        <v>https://link.springer.com/journal/11854</v>
      </c>
      <c r="I1089" s="1" t="str">
        <f ca="1">IFERROR(__xludf.DUMMYFUNCTION("""COMPUTED_VALUE"""),"Hebrew University Magnes Press")</f>
        <v>Hebrew University Magnes Press</v>
      </c>
      <c r="J1089" s="1">
        <f ca="1">IFERROR(__xludf.DUMMYFUNCTION("""COMPUTED_VALUE"""),2000)</f>
        <v>2000</v>
      </c>
      <c r="K1089" s="1" t="str">
        <f ca="1">IFERROR(__xludf.DUMMYFUNCTION("""COMPUTED_VALUE"""),"Mathematics and Statistics")</f>
        <v>Mathematics and Statistics</v>
      </c>
      <c r="L1089" s="1" t="str">
        <f ca="1">IFERROR(__xludf.DUMMYFUNCTION("""COMPUTED_VALUE"""),"〇")</f>
        <v>〇</v>
      </c>
      <c r="M1089" s="1" t="str">
        <f ca="1">IFERROR(__xludf.DUMMYFUNCTION("""COMPUTED_VALUE"""),"〇")</f>
        <v>〇</v>
      </c>
      <c r="N1089" s="1" t="str">
        <f ca="1">IFERROR(__xludf.DUMMYFUNCTION("""COMPUTED_VALUE"""),"TO7")</f>
        <v>TO7</v>
      </c>
      <c r="O1089" s="1"/>
      <c r="P1089" s="1"/>
    </row>
    <row r="1090" spans="1:16" ht="14.25" customHeight="1" x14ac:dyDescent="0.25">
      <c r="A1090" s="1"/>
      <c r="B1090" s="1">
        <f ca="1"/>
        <v>1078</v>
      </c>
      <c r="C1090" s="1">
        <f ca="1">IFERROR(__xludf.DUMMYFUNCTION("""COMPUTED_VALUE"""),2023)</f>
        <v>2023</v>
      </c>
      <c r="D1090" s="1">
        <f ca="1">IFERROR(__xludf.DUMMYFUNCTION("""COMPUTED_VALUE"""),10838)</f>
        <v>10838</v>
      </c>
      <c r="E1090" s="1" t="str">
        <f ca="1">IFERROR(__xludf.DUMMYFUNCTION("""COMPUTED_VALUE"""),"Journal for General Philosophy of Science")</f>
        <v>Journal for General Philosophy of Science</v>
      </c>
      <c r="F1090" s="1" t="str">
        <f ca="1">IFERROR(__xludf.DUMMYFUNCTION("""COMPUTED_VALUE"""),"1572-8587")</f>
        <v>1572-8587</v>
      </c>
      <c r="G1090" s="1" t="str">
        <f ca="1">IFERROR(__xludf.DUMMYFUNCTION("""COMPUTED_VALUE"""),"0925-4560")</f>
        <v>0925-4560</v>
      </c>
      <c r="H1090" s="27" t="str">
        <f ca="1">IFERROR(__xludf.DUMMYFUNCTION("""COMPUTED_VALUE"""),"https://link.springer.com/journal/10838")</f>
        <v>https://link.springer.com/journal/10838</v>
      </c>
      <c r="I1090" s="1" t="str">
        <f ca="1">IFERROR(__xludf.DUMMYFUNCTION("""COMPUTED_VALUE"""),"Springer")</f>
        <v>Springer</v>
      </c>
      <c r="J1090" s="1">
        <f ca="1">IFERROR(__xludf.DUMMYFUNCTION("""COMPUTED_VALUE"""),2000)</f>
        <v>2000</v>
      </c>
      <c r="K1090" s="1" t="str">
        <f ca="1">IFERROR(__xludf.DUMMYFUNCTION("""COMPUTED_VALUE"""),"Education")</f>
        <v>Education</v>
      </c>
      <c r="L1090" s="1" t="str">
        <f ca="1">IFERROR(__xludf.DUMMYFUNCTION("""COMPUTED_VALUE"""),"〇")</f>
        <v>〇</v>
      </c>
      <c r="M1090" s="1" t="str">
        <f ca="1">IFERROR(__xludf.DUMMYFUNCTION("""COMPUTED_VALUE"""),"〇")</f>
        <v>〇</v>
      </c>
      <c r="N1090" s="1"/>
      <c r="O1090" s="1"/>
      <c r="P1090" s="1"/>
    </row>
    <row r="1091" spans="1:16" ht="14.25" customHeight="1" x14ac:dyDescent="0.25">
      <c r="A1091" s="1"/>
      <c r="B1091" s="1">
        <f ca="1"/>
        <v>1079</v>
      </c>
      <c r="C1091" s="1">
        <f ca="1">IFERROR(__xludf.DUMMYFUNCTION("""COMPUTED_VALUE"""),2023)</f>
        <v>2023</v>
      </c>
      <c r="D1091" s="1">
        <f ca="1">IFERROR(__xludf.DUMMYFUNCTION("""COMPUTED_VALUE"""),41979)</f>
        <v>41979</v>
      </c>
      <c r="E1091" s="1" t="str">
        <f ca="1">IFERROR(__xludf.DUMMYFUNCTION("""COMPUTED_VALUE"""),"Journal for STEM Education Research")</f>
        <v>Journal for STEM Education Research</v>
      </c>
      <c r="F1091" s="1" t="str">
        <f ca="1">IFERROR(__xludf.DUMMYFUNCTION("""COMPUTED_VALUE"""),"2520-8713")</f>
        <v>2520-8713</v>
      </c>
      <c r="G1091" s="1" t="str">
        <f ca="1">IFERROR(__xludf.DUMMYFUNCTION("""COMPUTED_VALUE"""),"2520-8705")</f>
        <v>2520-8705</v>
      </c>
      <c r="H1091" s="27" t="str">
        <f ca="1">IFERROR(__xludf.DUMMYFUNCTION("""COMPUTED_VALUE"""),"https://link.springer.com/journal/41979")</f>
        <v>https://link.springer.com/journal/41979</v>
      </c>
      <c r="I1091" s="1" t="str">
        <f ca="1">IFERROR(__xludf.DUMMYFUNCTION("""COMPUTED_VALUE"""),"Springer")</f>
        <v>Springer</v>
      </c>
      <c r="J1091" s="1">
        <f ca="1">IFERROR(__xludf.DUMMYFUNCTION("""COMPUTED_VALUE"""),2018)</f>
        <v>2018</v>
      </c>
      <c r="K1091" s="1" t="str">
        <f ca="1">IFERROR(__xludf.DUMMYFUNCTION("""COMPUTED_VALUE"""),"Education")</f>
        <v>Education</v>
      </c>
      <c r="L1091" s="1" t="str">
        <f ca="1">IFERROR(__xludf.DUMMYFUNCTION("""COMPUTED_VALUE"""),"〇")</f>
        <v>〇</v>
      </c>
      <c r="M1091" s="1"/>
      <c r="N1091" s="1" t="str">
        <f ca="1">IFERROR(__xludf.DUMMYFUNCTION("""COMPUTED_VALUE"""),"SNS18")</f>
        <v>SNS18</v>
      </c>
      <c r="O1091" s="1"/>
      <c r="P1091" s="1"/>
    </row>
    <row r="1092" spans="1:16" ht="14.25" customHeight="1" x14ac:dyDescent="0.25">
      <c r="A1092" s="1"/>
      <c r="B1092" s="1">
        <f ca="1"/>
        <v>1080</v>
      </c>
      <c r="C1092" s="1">
        <f ca="1">IFERROR(__xludf.DUMMYFUNCTION("""COMPUTED_VALUE"""),2023)</f>
        <v>2023</v>
      </c>
      <c r="D1092" s="1">
        <f ca="1">IFERROR(__xludf.DUMMYFUNCTION("""COMPUTED_VALUE"""),41971)</f>
        <v>41971</v>
      </c>
      <c r="E1092" s="1" t="str">
        <f ca="1">IFERROR(__xludf.DUMMYFUNCTION("""COMPUTED_VALUE"""),"Journal für Gastroenterologische und Hepatologische Erkrankungen")</f>
        <v>Journal für Gastroenterologische und Hepatologische Erkrankungen</v>
      </c>
      <c r="F1092" s="1" t="str">
        <f ca="1">IFERROR(__xludf.DUMMYFUNCTION("""COMPUTED_VALUE"""),"1728-6271")</f>
        <v>1728-6271</v>
      </c>
      <c r="G1092" s="1" t="str">
        <f ca="1">IFERROR(__xludf.DUMMYFUNCTION("""COMPUTED_VALUE"""),"1728-6263")</f>
        <v>1728-6263</v>
      </c>
      <c r="H1092" s="27" t="str">
        <f ca="1">IFERROR(__xludf.DUMMYFUNCTION("""COMPUTED_VALUE"""),"https://link.springer.com/journal/41971")</f>
        <v>https://link.springer.com/journal/41971</v>
      </c>
      <c r="I1092" s="1" t="str">
        <f ca="1">IFERROR(__xludf.DUMMYFUNCTION("""COMPUTED_VALUE"""),"SpringerMedizin")</f>
        <v>SpringerMedizin</v>
      </c>
      <c r="J1092" s="1">
        <f ca="1">IFERROR(__xludf.DUMMYFUNCTION("""COMPUTED_VALUE"""),2017)</f>
        <v>2017</v>
      </c>
      <c r="K1092" s="1" t="str">
        <f ca="1">IFERROR(__xludf.DUMMYFUNCTION("""COMPUTED_VALUE"""),"Medicine")</f>
        <v>Medicine</v>
      </c>
      <c r="L1092" s="1" t="str">
        <f ca="1">IFERROR(__xludf.DUMMYFUNCTION("""COMPUTED_VALUE"""),"〇")</f>
        <v>〇</v>
      </c>
      <c r="M1092" s="1"/>
      <c r="N1092" s="1" t="str">
        <f ca="1">IFERROR(__xludf.DUMMYFUNCTION("""COMPUTED_VALUE"""),"TO17")</f>
        <v>TO17</v>
      </c>
      <c r="O1092" s="1"/>
      <c r="P1092" s="1"/>
    </row>
    <row r="1093" spans="1:16" ht="14.25" customHeight="1" x14ac:dyDescent="0.25">
      <c r="A1093" s="1"/>
      <c r="B1093" s="1">
        <f ca="1"/>
        <v>1081</v>
      </c>
      <c r="C1093" s="1">
        <f ca="1">IFERROR(__xludf.DUMMYFUNCTION("""COMPUTED_VALUE"""),2023)</f>
        <v>2023</v>
      </c>
      <c r="D1093" s="1">
        <f ca="1">IFERROR(__xludf.DUMMYFUNCTION("""COMPUTED_VALUE"""),41974)</f>
        <v>41974</v>
      </c>
      <c r="E1093" s="1" t="str">
        <f ca="1">IFERROR(__xludf.DUMMYFUNCTION("""COMPUTED_VALUE"""),"Journal für Gynäkologische Endokrinologie/Österreich")</f>
        <v>Journal für Gynäkologische Endokrinologie/Österreich</v>
      </c>
      <c r="F1093" s="1" t="str">
        <f ca="1">IFERROR(__xludf.DUMMYFUNCTION("""COMPUTED_VALUE"""),"1996-1553")</f>
        <v>1996-1553</v>
      </c>
      <c r="G1093" s="1" t="str">
        <f ca="1">IFERROR(__xludf.DUMMYFUNCTION("""COMPUTED_VALUE"""),"1997-6690")</f>
        <v>1997-6690</v>
      </c>
      <c r="H1093" s="27" t="str">
        <f ca="1">IFERROR(__xludf.DUMMYFUNCTION("""COMPUTED_VALUE"""),"https://link.springer.com/journal/41974")</f>
        <v>https://link.springer.com/journal/41974</v>
      </c>
      <c r="I1093" s="1" t="str">
        <f ca="1">IFERROR(__xludf.DUMMYFUNCTION("""COMPUTED_VALUE"""),"SpringerMedizin")</f>
        <v>SpringerMedizin</v>
      </c>
      <c r="J1093" s="1">
        <f ca="1">IFERROR(__xludf.DUMMYFUNCTION("""COMPUTED_VALUE"""),2017)</f>
        <v>2017</v>
      </c>
      <c r="K1093" s="1" t="str">
        <f ca="1">IFERROR(__xludf.DUMMYFUNCTION("""COMPUTED_VALUE"""),"Medicine")</f>
        <v>Medicine</v>
      </c>
      <c r="L1093" s="1" t="str">
        <f ca="1">IFERROR(__xludf.DUMMYFUNCTION("""COMPUTED_VALUE"""),"〇")</f>
        <v>〇</v>
      </c>
      <c r="M1093" s="1"/>
      <c r="N1093" s="1" t="str">
        <f ca="1">IFERROR(__xludf.DUMMYFUNCTION("""COMPUTED_VALUE"""),"TO17")</f>
        <v>TO17</v>
      </c>
      <c r="O1093" s="1"/>
      <c r="P1093" s="1"/>
    </row>
    <row r="1094" spans="1:16" ht="14.25" customHeight="1" x14ac:dyDescent="0.25">
      <c r="A1094" s="1"/>
      <c r="B1094" s="1">
        <f ca="1"/>
        <v>1082</v>
      </c>
      <c r="C1094" s="1">
        <f ca="1">IFERROR(__xludf.DUMMYFUNCTION("""COMPUTED_VALUE"""),2023)</f>
        <v>2023</v>
      </c>
      <c r="D1094" s="1">
        <f ca="1">IFERROR(__xludf.DUMMYFUNCTION("""COMPUTED_VALUE"""),41975)</f>
        <v>41975</v>
      </c>
      <c r="E1094" s="1" t="str">
        <f ca="1">IFERROR(__xludf.DUMMYFUNCTION("""COMPUTED_VALUE"""),"Journal für Gynäkologische Endokrinologie/Schweiz")</f>
        <v>Journal für Gynäkologische Endokrinologie/Schweiz</v>
      </c>
      <c r="F1094" s="1" t="str">
        <f ca="1">IFERROR(__xludf.DUMMYFUNCTION("""COMPUTED_VALUE"""),"2520-8500")</f>
        <v>2520-8500</v>
      </c>
      <c r="G1094" s="1" t="str">
        <f ca="1">IFERROR(__xludf.DUMMYFUNCTION("""COMPUTED_VALUE"""),"1995-6924")</f>
        <v>1995-6924</v>
      </c>
      <c r="H1094" s="27" t="str">
        <f ca="1">IFERROR(__xludf.DUMMYFUNCTION("""COMPUTED_VALUE"""),"https://link.springer.com/journal/41975")</f>
        <v>https://link.springer.com/journal/41975</v>
      </c>
      <c r="I1094" s="1" t="str">
        <f ca="1">IFERROR(__xludf.DUMMYFUNCTION("""COMPUTED_VALUE"""),"SpringerMedizin")</f>
        <v>SpringerMedizin</v>
      </c>
      <c r="J1094" s="1">
        <f ca="1">IFERROR(__xludf.DUMMYFUNCTION("""COMPUTED_VALUE"""),2017)</f>
        <v>2017</v>
      </c>
      <c r="K1094" s="1" t="str">
        <f ca="1">IFERROR(__xludf.DUMMYFUNCTION("""COMPUTED_VALUE"""),"Medicine")</f>
        <v>Medicine</v>
      </c>
      <c r="L1094" s="1" t="str">
        <f ca="1">IFERROR(__xludf.DUMMYFUNCTION("""COMPUTED_VALUE"""),"〇")</f>
        <v>〇</v>
      </c>
      <c r="M1094" s="1"/>
      <c r="N1094" s="1" t="str">
        <f ca="1">IFERROR(__xludf.DUMMYFUNCTION("""COMPUTED_VALUE"""),"TO17")</f>
        <v>TO17</v>
      </c>
      <c r="O1094" s="1"/>
      <c r="P1094" s="1"/>
    </row>
    <row r="1095" spans="1:16" ht="14.25" customHeight="1" x14ac:dyDescent="0.25">
      <c r="A1095" s="1"/>
      <c r="B1095" s="1">
        <f ca="1"/>
        <v>1083</v>
      </c>
      <c r="C1095" s="1">
        <f ca="1">IFERROR(__xludf.DUMMYFUNCTION("""COMPUTED_VALUE"""),2023)</f>
        <v>2023</v>
      </c>
      <c r="D1095" s="1">
        <f ca="1">IFERROR(__xludf.DUMMYFUNCTION("""COMPUTED_VALUE"""),41969)</f>
        <v>41969</v>
      </c>
      <c r="E1095" s="1" t="str">
        <f ca="1">IFERROR(__xludf.DUMMYFUNCTION("""COMPUTED_VALUE"""),"Journal für Klinische Endokrinologie und Stoffwechsel")</f>
        <v>Journal für Klinische Endokrinologie und Stoffwechsel</v>
      </c>
      <c r="F1095" s="1" t="str">
        <f ca="1">IFERROR(__xludf.DUMMYFUNCTION("""COMPUTED_VALUE"""),"1998-7781")</f>
        <v>1998-7781</v>
      </c>
      <c r="G1095" s="1" t="str">
        <f ca="1">IFERROR(__xludf.DUMMYFUNCTION("""COMPUTED_VALUE"""),"1998-7773")</f>
        <v>1998-7773</v>
      </c>
      <c r="H1095" s="27" t="str">
        <f ca="1">IFERROR(__xludf.DUMMYFUNCTION("""COMPUTED_VALUE"""),"https://link.springer.com/journal/41969")</f>
        <v>https://link.springer.com/journal/41969</v>
      </c>
      <c r="I1095" s="1" t="str">
        <f ca="1">IFERROR(__xludf.DUMMYFUNCTION("""COMPUTED_VALUE"""),"SpringerMedizin")</f>
        <v>SpringerMedizin</v>
      </c>
      <c r="J1095" s="1">
        <f ca="1">IFERROR(__xludf.DUMMYFUNCTION("""COMPUTED_VALUE"""),2017)</f>
        <v>2017</v>
      </c>
      <c r="K1095" s="1" t="str">
        <f ca="1">IFERROR(__xludf.DUMMYFUNCTION("""COMPUTED_VALUE"""),"Medicine")</f>
        <v>Medicine</v>
      </c>
      <c r="L1095" s="1" t="str">
        <f ca="1">IFERROR(__xludf.DUMMYFUNCTION("""COMPUTED_VALUE"""),"〇")</f>
        <v>〇</v>
      </c>
      <c r="M1095" s="1"/>
      <c r="N1095" s="1" t="str">
        <f ca="1">IFERROR(__xludf.DUMMYFUNCTION("""COMPUTED_VALUE"""),"TO17")</f>
        <v>TO17</v>
      </c>
      <c r="O1095" s="1"/>
      <c r="P1095" s="1"/>
    </row>
    <row r="1096" spans="1:16" ht="14.25" customHeight="1" x14ac:dyDescent="0.25">
      <c r="A1096" s="1"/>
      <c r="B1096" s="1">
        <f ca="1"/>
        <v>1084</v>
      </c>
      <c r="C1096" s="1">
        <f ca="1">IFERROR(__xludf.DUMMYFUNCTION("""COMPUTED_VALUE"""),2023)</f>
        <v>2023</v>
      </c>
      <c r="D1096" s="1">
        <f ca="1">IFERROR(__xludf.DUMMYFUNCTION("""COMPUTED_VALUE"""),13138)</f>
        <v>13138</v>
      </c>
      <c r="E1096" s="1" t="str">
        <f ca="1">IFERROR(__xludf.DUMMYFUNCTION("""COMPUTED_VALUE"""),"Journal für Mathematik-Didaktik")</f>
        <v>Journal für Mathematik-Didaktik</v>
      </c>
      <c r="F1096" s="1" t="str">
        <f ca="1">IFERROR(__xludf.DUMMYFUNCTION("""COMPUTED_VALUE"""),"1869-2699")</f>
        <v>1869-2699</v>
      </c>
      <c r="G1096" s="1" t="str">
        <f ca="1">IFERROR(__xludf.DUMMYFUNCTION("""COMPUTED_VALUE"""),"0173-5322")</f>
        <v>0173-5322</v>
      </c>
      <c r="H1096" s="27" t="str">
        <f ca="1">IFERROR(__xludf.DUMMYFUNCTION("""COMPUTED_VALUE"""),"https://link.springer.com/journal/13138")</f>
        <v>https://link.springer.com/journal/13138</v>
      </c>
      <c r="I1096" s="1" t="str">
        <f ca="1">IFERROR(__xludf.DUMMYFUNCTION("""COMPUTED_VALUE"""),"Springer")</f>
        <v>Springer</v>
      </c>
      <c r="J1096" s="1">
        <f ca="1">IFERROR(__xludf.DUMMYFUNCTION("""COMPUTED_VALUE"""),2000)</f>
        <v>2000</v>
      </c>
      <c r="K1096" s="1" t="str">
        <f ca="1">IFERROR(__xludf.DUMMYFUNCTION("""COMPUTED_VALUE"""),"Education")</f>
        <v>Education</v>
      </c>
      <c r="L1096" s="1" t="str">
        <f ca="1">IFERROR(__xludf.DUMMYFUNCTION("""COMPUTED_VALUE"""),"〇")</f>
        <v>〇</v>
      </c>
      <c r="M1096" s="1"/>
      <c r="N1096" s="1" t="str">
        <f ca="1">IFERROR(__xludf.DUMMYFUNCTION("""COMPUTED_VALUE"""),"TO10")</f>
        <v>TO10</v>
      </c>
      <c r="O1096" s="1"/>
      <c r="P1096" s="1"/>
    </row>
    <row r="1097" spans="1:16" ht="14.25" customHeight="1" x14ac:dyDescent="0.25">
      <c r="A1097" s="1"/>
      <c r="B1097" s="1">
        <f ca="1"/>
        <v>1085</v>
      </c>
      <c r="C1097" s="1">
        <f ca="1">IFERROR(__xludf.DUMMYFUNCTION("""COMPUTED_VALUE"""),2023)</f>
        <v>2023</v>
      </c>
      <c r="D1097" s="1">
        <f ca="1">IFERROR(__xludf.DUMMYFUNCTION("""COMPUTED_VALUE"""),41970)</f>
        <v>41970</v>
      </c>
      <c r="E1097" s="1" t="str">
        <f ca="1">IFERROR(__xludf.DUMMYFUNCTION("""COMPUTED_VALUE"""),"Journal für Mineralstoffwechsel &amp; Muskuloskelettale Erkrankungen")</f>
        <v>Journal für Mineralstoffwechsel &amp; Muskuloskelettale Erkrankungen</v>
      </c>
      <c r="F1097" s="1" t="str">
        <f ca="1">IFERROR(__xludf.DUMMYFUNCTION("""COMPUTED_VALUE"""),"2412-8287")</f>
        <v>2412-8287</v>
      </c>
      <c r="G1097" s="1" t="str">
        <f ca="1">IFERROR(__xludf.DUMMYFUNCTION("""COMPUTED_VALUE"""),"2412-8260")</f>
        <v>2412-8260</v>
      </c>
      <c r="H1097" s="27" t="str">
        <f ca="1">IFERROR(__xludf.DUMMYFUNCTION("""COMPUTED_VALUE"""),"https://link.springer.com/journal/41970")</f>
        <v>https://link.springer.com/journal/41970</v>
      </c>
      <c r="I1097" s="1" t="str">
        <f ca="1">IFERROR(__xludf.DUMMYFUNCTION("""COMPUTED_VALUE"""),"SpringerMedizin")</f>
        <v>SpringerMedizin</v>
      </c>
      <c r="J1097" s="1">
        <f ca="1">IFERROR(__xludf.DUMMYFUNCTION("""COMPUTED_VALUE"""),2017)</f>
        <v>2017</v>
      </c>
      <c r="K1097" s="1" t="str">
        <f ca="1">IFERROR(__xludf.DUMMYFUNCTION("""COMPUTED_VALUE"""),"Medicine")</f>
        <v>Medicine</v>
      </c>
      <c r="L1097" s="1" t="str">
        <f ca="1">IFERROR(__xludf.DUMMYFUNCTION("""COMPUTED_VALUE"""),"〇")</f>
        <v>〇</v>
      </c>
      <c r="M1097" s="1"/>
      <c r="N1097" s="1" t="str">
        <f ca="1">IFERROR(__xludf.DUMMYFUNCTION("""COMPUTED_VALUE"""),"TO17")</f>
        <v>TO17</v>
      </c>
      <c r="O1097" s="1"/>
      <c r="P1097" s="1"/>
    </row>
    <row r="1098" spans="1:16" ht="14.25" customHeight="1" x14ac:dyDescent="0.25">
      <c r="A1098" s="1"/>
      <c r="B1098" s="1">
        <f ca="1"/>
        <v>1086</v>
      </c>
      <c r="C1098" s="1">
        <f ca="1">IFERROR(__xludf.DUMMYFUNCTION("""COMPUTED_VALUE"""),2023)</f>
        <v>2023</v>
      </c>
      <c r="D1098" s="1">
        <f ca="1">IFERROR(__xludf.DUMMYFUNCTION("""COMPUTED_VALUE"""),41972)</f>
        <v>41972</v>
      </c>
      <c r="E1098" s="1" t="str">
        <f ca="1">IFERROR(__xludf.DUMMYFUNCTION("""COMPUTED_VALUE"""),"Journal für Urologie und Urogynäkologie/Österreich")</f>
        <v>Journal für Urologie und Urogynäkologie/Österreich</v>
      </c>
      <c r="F1098" s="1" t="str">
        <f ca="1">IFERROR(__xludf.DUMMYFUNCTION("""COMPUTED_VALUE"""),"1680-9424")</f>
        <v>1680-9424</v>
      </c>
      <c r="G1098" s="1" t="str">
        <f ca="1">IFERROR(__xludf.DUMMYFUNCTION("""COMPUTED_VALUE"""),"1023-6090")</f>
        <v>1023-6090</v>
      </c>
      <c r="H1098" s="27" t="str">
        <f ca="1">IFERROR(__xludf.DUMMYFUNCTION("""COMPUTED_VALUE"""),"https://link.springer.com/journal/41972")</f>
        <v>https://link.springer.com/journal/41972</v>
      </c>
      <c r="I1098" s="1" t="str">
        <f ca="1">IFERROR(__xludf.DUMMYFUNCTION("""COMPUTED_VALUE"""),"SpringerMedizin")</f>
        <v>SpringerMedizin</v>
      </c>
      <c r="J1098" s="1">
        <f ca="1">IFERROR(__xludf.DUMMYFUNCTION("""COMPUTED_VALUE"""),2017)</f>
        <v>2017</v>
      </c>
      <c r="K1098" s="1" t="str">
        <f ca="1">IFERROR(__xludf.DUMMYFUNCTION("""COMPUTED_VALUE"""),"Medicine")</f>
        <v>Medicine</v>
      </c>
      <c r="L1098" s="1" t="str">
        <f ca="1">IFERROR(__xludf.DUMMYFUNCTION("""COMPUTED_VALUE"""),"〇")</f>
        <v>〇</v>
      </c>
      <c r="M1098" s="1"/>
      <c r="N1098" s="1" t="str">
        <f ca="1">IFERROR(__xludf.DUMMYFUNCTION("""COMPUTED_VALUE"""),"TO17")</f>
        <v>TO17</v>
      </c>
      <c r="O1098" s="1"/>
      <c r="P1098" s="1"/>
    </row>
    <row r="1099" spans="1:16" ht="14.25" customHeight="1" x14ac:dyDescent="0.25">
      <c r="A1099" s="1"/>
      <c r="B1099" s="1">
        <f ca="1"/>
        <v>1087</v>
      </c>
      <c r="C1099" s="1">
        <f ca="1">IFERROR(__xludf.DUMMYFUNCTION("""COMPUTED_VALUE"""),2023)</f>
        <v>2023</v>
      </c>
      <c r="D1099" s="1">
        <f ca="1">IFERROR(__xludf.DUMMYFUNCTION("""COMPUTED_VALUE"""),10805)</f>
        <v>10805</v>
      </c>
      <c r="E1099" s="1" t="str">
        <f ca="1">IFERROR(__xludf.DUMMYFUNCTION("""COMPUTED_VALUE"""),"Journal of Academic Ethics")</f>
        <v>Journal of Academic Ethics</v>
      </c>
      <c r="F1099" s="1" t="str">
        <f ca="1">IFERROR(__xludf.DUMMYFUNCTION("""COMPUTED_VALUE"""),"1572-8544")</f>
        <v>1572-8544</v>
      </c>
      <c r="G1099" s="1" t="str">
        <f ca="1">IFERROR(__xludf.DUMMYFUNCTION("""COMPUTED_VALUE"""),"1570-1727")</f>
        <v>1570-1727</v>
      </c>
      <c r="H1099" s="27" t="str">
        <f ca="1">IFERROR(__xludf.DUMMYFUNCTION("""COMPUTED_VALUE"""),"https://link.springer.com/journal/10805")</f>
        <v>https://link.springer.com/journal/10805</v>
      </c>
      <c r="I1099" s="1" t="str">
        <f ca="1">IFERROR(__xludf.DUMMYFUNCTION("""COMPUTED_VALUE"""),"Springer")</f>
        <v>Springer</v>
      </c>
      <c r="J1099" s="1">
        <f ca="1">IFERROR(__xludf.DUMMYFUNCTION("""COMPUTED_VALUE"""),2003)</f>
        <v>2003</v>
      </c>
      <c r="K1099" s="1" t="str">
        <f ca="1">IFERROR(__xludf.DUMMYFUNCTION("""COMPUTED_VALUE"""),"Education")</f>
        <v>Education</v>
      </c>
      <c r="L1099" s="1" t="str">
        <f ca="1">IFERROR(__xludf.DUMMYFUNCTION("""COMPUTED_VALUE"""),"〇")</f>
        <v>〇</v>
      </c>
      <c r="M1099" s="1" t="str">
        <f ca="1">IFERROR(__xludf.DUMMYFUNCTION("""COMPUTED_VALUE"""),"〇")</f>
        <v>〇</v>
      </c>
      <c r="N1099" s="1"/>
      <c r="O1099" s="1"/>
      <c r="P1099" s="1"/>
    </row>
    <row r="1100" spans="1:16" ht="14.25" customHeight="1" x14ac:dyDescent="0.25">
      <c r="A1100" s="1"/>
      <c r="B1100" s="1">
        <f ca="1"/>
        <v>1088</v>
      </c>
      <c r="C1100" s="1">
        <f ca="1">IFERROR(__xludf.DUMMYFUNCTION("""COMPUTED_VALUE"""),2023)</f>
        <v>2023</v>
      </c>
      <c r="D1100" s="1">
        <f ca="1">IFERROR(__xludf.DUMMYFUNCTION("""COMPUTED_VALUE"""),11726)</f>
        <v>11726</v>
      </c>
      <c r="E1100" s="1" t="str">
        <f ca="1">IFERROR(__xludf.DUMMYFUNCTION("""COMPUTED_VALUE"""),"Journal of Acupuncture and Tuina Science")</f>
        <v>Journal of Acupuncture and Tuina Science</v>
      </c>
      <c r="F1100" s="1" t="str">
        <f ca="1">IFERROR(__xludf.DUMMYFUNCTION("""COMPUTED_VALUE"""),"1993-0399")</f>
        <v>1993-0399</v>
      </c>
      <c r="G1100" s="1" t="str">
        <f ca="1">IFERROR(__xludf.DUMMYFUNCTION("""COMPUTED_VALUE"""),"1672-3597")</f>
        <v>1672-3597</v>
      </c>
      <c r="H1100" s="27" t="str">
        <f ca="1">IFERROR(__xludf.DUMMYFUNCTION("""COMPUTED_VALUE"""),"https://link.springer.com/journal/11726")</f>
        <v>https://link.springer.com/journal/11726</v>
      </c>
      <c r="I1100" s="1" t="str">
        <f ca="1">IFERROR(__xludf.DUMMYFUNCTION("""COMPUTED_VALUE"""),"Springer")</f>
        <v>Springer</v>
      </c>
      <c r="J1100" s="1">
        <f ca="1">IFERROR(__xludf.DUMMYFUNCTION("""COMPUTED_VALUE"""),2003)</f>
        <v>2003</v>
      </c>
      <c r="K1100" s="1" t="str">
        <f ca="1">IFERROR(__xludf.DUMMYFUNCTION("""COMPUTED_VALUE"""),"Medicine")</f>
        <v>Medicine</v>
      </c>
      <c r="L1100" s="1" t="str">
        <f ca="1">IFERROR(__xludf.DUMMYFUNCTION("""COMPUTED_VALUE"""),"〇")</f>
        <v>〇</v>
      </c>
      <c r="M1100" s="1" t="str">
        <f ca="1">IFERROR(__xludf.DUMMYFUNCTION("""COMPUTED_VALUE"""),"〇")</f>
        <v>〇</v>
      </c>
      <c r="N1100" s="1" t="str">
        <f ca="1">IFERROR(__xludf.DUMMYFUNCTION("""COMPUTED_VALUE"""),"TO7")</f>
        <v>TO7</v>
      </c>
      <c r="O1100" s="1"/>
      <c r="P1100" s="1"/>
    </row>
    <row r="1101" spans="1:16" ht="14.25" customHeight="1" x14ac:dyDescent="0.25">
      <c r="A1101" s="1"/>
      <c r="B1101" s="1">
        <f ca="1"/>
        <v>1089</v>
      </c>
      <c r="C1101" s="1">
        <f ca="1">IFERROR(__xludf.DUMMYFUNCTION("""COMPUTED_VALUE"""),2023)</f>
        <v>2023</v>
      </c>
      <c r="D1101" s="1">
        <f ca="1">IFERROR(__xludf.DUMMYFUNCTION("""COMPUTED_VALUE"""),10804)</f>
        <v>10804</v>
      </c>
      <c r="E1101" s="1" t="str">
        <f ca="1">IFERROR(__xludf.DUMMYFUNCTION("""COMPUTED_VALUE"""),"Journal of Adult Development")</f>
        <v>Journal of Adult Development</v>
      </c>
      <c r="F1101" s="1" t="str">
        <f ca="1">IFERROR(__xludf.DUMMYFUNCTION("""COMPUTED_VALUE"""),"1573-3440")</f>
        <v>1573-3440</v>
      </c>
      <c r="G1101" s="1" t="str">
        <f ca="1">IFERROR(__xludf.DUMMYFUNCTION("""COMPUTED_VALUE"""),"1068-0667")</f>
        <v>1068-0667</v>
      </c>
      <c r="H1101" s="27" t="str">
        <f ca="1">IFERROR(__xludf.DUMMYFUNCTION("""COMPUTED_VALUE"""),"https://link.springer.com/journal/10804")</f>
        <v>https://link.springer.com/journal/10804</v>
      </c>
      <c r="I1101" s="1" t="str">
        <f ca="1">IFERROR(__xludf.DUMMYFUNCTION("""COMPUTED_VALUE"""),"Springer")</f>
        <v>Springer</v>
      </c>
      <c r="J1101" s="1">
        <f ca="1">IFERROR(__xludf.DUMMYFUNCTION("""COMPUTED_VALUE"""),2000)</f>
        <v>2000</v>
      </c>
      <c r="K1101" s="1" t="str">
        <f ca="1">IFERROR(__xludf.DUMMYFUNCTION("""COMPUTED_VALUE"""),"Behavioral Science and Psychology")</f>
        <v>Behavioral Science and Psychology</v>
      </c>
      <c r="L1101" s="1" t="str">
        <f ca="1">IFERROR(__xludf.DUMMYFUNCTION("""COMPUTED_VALUE"""),"〇")</f>
        <v>〇</v>
      </c>
      <c r="M1101" s="1" t="str">
        <f ca="1">IFERROR(__xludf.DUMMYFUNCTION("""COMPUTED_VALUE"""),"〇")</f>
        <v>〇</v>
      </c>
      <c r="N1101" s="1"/>
      <c r="O1101" s="1"/>
      <c r="P1101" s="1"/>
    </row>
    <row r="1102" spans="1:16" ht="14.25" customHeight="1" x14ac:dyDescent="0.25">
      <c r="A1102" s="1"/>
      <c r="B1102" s="1">
        <f ca="1"/>
        <v>1090</v>
      </c>
      <c r="C1102" s="1">
        <f ca="1">IFERROR(__xludf.DUMMYFUNCTION("""COMPUTED_VALUE"""),2023)</f>
        <v>2023</v>
      </c>
      <c r="D1102" s="1">
        <f ca="1">IFERROR(__xludf.DUMMYFUNCTION("""COMPUTED_VALUE"""),12111)</f>
        <v>12111</v>
      </c>
      <c r="E1102" s="1" t="str">
        <f ca="1">IFERROR(__xludf.DUMMYFUNCTION("""COMPUTED_VALUE"""),"Journal of African American Studies")</f>
        <v>Journal of African American Studies</v>
      </c>
      <c r="F1102" s="1" t="str">
        <f ca="1">IFERROR(__xludf.DUMMYFUNCTION("""COMPUTED_VALUE"""),"1936-4741")</f>
        <v>1936-4741</v>
      </c>
      <c r="G1102" s="1" t="str">
        <f ca="1">IFERROR(__xludf.DUMMYFUNCTION("""COMPUTED_VALUE"""),"1559-1646")</f>
        <v>1559-1646</v>
      </c>
      <c r="H1102" s="27" t="str">
        <f ca="1">IFERROR(__xludf.DUMMYFUNCTION("""COMPUTED_VALUE"""),"https://link.springer.com/journal/12111")</f>
        <v>https://link.springer.com/journal/12111</v>
      </c>
      <c r="I1102" s="1" t="str">
        <f ca="1">IFERROR(__xludf.DUMMYFUNCTION("""COMPUTED_VALUE"""),"Springer")</f>
        <v>Springer</v>
      </c>
      <c r="J1102" s="1">
        <f ca="1">IFERROR(__xludf.DUMMYFUNCTION("""COMPUTED_VALUE"""),2000)</f>
        <v>2000</v>
      </c>
      <c r="K1102" s="1" t="str">
        <f ca="1">IFERROR(__xludf.DUMMYFUNCTION("""COMPUTED_VALUE"""),"Social Sciences")</f>
        <v>Social Sciences</v>
      </c>
      <c r="L1102" s="1" t="str">
        <f ca="1">IFERROR(__xludf.DUMMYFUNCTION("""COMPUTED_VALUE"""),"〇")</f>
        <v>〇</v>
      </c>
      <c r="M1102" s="1" t="str">
        <f ca="1">IFERROR(__xludf.DUMMYFUNCTION("""COMPUTED_VALUE"""),"〇")</f>
        <v>〇</v>
      </c>
      <c r="N1102" s="1" t="str">
        <f ca="1">IFERROR(__xludf.DUMMYFUNCTION("""COMPUTED_VALUE"""),"TO7")</f>
        <v>TO7</v>
      </c>
      <c r="O1102" s="1"/>
      <c r="P1102" s="1"/>
    </row>
    <row r="1103" spans="1:16" ht="14.25" customHeight="1" x14ac:dyDescent="0.25">
      <c r="A1103" s="1"/>
      <c r="B1103" s="1">
        <f ca="1"/>
        <v>1091</v>
      </c>
      <c r="C1103" s="1">
        <f ca="1">IFERROR(__xludf.DUMMYFUNCTION("""COMPUTED_VALUE"""),2023)</f>
        <v>2023</v>
      </c>
      <c r="D1103" s="1">
        <f ca="1">IFERROR(__xludf.DUMMYFUNCTION("""COMPUTED_VALUE"""),10806)</f>
        <v>10806</v>
      </c>
      <c r="E1103" s="1" t="str">
        <f ca="1">IFERROR(__xludf.DUMMYFUNCTION("""COMPUTED_VALUE"""),"Journal of Agricultural and Environmental Ethics")</f>
        <v>Journal of Agricultural and Environmental Ethics</v>
      </c>
      <c r="F1103" s="1" t="str">
        <f ca="1">IFERROR(__xludf.DUMMYFUNCTION("""COMPUTED_VALUE"""),"1573-322X")</f>
        <v>1573-322X</v>
      </c>
      <c r="G1103" s="1" t="str">
        <f ca="1">IFERROR(__xludf.DUMMYFUNCTION("""COMPUTED_VALUE"""),"1187-7863")</f>
        <v>1187-7863</v>
      </c>
      <c r="H1103" s="27" t="str">
        <f ca="1">IFERROR(__xludf.DUMMYFUNCTION("""COMPUTED_VALUE"""),"https://link.springer.com/journal/10806")</f>
        <v>https://link.springer.com/journal/10806</v>
      </c>
      <c r="I1103" s="1" t="str">
        <f ca="1">IFERROR(__xludf.DUMMYFUNCTION("""COMPUTED_VALUE"""),"Springer")</f>
        <v>Springer</v>
      </c>
      <c r="J1103" s="1">
        <f ca="1">IFERROR(__xludf.DUMMYFUNCTION("""COMPUTED_VALUE"""),2000)</f>
        <v>2000</v>
      </c>
      <c r="K1103" s="1" t="str">
        <f ca="1">IFERROR(__xludf.DUMMYFUNCTION("""COMPUTED_VALUE"""),"Education")</f>
        <v>Education</v>
      </c>
      <c r="L1103" s="1" t="str">
        <f ca="1">IFERROR(__xludf.DUMMYFUNCTION("""COMPUTED_VALUE"""),"〇")</f>
        <v>〇</v>
      </c>
      <c r="M1103" s="1" t="str">
        <f ca="1">IFERROR(__xludf.DUMMYFUNCTION("""COMPUTED_VALUE"""),"〇")</f>
        <v>〇</v>
      </c>
      <c r="N1103" s="1"/>
      <c r="O1103" s="1"/>
      <c r="P1103" s="1"/>
    </row>
    <row r="1104" spans="1:16" ht="14.25" customHeight="1" x14ac:dyDescent="0.25">
      <c r="A1104" s="1"/>
      <c r="B1104" s="1">
        <f ca="1"/>
        <v>1092</v>
      </c>
      <c r="C1104" s="1">
        <f ca="1">IFERROR(__xludf.DUMMYFUNCTION("""COMPUTED_VALUE"""),2023)</f>
        <v>2023</v>
      </c>
      <c r="D1104" s="1">
        <f ca="1">IFERROR(__xludf.DUMMYFUNCTION("""COMPUTED_VALUE"""),13253)</f>
        <v>13253</v>
      </c>
      <c r="E1104" s="1" t="str">
        <f ca="1">IFERROR(__xludf.DUMMYFUNCTION("""COMPUTED_VALUE"""),"Journal of Agricultural, Biological and Environmental Statistics")</f>
        <v>Journal of Agricultural, Biological and Environmental Statistics</v>
      </c>
      <c r="F1104" s="1" t="str">
        <f ca="1">IFERROR(__xludf.DUMMYFUNCTION("""COMPUTED_VALUE"""),"1537-2693")</f>
        <v>1537-2693</v>
      </c>
      <c r="G1104" s="1" t="str">
        <f ca="1">IFERROR(__xludf.DUMMYFUNCTION("""COMPUTED_VALUE"""),"1085-7117")</f>
        <v>1085-7117</v>
      </c>
      <c r="H1104" s="27" t="str">
        <f ca="1">IFERROR(__xludf.DUMMYFUNCTION("""COMPUTED_VALUE"""),"https://link.springer.com/journal/13253")</f>
        <v>https://link.springer.com/journal/13253</v>
      </c>
      <c r="I1104" s="1" t="str">
        <f ca="1">IFERROR(__xludf.DUMMYFUNCTION("""COMPUTED_VALUE"""),"Springer")</f>
        <v>Springer</v>
      </c>
      <c r="J1104" s="1">
        <f ca="1">IFERROR(__xludf.DUMMYFUNCTION("""COMPUTED_VALUE"""),2001)</f>
        <v>2001</v>
      </c>
      <c r="K1104" s="1" t="str">
        <f ca="1">IFERROR(__xludf.DUMMYFUNCTION("""COMPUTED_VALUE"""),"Mathematics and Statistics")</f>
        <v>Mathematics and Statistics</v>
      </c>
      <c r="L1104" s="1" t="str">
        <f ca="1">IFERROR(__xludf.DUMMYFUNCTION("""COMPUTED_VALUE"""),"〇")</f>
        <v>〇</v>
      </c>
      <c r="M1104" s="1"/>
      <c r="N1104" s="1" t="str">
        <f ca="1">IFERROR(__xludf.DUMMYFUNCTION("""COMPUTED_VALUE"""),"TO10")</f>
        <v>TO10</v>
      </c>
      <c r="O1104" s="1"/>
      <c r="P1104" s="1"/>
    </row>
    <row r="1105" spans="1:16" ht="14.25" customHeight="1" x14ac:dyDescent="0.25">
      <c r="A1105" s="1"/>
      <c r="B1105" s="1">
        <f ca="1"/>
        <v>1093</v>
      </c>
      <c r="C1105" s="1">
        <f ca="1">IFERROR(__xludf.DUMMYFUNCTION("""COMPUTED_VALUE"""),2023)</f>
        <v>2023</v>
      </c>
      <c r="D1105" s="1">
        <f ca="1">IFERROR(__xludf.DUMMYFUNCTION("""COMPUTED_VALUE"""),10801)</f>
        <v>10801</v>
      </c>
      <c r="E1105" s="1" t="str">
        <f ca="1">IFERROR(__xludf.DUMMYFUNCTION("""COMPUTED_VALUE"""),"Journal of Algebraic Combinatorics")</f>
        <v>Journal of Algebraic Combinatorics</v>
      </c>
      <c r="F1105" s="1" t="str">
        <f ca="1">IFERROR(__xludf.DUMMYFUNCTION("""COMPUTED_VALUE"""),"1572-9192")</f>
        <v>1572-9192</v>
      </c>
      <c r="G1105" s="1" t="str">
        <f ca="1">IFERROR(__xludf.DUMMYFUNCTION("""COMPUTED_VALUE"""),"0925-9899")</f>
        <v>0925-9899</v>
      </c>
      <c r="H1105" s="27" t="str">
        <f ca="1">IFERROR(__xludf.DUMMYFUNCTION("""COMPUTED_VALUE"""),"https://link.springer.com/journal/10801")</f>
        <v>https://link.springer.com/journal/10801</v>
      </c>
      <c r="I1105" s="1" t="str">
        <f ca="1">IFERROR(__xludf.DUMMYFUNCTION("""COMPUTED_VALUE"""),"Springer")</f>
        <v>Springer</v>
      </c>
      <c r="J1105" s="1">
        <f ca="1">IFERROR(__xludf.DUMMYFUNCTION("""COMPUTED_VALUE"""),2000)</f>
        <v>2000</v>
      </c>
      <c r="K1105" s="1" t="str">
        <f ca="1">IFERROR(__xludf.DUMMYFUNCTION("""COMPUTED_VALUE"""),"Mathematics and Statistics")</f>
        <v>Mathematics and Statistics</v>
      </c>
      <c r="L1105" s="1" t="str">
        <f ca="1">IFERROR(__xludf.DUMMYFUNCTION("""COMPUTED_VALUE"""),"〇")</f>
        <v>〇</v>
      </c>
      <c r="M1105" s="1" t="str">
        <f ca="1">IFERROR(__xludf.DUMMYFUNCTION("""COMPUTED_VALUE"""),"〇")</f>
        <v>〇</v>
      </c>
      <c r="N1105" s="1"/>
      <c r="O1105" s="1"/>
      <c r="P1105" s="1"/>
    </row>
    <row r="1106" spans="1:16" ht="14.25" customHeight="1" x14ac:dyDescent="0.25">
      <c r="A1106" s="1"/>
      <c r="B1106" s="1">
        <f ca="1"/>
        <v>1094</v>
      </c>
      <c r="C1106" s="1">
        <f ca="1">IFERROR(__xludf.DUMMYFUNCTION("""COMPUTED_VALUE"""),2023)</f>
        <v>2023</v>
      </c>
      <c r="D1106" s="1">
        <f ca="1">IFERROR(__xludf.DUMMYFUNCTION("""COMPUTED_VALUE"""),12652)</f>
        <v>12652</v>
      </c>
      <c r="E1106" s="1" t="str">
        <f ca="1">IFERROR(__xludf.DUMMYFUNCTION("""COMPUTED_VALUE"""),"Journal of Ambient Intelligence and Humanized Computing")</f>
        <v>Journal of Ambient Intelligence and Humanized Computing</v>
      </c>
      <c r="F1106" s="1" t="str">
        <f ca="1">IFERROR(__xludf.DUMMYFUNCTION("""COMPUTED_VALUE"""),"1868-5145")</f>
        <v>1868-5145</v>
      </c>
      <c r="G1106" s="1" t="str">
        <f ca="1">IFERROR(__xludf.DUMMYFUNCTION("""COMPUTED_VALUE"""),"1868-5137")</f>
        <v>1868-5137</v>
      </c>
      <c r="H1106" s="27" t="str">
        <f ca="1">IFERROR(__xludf.DUMMYFUNCTION("""COMPUTED_VALUE"""),"https://link.springer.com/journal/12652")</f>
        <v>https://link.springer.com/journal/12652</v>
      </c>
      <c r="I1106" s="1" t="str">
        <f ca="1">IFERROR(__xludf.DUMMYFUNCTION("""COMPUTED_VALUE"""),"Springer")</f>
        <v>Springer</v>
      </c>
      <c r="J1106" s="1">
        <f ca="1">IFERROR(__xludf.DUMMYFUNCTION("""COMPUTED_VALUE"""),2010)</f>
        <v>2010</v>
      </c>
      <c r="K1106" s="1" t="str">
        <f ca="1">IFERROR(__xludf.DUMMYFUNCTION("""COMPUTED_VALUE"""),"Engineering")</f>
        <v>Engineering</v>
      </c>
      <c r="L1106" s="1" t="str">
        <f ca="1">IFERROR(__xludf.DUMMYFUNCTION("""COMPUTED_VALUE"""),"〇")</f>
        <v>〇</v>
      </c>
      <c r="M1106" s="1" t="str">
        <f ca="1">IFERROR(__xludf.DUMMYFUNCTION("""COMPUTED_VALUE"""),"〇")</f>
        <v>〇</v>
      </c>
      <c r="N1106" s="1" t="str">
        <f ca="1">IFERROR(__xludf.DUMMYFUNCTION("""COMPUTED_VALUE"""),"SNS10")</f>
        <v>SNS10</v>
      </c>
      <c r="O1106" s="1"/>
      <c r="P1106" s="1"/>
    </row>
    <row r="1107" spans="1:16" ht="14.25" customHeight="1" x14ac:dyDescent="0.25">
      <c r="A1107" s="1"/>
      <c r="B1107" s="1">
        <f ca="1"/>
        <v>1095</v>
      </c>
      <c r="C1107" s="1">
        <f ca="1">IFERROR(__xludf.DUMMYFUNCTION("""COMPUTED_VALUE"""),2023)</f>
        <v>2023</v>
      </c>
      <c r="D1107" s="1">
        <f ca="1">IFERROR(__xludf.DUMMYFUNCTION("""COMPUTED_VALUE"""),41664)</f>
        <v>41664</v>
      </c>
      <c r="E1107" s="1" t="str">
        <f ca="1">IFERROR(__xludf.DUMMYFUNCTION("""COMPUTED_VALUE"""),"Journal of Analysis and Testing")</f>
        <v>Journal of Analysis and Testing</v>
      </c>
      <c r="F1107" s="1" t="str">
        <f ca="1">IFERROR(__xludf.DUMMYFUNCTION("""COMPUTED_VALUE"""),"2509-4696")</f>
        <v>2509-4696</v>
      </c>
      <c r="G1107" s="1" t="str">
        <f ca="1">IFERROR(__xludf.DUMMYFUNCTION("""COMPUTED_VALUE"""),"2096-241X")</f>
        <v>2096-241X</v>
      </c>
      <c r="H1107" s="27" t="str">
        <f ca="1">IFERROR(__xludf.DUMMYFUNCTION("""COMPUTED_VALUE"""),"https://link.springer.com/journal/41664")</f>
        <v>https://link.springer.com/journal/41664</v>
      </c>
      <c r="I1107" s="1" t="str">
        <f ca="1">IFERROR(__xludf.DUMMYFUNCTION("""COMPUTED_VALUE"""),"Nonferrous Metals Society of China, co-published with Springer")</f>
        <v>Nonferrous Metals Society of China, co-published with Springer</v>
      </c>
      <c r="J1107" s="1">
        <f ca="1">IFERROR(__xludf.DUMMYFUNCTION("""COMPUTED_VALUE"""),2017)</f>
        <v>2017</v>
      </c>
      <c r="K1107" s="1" t="str">
        <f ca="1">IFERROR(__xludf.DUMMYFUNCTION("""COMPUTED_VALUE"""),"Chemistry and Materials Science")</f>
        <v>Chemistry and Materials Science</v>
      </c>
      <c r="L1107" s="1" t="str">
        <f ca="1">IFERROR(__xludf.DUMMYFUNCTION("""COMPUTED_VALUE"""),"〇")</f>
        <v>〇</v>
      </c>
      <c r="M1107" s="1"/>
      <c r="N1107" s="1" t="str">
        <f ca="1">IFERROR(__xludf.DUMMYFUNCTION("""COMPUTED_VALUE"""),"SNS17")</f>
        <v>SNS17</v>
      </c>
      <c r="O1107" s="1"/>
      <c r="P1107" s="1"/>
    </row>
    <row r="1108" spans="1:16" ht="14.25" customHeight="1" x14ac:dyDescent="0.25">
      <c r="A1108" s="1"/>
      <c r="B1108" s="1">
        <f ca="1"/>
        <v>1096</v>
      </c>
      <c r="C1108" s="1">
        <f ca="1">IFERROR(__xludf.DUMMYFUNCTION("""COMPUTED_VALUE"""),2023)</f>
        <v>2023</v>
      </c>
      <c r="D1108" s="1">
        <f ca="1">IFERROR(__xludf.DUMMYFUNCTION("""COMPUTED_VALUE"""),10809)</f>
        <v>10809</v>
      </c>
      <c r="E1108" s="1" t="str">
        <f ca="1">IFERROR(__xludf.DUMMYFUNCTION("""COMPUTED_VALUE"""),"Journal of Analytical Chemistry")</f>
        <v>Journal of Analytical Chemistry</v>
      </c>
      <c r="F1108" s="1" t="str">
        <f ca="1">IFERROR(__xludf.DUMMYFUNCTION("""COMPUTED_VALUE"""),"1608-3199")</f>
        <v>1608-3199</v>
      </c>
      <c r="G1108" s="1" t="str">
        <f ca="1">IFERROR(__xludf.DUMMYFUNCTION("""COMPUTED_VALUE"""),"1061-9348")</f>
        <v>1061-9348</v>
      </c>
      <c r="H1108" s="27" t="str">
        <f ca="1">IFERROR(__xludf.DUMMYFUNCTION("""COMPUTED_VALUE"""),"https://link.springer.com/journal/10809")</f>
        <v>https://link.springer.com/journal/10809</v>
      </c>
      <c r="I1108" s="1" t="str">
        <f ca="1">IFERROR(__xludf.DUMMYFUNCTION("""COMPUTED_VALUE"""),"Pleiades Publishing")</f>
        <v>Pleiades Publishing</v>
      </c>
      <c r="J1108" s="1">
        <f ca="1">IFERROR(__xludf.DUMMYFUNCTION("""COMPUTED_VALUE"""),2000)</f>
        <v>2000</v>
      </c>
      <c r="K1108" s="1" t="str">
        <f ca="1">IFERROR(__xludf.DUMMYFUNCTION("""COMPUTED_VALUE"""),"Chemistry and Materials Science")</f>
        <v>Chemistry and Materials Science</v>
      </c>
      <c r="L1108" s="1" t="str">
        <f ca="1">IFERROR(__xludf.DUMMYFUNCTION("""COMPUTED_VALUE"""),"〇")</f>
        <v>〇</v>
      </c>
      <c r="M1108" s="1" t="str">
        <f ca="1">IFERROR(__xludf.DUMMYFUNCTION("""COMPUTED_VALUE"""),"〇")</f>
        <v>〇</v>
      </c>
      <c r="N1108" s="1"/>
      <c r="O1108" s="1"/>
      <c r="P1108" s="1"/>
    </row>
    <row r="1109" spans="1:16" ht="14.25" customHeight="1" x14ac:dyDescent="0.25">
      <c r="A1109" s="1"/>
      <c r="B1109" s="1">
        <f ca="1"/>
        <v>1097</v>
      </c>
      <c r="C1109" s="1">
        <f ca="1">IFERROR(__xludf.DUMMYFUNCTION("""COMPUTED_VALUE"""),2023)</f>
        <v>2023</v>
      </c>
      <c r="D1109" s="1">
        <f ca="1">IFERROR(__xludf.DUMMYFUNCTION("""COMPUTED_VALUE"""),540)</f>
        <v>540</v>
      </c>
      <c r="E1109" s="1" t="str">
        <f ca="1">IFERROR(__xludf.DUMMYFUNCTION("""COMPUTED_VALUE"""),"Journal of Anesthesia")</f>
        <v>Journal of Anesthesia</v>
      </c>
      <c r="F1109" s="1" t="str">
        <f ca="1">IFERROR(__xludf.DUMMYFUNCTION("""COMPUTED_VALUE"""),"1438-8359")</f>
        <v>1438-8359</v>
      </c>
      <c r="G1109" s="1" t="str">
        <f ca="1">IFERROR(__xludf.DUMMYFUNCTION("""COMPUTED_VALUE"""),"0913-8668")</f>
        <v>0913-8668</v>
      </c>
      <c r="H1109" s="27" t="str">
        <f ca="1">IFERROR(__xludf.DUMMYFUNCTION("""COMPUTED_VALUE"""),"https://link.springer.com/journal/540")</f>
        <v>https://link.springer.com/journal/540</v>
      </c>
      <c r="I1109" s="1" t="str">
        <f ca="1">IFERROR(__xludf.DUMMYFUNCTION("""COMPUTED_VALUE"""),"Springer")</f>
        <v>Springer</v>
      </c>
      <c r="J1109" s="1">
        <f ca="1">IFERROR(__xludf.DUMMYFUNCTION("""COMPUTED_VALUE"""),2000)</f>
        <v>2000</v>
      </c>
      <c r="K1109" s="1" t="str">
        <f ca="1">IFERROR(__xludf.DUMMYFUNCTION("""COMPUTED_VALUE"""),"Medicine")</f>
        <v>Medicine</v>
      </c>
      <c r="L1109" s="1" t="str">
        <f ca="1">IFERROR(__xludf.DUMMYFUNCTION("""COMPUTED_VALUE"""),"〇")</f>
        <v>〇</v>
      </c>
      <c r="M1109" s="1" t="str">
        <f ca="1">IFERROR(__xludf.DUMMYFUNCTION("""COMPUTED_VALUE"""),"〇")</f>
        <v>〇</v>
      </c>
      <c r="N1109" s="1"/>
      <c r="O1109" s="1"/>
      <c r="P1109" s="1"/>
    </row>
    <row r="1110" spans="1:16" ht="14.25" customHeight="1" x14ac:dyDescent="0.25">
      <c r="A1110" s="1"/>
      <c r="B1110" s="1">
        <f ca="1"/>
        <v>1098</v>
      </c>
      <c r="C1110" s="1">
        <f ca="1">IFERROR(__xludf.DUMMYFUNCTION("""COMPUTED_VALUE"""),2023)</f>
        <v>2023</v>
      </c>
      <c r="D1110" s="1">
        <f ca="1">IFERROR(__xludf.DUMMYFUNCTION("""COMPUTED_VALUE"""),41468)</f>
        <v>41468</v>
      </c>
      <c r="E1110" s="1" t="str">
        <f ca="1">IFERROR(__xludf.DUMMYFUNCTION("""COMPUTED_VALUE"""),"Journal of Applied and Computational Topology")</f>
        <v>Journal of Applied and Computational Topology</v>
      </c>
      <c r="F1110" s="1" t="str">
        <f ca="1">IFERROR(__xludf.DUMMYFUNCTION("""COMPUTED_VALUE"""),"2367-1734")</f>
        <v>2367-1734</v>
      </c>
      <c r="G1110" s="1" t="str">
        <f ca="1">IFERROR(__xludf.DUMMYFUNCTION("""COMPUTED_VALUE"""),"2367-1726")</f>
        <v>2367-1726</v>
      </c>
      <c r="H1110" s="27" t="str">
        <f ca="1">IFERROR(__xludf.DUMMYFUNCTION("""COMPUTED_VALUE"""),"https://link.springer.com/journal/41468")</f>
        <v>https://link.springer.com/journal/41468</v>
      </c>
      <c r="I1110" s="1" t="str">
        <f ca="1">IFERROR(__xludf.DUMMYFUNCTION("""COMPUTED_VALUE"""),"Springer")</f>
        <v>Springer</v>
      </c>
      <c r="J1110" s="1">
        <f ca="1">IFERROR(__xludf.DUMMYFUNCTION("""COMPUTED_VALUE"""),2017)</f>
        <v>2017</v>
      </c>
      <c r="K1110" s="1" t="str">
        <f ca="1">IFERROR(__xludf.DUMMYFUNCTION("""COMPUTED_VALUE"""),"Mathematics and Statistics")</f>
        <v>Mathematics and Statistics</v>
      </c>
      <c r="L1110" s="1" t="str">
        <f ca="1">IFERROR(__xludf.DUMMYFUNCTION("""COMPUTED_VALUE"""),"〇")</f>
        <v>〇</v>
      </c>
      <c r="M1110" s="1"/>
      <c r="N1110" s="1" t="str">
        <f ca="1">IFERROR(__xludf.DUMMYFUNCTION("""COMPUTED_VALUE"""),"SNS17")</f>
        <v>SNS17</v>
      </c>
      <c r="O1110" s="1"/>
      <c r="P1110" s="1"/>
    </row>
    <row r="1111" spans="1:16" ht="14.25" customHeight="1" x14ac:dyDescent="0.25">
      <c r="A1111" s="1"/>
      <c r="B1111" s="1">
        <f ca="1"/>
        <v>1099</v>
      </c>
      <c r="C1111" s="1">
        <f ca="1">IFERROR(__xludf.DUMMYFUNCTION("""COMPUTED_VALUE"""),2023)</f>
        <v>2023</v>
      </c>
      <c r="D1111" s="1">
        <f ca="1">IFERROR(__xludf.DUMMYFUNCTION("""COMPUTED_VALUE"""),11754)</f>
        <v>11754</v>
      </c>
      <c r="E1111" s="1" t="str">
        <f ca="1">IFERROR(__xludf.DUMMYFUNCTION("""COMPUTED_VALUE"""),"Journal of Applied and Industrial Mathematics")</f>
        <v>Journal of Applied and Industrial Mathematics</v>
      </c>
      <c r="F1111" s="1" t="str">
        <f ca="1">IFERROR(__xludf.DUMMYFUNCTION("""COMPUTED_VALUE"""),"1990-4797")</f>
        <v>1990-4797</v>
      </c>
      <c r="G1111" s="1" t="str">
        <f ca="1">IFERROR(__xludf.DUMMYFUNCTION("""COMPUTED_VALUE"""),"1990-4789")</f>
        <v>1990-4789</v>
      </c>
      <c r="H1111" s="27" t="str">
        <f ca="1">IFERROR(__xludf.DUMMYFUNCTION("""COMPUTED_VALUE"""),"https://link.springer.com/journal/11754")</f>
        <v>https://link.springer.com/journal/11754</v>
      </c>
      <c r="I1111" s="1" t="str">
        <f ca="1">IFERROR(__xludf.DUMMYFUNCTION("""COMPUTED_VALUE"""),"Pleiades Publishing")</f>
        <v>Pleiades Publishing</v>
      </c>
      <c r="J1111" s="1">
        <f ca="1">IFERROR(__xludf.DUMMYFUNCTION("""COMPUTED_VALUE"""),2007)</f>
        <v>2007</v>
      </c>
      <c r="K1111" s="1" t="str">
        <f ca="1">IFERROR(__xludf.DUMMYFUNCTION("""COMPUTED_VALUE"""),"Mathematics and Statistics")</f>
        <v>Mathematics and Statistics</v>
      </c>
      <c r="L1111" s="1" t="str">
        <f ca="1">IFERROR(__xludf.DUMMYFUNCTION("""COMPUTED_VALUE"""),"〇")</f>
        <v>〇</v>
      </c>
      <c r="M1111" s="1" t="str">
        <f ca="1">IFERROR(__xludf.DUMMYFUNCTION("""COMPUTED_VALUE"""),"〇")</f>
        <v>〇</v>
      </c>
      <c r="N1111" s="1" t="str">
        <f ca="1">IFERROR(__xludf.DUMMYFUNCTION("""COMPUTED_VALUE"""),"SNS7")</f>
        <v>SNS7</v>
      </c>
      <c r="O1111" s="1"/>
      <c r="P1111" s="1"/>
    </row>
    <row r="1112" spans="1:16" ht="14.25" customHeight="1" x14ac:dyDescent="0.25">
      <c r="A1112" s="1"/>
      <c r="B1112" s="1">
        <f ca="1"/>
        <v>1100</v>
      </c>
      <c r="C1112" s="1">
        <f ca="1">IFERROR(__xludf.DUMMYFUNCTION("""COMPUTED_VALUE"""),2023)</f>
        <v>2023</v>
      </c>
      <c r="D1112" s="1">
        <f ca="1">IFERROR(__xludf.DUMMYFUNCTION("""COMPUTED_VALUE"""),10800)</f>
        <v>10800</v>
      </c>
      <c r="E1112" s="1" t="str">
        <f ca="1">IFERROR(__xludf.DUMMYFUNCTION("""COMPUTED_VALUE"""),"Journal of Applied Electrochemistry")</f>
        <v>Journal of Applied Electrochemistry</v>
      </c>
      <c r="F1112" s="1" t="str">
        <f ca="1">IFERROR(__xludf.DUMMYFUNCTION("""COMPUTED_VALUE"""),"1572-8838")</f>
        <v>1572-8838</v>
      </c>
      <c r="G1112" s="1" t="str">
        <f ca="1">IFERROR(__xludf.DUMMYFUNCTION("""COMPUTED_VALUE"""),"0021-891X")</f>
        <v>0021-891X</v>
      </c>
      <c r="H1112" s="27" t="str">
        <f ca="1">IFERROR(__xludf.DUMMYFUNCTION("""COMPUTED_VALUE"""),"https://link.springer.com/journal/10800")</f>
        <v>https://link.springer.com/journal/10800</v>
      </c>
      <c r="I1112" s="1" t="str">
        <f ca="1">IFERROR(__xludf.DUMMYFUNCTION("""COMPUTED_VALUE"""),"Springer")</f>
        <v>Springer</v>
      </c>
      <c r="J1112" s="1">
        <f ca="1">IFERROR(__xludf.DUMMYFUNCTION("""COMPUTED_VALUE"""),2000)</f>
        <v>2000</v>
      </c>
      <c r="K1112" s="1" t="str">
        <f ca="1">IFERROR(__xludf.DUMMYFUNCTION("""COMPUTED_VALUE"""),"Chemistry and Materials Science")</f>
        <v>Chemistry and Materials Science</v>
      </c>
      <c r="L1112" s="1" t="str">
        <f ca="1">IFERROR(__xludf.DUMMYFUNCTION("""COMPUTED_VALUE"""),"〇")</f>
        <v>〇</v>
      </c>
      <c r="M1112" s="1" t="str">
        <f ca="1">IFERROR(__xludf.DUMMYFUNCTION("""COMPUTED_VALUE"""),"〇")</f>
        <v>〇</v>
      </c>
      <c r="N1112" s="1"/>
      <c r="O1112" s="1"/>
      <c r="P1112" s="1"/>
    </row>
    <row r="1113" spans="1:16" ht="14.25" customHeight="1" x14ac:dyDescent="0.25">
      <c r="A1113" s="1"/>
      <c r="B1113" s="1">
        <f ca="1"/>
        <v>1101</v>
      </c>
      <c r="C1113" s="1">
        <f ca="1">IFERROR(__xludf.DUMMYFUNCTION("""COMPUTED_VALUE"""),2023)</f>
        <v>2023</v>
      </c>
      <c r="D1113" s="1">
        <f ca="1">IFERROR(__xludf.DUMMYFUNCTION("""COMPUTED_VALUE"""),13353)</f>
        <v>13353</v>
      </c>
      <c r="E1113" s="1" t="str">
        <f ca="1">IFERROR(__xludf.DUMMYFUNCTION("""COMPUTED_VALUE"""),"Journal of Applied Genetics")</f>
        <v>Journal of Applied Genetics</v>
      </c>
      <c r="F1113" s="1" t="str">
        <f ca="1">IFERROR(__xludf.DUMMYFUNCTION("""COMPUTED_VALUE"""),"2190-3883")</f>
        <v>2190-3883</v>
      </c>
      <c r="G1113" s="1" t="str">
        <f ca="1">IFERROR(__xludf.DUMMYFUNCTION("""COMPUTED_VALUE"""),"1234-1983")</f>
        <v>1234-1983</v>
      </c>
      <c r="H1113" s="27" t="str">
        <f ca="1">IFERROR(__xludf.DUMMYFUNCTION("""COMPUTED_VALUE"""),"https://link.springer.com/journal/13353")</f>
        <v>https://link.springer.com/journal/13353</v>
      </c>
      <c r="I1113" s="1" t="str">
        <f ca="1">IFERROR(__xludf.DUMMYFUNCTION("""COMPUTED_VALUE"""),"Springer")</f>
        <v>Springer</v>
      </c>
      <c r="J1113" s="1">
        <f ca="1">IFERROR(__xludf.DUMMYFUNCTION("""COMPUTED_VALUE"""),2006)</f>
        <v>2006</v>
      </c>
      <c r="K1113" s="1" t="str">
        <f ca="1">IFERROR(__xludf.DUMMYFUNCTION("""COMPUTED_VALUE"""),"Biomedical and Life Sciences")</f>
        <v>Biomedical and Life Sciences</v>
      </c>
      <c r="L1113" s="1" t="str">
        <f ca="1">IFERROR(__xludf.DUMMYFUNCTION("""COMPUTED_VALUE"""),"〇")</f>
        <v>〇</v>
      </c>
      <c r="M1113" s="1"/>
      <c r="N1113" s="1" t="str">
        <f ca="1">IFERROR(__xludf.DUMMYFUNCTION("""COMPUTED_VALUE"""),"TO11")</f>
        <v>TO11</v>
      </c>
      <c r="O1113" s="1"/>
      <c r="P1113" s="1"/>
    </row>
    <row r="1114" spans="1:16" ht="14.25" customHeight="1" x14ac:dyDescent="0.25">
      <c r="A1114" s="1"/>
      <c r="B1114" s="1">
        <f ca="1"/>
        <v>1102</v>
      </c>
      <c r="C1114" s="1">
        <f ca="1">IFERROR(__xludf.DUMMYFUNCTION("""COMPUTED_VALUE"""),2023)</f>
        <v>2023</v>
      </c>
      <c r="D1114" s="1">
        <f ca="1">IFERROR(__xludf.DUMMYFUNCTION("""COMPUTED_VALUE"""),12190)</f>
        <v>12190</v>
      </c>
      <c r="E1114" s="1" t="str">
        <f ca="1">IFERROR(__xludf.DUMMYFUNCTION("""COMPUTED_VALUE"""),"Journal of Applied Mathematics and Computing")</f>
        <v>Journal of Applied Mathematics and Computing</v>
      </c>
      <c r="F1114" s="1" t="str">
        <f ca="1">IFERROR(__xludf.DUMMYFUNCTION("""COMPUTED_VALUE"""),"1865-2085")</f>
        <v>1865-2085</v>
      </c>
      <c r="G1114" s="1" t="str">
        <f ca="1">IFERROR(__xludf.DUMMYFUNCTION("""COMPUTED_VALUE"""),"1598-5865")</f>
        <v>1598-5865</v>
      </c>
      <c r="H1114" s="27" t="str">
        <f ca="1">IFERROR(__xludf.DUMMYFUNCTION("""COMPUTED_VALUE"""),"https://link.springer.com/journal/12190")</f>
        <v>https://link.springer.com/journal/12190</v>
      </c>
      <c r="I1114" s="1" t="str">
        <f ca="1">IFERROR(__xludf.DUMMYFUNCTION("""COMPUTED_VALUE"""),"Springer")</f>
        <v>Springer</v>
      </c>
      <c r="J1114" s="1">
        <f ca="1">IFERROR(__xludf.DUMMYFUNCTION("""COMPUTED_VALUE"""),2000)</f>
        <v>2000</v>
      </c>
      <c r="K1114" s="1" t="str">
        <f ca="1">IFERROR(__xludf.DUMMYFUNCTION("""COMPUTED_VALUE"""),"Mathematics and Statistics")</f>
        <v>Mathematics and Statistics</v>
      </c>
      <c r="L1114" s="1" t="str">
        <f ca="1">IFERROR(__xludf.DUMMYFUNCTION("""COMPUTED_VALUE"""),"〇")</f>
        <v>〇</v>
      </c>
      <c r="M1114" s="1" t="str">
        <f ca="1">IFERROR(__xludf.DUMMYFUNCTION("""COMPUTED_VALUE"""),"〇")</f>
        <v>〇</v>
      </c>
      <c r="N1114" s="1" t="str">
        <f ca="1">IFERROR(__xludf.DUMMYFUNCTION("""COMPUTED_VALUE"""),"TO8")</f>
        <v>TO8</v>
      </c>
      <c r="O1114" s="1"/>
      <c r="P1114" s="1"/>
    </row>
    <row r="1115" spans="1:16" ht="14.25" customHeight="1" x14ac:dyDescent="0.25">
      <c r="A1115" s="1"/>
      <c r="B1115" s="1">
        <f ca="1"/>
        <v>1103</v>
      </c>
      <c r="C1115" s="1">
        <f ca="1">IFERROR(__xludf.DUMMYFUNCTION("""COMPUTED_VALUE"""),2023)</f>
        <v>2023</v>
      </c>
      <c r="D1115" s="1">
        <f ca="1">IFERROR(__xludf.DUMMYFUNCTION("""COMPUTED_VALUE"""),10808)</f>
        <v>10808</v>
      </c>
      <c r="E1115" s="1" t="str">
        <f ca="1">IFERROR(__xludf.DUMMYFUNCTION("""COMPUTED_VALUE"""),"Journal of Applied Mechanics and Technical Physics")</f>
        <v>Journal of Applied Mechanics and Technical Physics</v>
      </c>
      <c r="F1115" s="1" t="str">
        <f ca="1">IFERROR(__xludf.DUMMYFUNCTION("""COMPUTED_VALUE"""),"1573-8620")</f>
        <v>1573-8620</v>
      </c>
      <c r="G1115" s="1" t="str">
        <f ca="1">IFERROR(__xludf.DUMMYFUNCTION("""COMPUTED_VALUE"""),"0021-8944")</f>
        <v>0021-8944</v>
      </c>
      <c r="H1115" s="27" t="str">
        <f ca="1">IFERROR(__xludf.DUMMYFUNCTION("""COMPUTED_VALUE"""),"https://link.springer.com/journal/10808")</f>
        <v>https://link.springer.com/journal/10808</v>
      </c>
      <c r="I1115" s="1" t="str">
        <f ca="1">IFERROR(__xludf.DUMMYFUNCTION("""COMPUTED_VALUE"""),"Pleiades Publishing")</f>
        <v>Pleiades Publishing</v>
      </c>
      <c r="J1115" s="1">
        <f ca="1">IFERROR(__xludf.DUMMYFUNCTION("""COMPUTED_VALUE"""),2000)</f>
        <v>2000</v>
      </c>
      <c r="K1115" s="1" t="str">
        <f ca="1">IFERROR(__xludf.DUMMYFUNCTION("""COMPUTED_VALUE"""),"Physics and Astronomy")</f>
        <v>Physics and Astronomy</v>
      </c>
      <c r="L1115" s="1" t="str">
        <f ca="1">IFERROR(__xludf.DUMMYFUNCTION("""COMPUTED_VALUE"""),"〇")</f>
        <v>〇</v>
      </c>
      <c r="M1115" s="1" t="str">
        <f ca="1">IFERROR(__xludf.DUMMYFUNCTION("""COMPUTED_VALUE"""),"〇")</f>
        <v>〇</v>
      </c>
      <c r="N1115" s="1"/>
      <c r="O1115" s="1"/>
      <c r="P1115" s="1"/>
    </row>
    <row r="1116" spans="1:16" ht="14.25" customHeight="1" x14ac:dyDescent="0.25">
      <c r="A1116" s="1"/>
      <c r="B1116" s="1">
        <f ca="1"/>
        <v>1104</v>
      </c>
      <c r="C1116" s="1">
        <f ca="1">IFERROR(__xludf.DUMMYFUNCTION("""COMPUTED_VALUE"""),2023)</f>
        <v>2023</v>
      </c>
      <c r="D1116" s="1">
        <f ca="1">IFERROR(__xludf.DUMMYFUNCTION("""COMPUTED_VALUE"""),10811)</f>
        <v>10811</v>
      </c>
      <c r="E1116" s="1" t="str">
        <f ca="1">IFERROR(__xludf.DUMMYFUNCTION("""COMPUTED_VALUE"""),"Journal of Applied Phycology")</f>
        <v>Journal of Applied Phycology</v>
      </c>
      <c r="F1116" s="1" t="str">
        <f ca="1">IFERROR(__xludf.DUMMYFUNCTION("""COMPUTED_VALUE"""),"1573-5176")</f>
        <v>1573-5176</v>
      </c>
      <c r="G1116" s="1" t="str">
        <f ca="1">IFERROR(__xludf.DUMMYFUNCTION("""COMPUTED_VALUE"""),"0921-8971")</f>
        <v>0921-8971</v>
      </c>
      <c r="H1116" s="27" t="str">
        <f ca="1">IFERROR(__xludf.DUMMYFUNCTION("""COMPUTED_VALUE"""),"https://link.springer.com/journal/10811")</f>
        <v>https://link.springer.com/journal/10811</v>
      </c>
      <c r="I1116" s="1" t="str">
        <f ca="1">IFERROR(__xludf.DUMMYFUNCTION("""COMPUTED_VALUE"""),"Springer")</f>
        <v>Springer</v>
      </c>
      <c r="J1116" s="1">
        <f ca="1">IFERROR(__xludf.DUMMYFUNCTION("""COMPUTED_VALUE"""),2000)</f>
        <v>2000</v>
      </c>
      <c r="K1116" s="1" t="str">
        <f ca="1">IFERROR(__xludf.DUMMYFUNCTION("""COMPUTED_VALUE"""),"Biomedical and Life Sciences")</f>
        <v>Biomedical and Life Sciences</v>
      </c>
      <c r="L1116" s="1" t="str">
        <f ca="1">IFERROR(__xludf.DUMMYFUNCTION("""COMPUTED_VALUE"""),"〇")</f>
        <v>〇</v>
      </c>
      <c r="M1116" s="1" t="str">
        <f ca="1">IFERROR(__xludf.DUMMYFUNCTION("""COMPUTED_VALUE"""),"〇")</f>
        <v>〇</v>
      </c>
      <c r="N1116" s="1"/>
      <c r="O1116" s="1"/>
      <c r="P1116" s="1"/>
    </row>
    <row r="1117" spans="1:16" ht="14.25" customHeight="1" x14ac:dyDescent="0.25">
      <c r="A1117" s="1"/>
      <c r="B1117" s="1">
        <f ca="1"/>
        <v>1105</v>
      </c>
      <c r="C1117" s="1">
        <f ca="1">IFERROR(__xludf.DUMMYFUNCTION("""COMPUTED_VALUE"""),2023)</f>
        <v>2023</v>
      </c>
      <c r="D1117" s="1">
        <f ca="1">IFERROR(__xludf.DUMMYFUNCTION("""COMPUTED_VALUE"""),10812)</f>
        <v>10812</v>
      </c>
      <c r="E1117" s="1" t="str">
        <f ca="1">IFERROR(__xludf.DUMMYFUNCTION("""COMPUTED_VALUE"""),"Journal of Applied Spectroscopy")</f>
        <v>Journal of Applied Spectroscopy</v>
      </c>
      <c r="F1117" s="1" t="str">
        <f ca="1">IFERROR(__xludf.DUMMYFUNCTION("""COMPUTED_VALUE"""),"1573-8647")</f>
        <v>1573-8647</v>
      </c>
      <c r="G1117" s="1" t="str">
        <f ca="1">IFERROR(__xludf.DUMMYFUNCTION("""COMPUTED_VALUE"""),"0021-9037")</f>
        <v>0021-9037</v>
      </c>
      <c r="H1117" s="27" t="str">
        <f ca="1">IFERROR(__xludf.DUMMYFUNCTION("""COMPUTED_VALUE"""),"https://link.springer.com/journal/10812")</f>
        <v>https://link.springer.com/journal/10812</v>
      </c>
      <c r="I1117" s="1" t="str">
        <f ca="1">IFERROR(__xludf.DUMMYFUNCTION("""COMPUTED_VALUE"""),"Springer")</f>
        <v>Springer</v>
      </c>
      <c r="J1117" s="1">
        <f ca="1">IFERROR(__xludf.DUMMYFUNCTION("""COMPUTED_VALUE"""),2000)</f>
        <v>2000</v>
      </c>
      <c r="K1117" s="1" t="str">
        <f ca="1">IFERROR(__xludf.DUMMYFUNCTION("""COMPUTED_VALUE"""),"Physics and Astronomy")</f>
        <v>Physics and Astronomy</v>
      </c>
      <c r="L1117" s="1" t="str">
        <f ca="1">IFERROR(__xludf.DUMMYFUNCTION("""COMPUTED_VALUE"""),"〇")</f>
        <v>〇</v>
      </c>
      <c r="M1117" s="1" t="str">
        <f ca="1">IFERROR(__xludf.DUMMYFUNCTION("""COMPUTED_VALUE"""),"〇")</f>
        <v>〇</v>
      </c>
      <c r="N1117" s="1"/>
      <c r="O1117" s="1"/>
      <c r="P1117" s="1"/>
    </row>
    <row r="1118" spans="1:16" ht="14.25" customHeight="1" x14ac:dyDescent="0.25">
      <c r="A1118" s="1"/>
      <c r="B1118" s="1">
        <f ca="1"/>
        <v>1106</v>
      </c>
      <c r="C1118" s="1">
        <f ca="1">IFERROR(__xludf.DUMMYFUNCTION("""COMPUTED_VALUE"""),2023)</f>
        <v>2023</v>
      </c>
      <c r="D1118" s="1">
        <f ca="1">IFERROR(__xludf.DUMMYFUNCTION("""COMPUTED_VALUE"""),43151)</f>
        <v>43151</v>
      </c>
      <c r="E1118" s="1" t="str">
        <f ca="1">IFERROR(__xludf.DUMMYFUNCTION("""COMPUTED_VALUE"""),"Journal of Applied Youth Studies")</f>
        <v>Journal of Applied Youth Studies</v>
      </c>
      <c r="F1118" s="1" t="str">
        <f ca="1">IFERROR(__xludf.DUMMYFUNCTION("""COMPUTED_VALUE"""),"2204-9207")</f>
        <v>2204-9207</v>
      </c>
      <c r="G1118" s="1" t="str">
        <f ca="1">IFERROR(__xludf.DUMMYFUNCTION("""COMPUTED_VALUE"""),"2204-9193")</f>
        <v>2204-9193</v>
      </c>
      <c r="H1118" s="27" t="str">
        <f ca="1">IFERROR(__xludf.DUMMYFUNCTION("""COMPUTED_VALUE"""),"https://link.springer.com/journal/43151")</f>
        <v>https://link.springer.com/journal/43151</v>
      </c>
      <c r="I1118" s="1" t="str">
        <f ca="1">IFERROR(__xludf.DUMMYFUNCTION("""COMPUTED_VALUE"""),"Springer")</f>
        <v>Springer</v>
      </c>
      <c r="J1118" s="1">
        <f ca="1">IFERROR(__xludf.DUMMYFUNCTION("""COMPUTED_VALUE"""),2020)</f>
        <v>2020</v>
      </c>
      <c r="K1118" s="1" t="str">
        <f ca="1">IFERROR(__xludf.DUMMYFUNCTION("""COMPUTED_VALUE"""),"Social Sciences")</f>
        <v>Social Sciences</v>
      </c>
      <c r="L1118" s="1" t="str">
        <f ca="1">IFERROR(__xludf.DUMMYFUNCTION("""COMPUTED_VALUE"""),"〇")</f>
        <v>〇</v>
      </c>
      <c r="M1118" s="1"/>
      <c r="N1118" s="1" t="str">
        <f ca="1">IFERROR(__xludf.DUMMYFUNCTION("""COMPUTED_VALUE"""),"TO20")</f>
        <v>TO20</v>
      </c>
      <c r="O1118" s="1"/>
      <c r="P1118" s="1"/>
    </row>
    <row r="1119" spans="1:16" ht="14.25" customHeight="1" x14ac:dyDescent="0.25">
      <c r="A1119" s="1"/>
      <c r="B1119" s="1">
        <f ca="1"/>
        <v>1107</v>
      </c>
      <c r="C1119" s="1">
        <f ca="1">IFERROR(__xludf.DUMMYFUNCTION("""COMPUTED_VALUE"""),2023)</f>
        <v>2023</v>
      </c>
      <c r="D1119" s="1">
        <f ca="1">IFERROR(__xludf.DUMMYFUNCTION("""COMPUTED_VALUE"""),10816)</f>
        <v>10816</v>
      </c>
      <c r="E1119" s="1" t="str">
        <f ca="1">IFERROR(__xludf.DUMMYFUNCTION("""COMPUTED_VALUE"""),"Journal of Archaeological Method and Theory")</f>
        <v>Journal of Archaeological Method and Theory</v>
      </c>
      <c r="F1119" s="1" t="str">
        <f ca="1">IFERROR(__xludf.DUMMYFUNCTION("""COMPUTED_VALUE"""),"1573-7764")</f>
        <v>1573-7764</v>
      </c>
      <c r="G1119" s="1" t="str">
        <f ca="1">IFERROR(__xludf.DUMMYFUNCTION("""COMPUTED_VALUE"""),"1072-5369")</f>
        <v>1072-5369</v>
      </c>
      <c r="H1119" s="27" t="str">
        <f ca="1">IFERROR(__xludf.DUMMYFUNCTION("""COMPUTED_VALUE"""),"https://link.springer.com/journal/10816")</f>
        <v>https://link.springer.com/journal/10816</v>
      </c>
      <c r="I1119" s="1" t="str">
        <f ca="1">IFERROR(__xludf.DUMMYFUNCTION("""COMPUTED_VALUE"""),"Springer")</f>
        <v>Springer</v>
      </c>
      <c r="J1119" s="1">
        <f ca="1">IFERROR(__xludf.DUMMYFUNCTION("""COMPUTED_VALUE"""),2000)</f>
        <v>2000</v>
      </c>
      <c r="K1119" s="1" t="str">
        <f ca="1">IFERROR(__xludf.DUMMYFUNCTION("""COMPUTED_VALUE"""),"Social Sciences")</f>
        <v>Social Sciences</v>
      </c>
      <c r="L1119" s="1" t="str">
        <f ca="1">IFERROR(__xludf.DUMMYFUNCTION("""COMPUTED_VALUE"""),"〇")</f>
        <v>〇</v>
      </c>
      <c r="M1119" s="1" t="str">
        <f ca="1">IFERROR(__xludf.DUMMYFUNCTION("""COMPUTED_VALUE"""),"〇")</f>
        <v>〇</v>
      </c>
      <c r="N1119" s="1"/>
      <c r="O1119" s="1"/>
      <c r="P1119" s="1"/>
    </row>
    <row r="1120" spans="1:16" ht="14.25" customHeight="1" x14ac:dyDescent="0.25">
      <c r="A1120" s="1"/>
      <c r="B1120" s="1">
        <f ca="1"/>
        <v>1108</v>
      </c>
      <c r="C1120" s="1">
        <f ca="1">IFERROR(__xludf.DUMMYFUNCTION("""COMPUTED_VALUE"""),2023)</f>
        <v>2023</v>
      </c>
      <c r="D1120" s="1">
        <f ca="1">IFERROR(__xludf.DUMMYFUNCTION("""COMPUTED_VALUE"""),10814)</f>
        <v>10814</v>
      </c>
      <c r="E1120" s="1" t="str">
        <f ca="1">IFERROR(__xludf.DUMMYFUNCTION("""COMPUTED_VALUE"""),"Journal of Archaeological Research")</f>
        <v>Journal of Archaeological Research</v>
      </c>
      <c r="F1120" s="1" t="str">
        <f ca="1">IFERROR(__xludf.DUMMYFUNCTION("""COMPUTED_VALUE"""),"1573-7756")</f>
        <v>1573-7756</v>
      </c>
      <c r="G1120" s="1" t="str">
        <f ca="1">IFERROR(__xludf.DUMMYFUNCTION("""COMPUTED_VALUE"""),"1059-0161")</f>
        <v>1059-0161</v>
      </c>
      <c r="H1120" s="27" t="str">
        <f ca="1">IFERROR(__xludf.DUMMYFUNCTION("""COMPUTED_VALUE"""),"https://link.springer.com/journal/10814")</f>
        <v>https://link.springer.com/journal/10814</v>
      </c>
      <c r="I1120" s="1" t="str">
        <f ca="1">IFERROR(__xludf.DUMMYFUNCTION("""COMPUTED_VALUE"""),"Springer")</f>
        <v>Springer</v>
      </c>
      <c r="J1120" s="1">
        <f ca="1">IFERROR(__xludf.DUMMYFUNCTION("""COMPUTED_VALUE"""),2000)</f>
        <v>2000</v>
      </c>
      <c r="K1120" s="1" t="str">
        <f ca="1">IFERROR(__xludf.DUMMYFUNCTION("""COMPUTED_VALUE"""),"Social Sciences")</f>
        <v>Social Sciences</v>
      </c>
      <c r="L1120" s="1" t="str">
        <f ca="1">IFERROR(__xludf.DUMMYFUNCTION("""COMPUTED_VALUE"""),"〇")</f>
        <v>〇</v>
      </c>
      <c r="M1120" s="1" t="str">
        <f ca="1">IFERROR(__xludf.DUMMYFUNCTION("""COMPUTED_VALUE"""),"〇")</f>
        <v>〇</v>
      </c>
      <c r="N1120" s="1"/>
      <c r="O1120" s="1"/>
      <c r="P1120" s="1"/>
    </row>
    <row r="1121" spans="1:16" ht="14.25" customHeight="1" x14ac:dyDescent="0.25">
      <c r="A1121" s="1"/>
      <c r="B1121" s="1">
        <f ca="1"/>
        <v>1109</v>
      </c>
      <c r="C1121" s="1">
        <f ca="1">IFERROR(__xludf.DUMMYFUNCTION("""COMPUTED_VALUE"""),2023)</f>
        <v>2023</v>
      </c>
      <c r="D1121" s="1">
        <f ca="1">IFERROR(__xludf.DUMMYFUNCTION("""COMPUTED_VALUE"""),40333)</f>
        <v>40333</v>
      </c>
      <c r="E1121" s="1" t="str">
        <f ca="1">IFERROR(__xludf.DUMMYFUNCTION("""COMPUTED_VALUE"""),"Journal of Arid Land")</f>
        <v>Journal of Arid Land</v>
      </c>
      <c r="F1121" s="1" t="str">
        <f ca="1">IFERROR(__xludf.DUMMYFUNCTION("""COMPUTED_VALUE"""),"2194-7783")</f>
        <v>2194-7783</v>
      </c>
      <c r="G1121" s="1" t="str">
        <f ca="1">IFERROR(__xludf.DUMMYFUNCTION("""COMPUTED_VALUE"""),"1674-6767")</f>
        <v>1674-6767</v>
      </c>
      <c r="H1121" s="27" t="str">
        <f ca="1">IFERROR(__xludf.DUMMYFUNCTION("""COMPUTED_VALUE"""),"https://link.springer.com/journal/40333")</f>
        <v>https://link.springer.com/journal/40333</v>
      </c>
      <c r="I1121" s="1" t="str">
        <f ca="1">IFERROR(__xludf.DUMMYFUNCTION("""COMPUTED_VALUE"""),"Science Press, co-published with Springer")</f>
        <v>Science Press, co-published with Springer</v>
      </c>
      <c r="J1121" s="1">
        <f ca="1">IFERROR(__xludf.DUMMYFUNCTION("""COMPUTED_VALUE"""),2013)</f>
        <v>2013</v>
      </c>
      <c r="K1121" s="1" t="str">
        <f ca="1">IFERROR(__xludf.DUMMYFUNCTION("""COMPUTED_VALUE"""),"Earth and Environmental Science")</f>
        <v>Earth and Environmental Science</v>
      </c>
      <c r="L1121" s="1" t="str">
        <f ca="1">IFERROR(__xludf.DUMMYFUNCTION("""COMPUTED_VALUE"""),"〇")</f>
        <v>〇</v>
      </c>
      <c r="M1121" s="1"/>
      <c r="N1121" s="1" t="str">
        <f ca="1">IFERROR(__xludf.DUMMYFUNCTION("""COMPUTED_VALUE"""),"TO13")</f>
        <v>TO13</v>
      </c>
      <c r="O1121" s="1"/>
      <c r="P1121" s="1"/>
    </row>
    <row r="1122" spans="1:16" ht="14.25" customHeight="1" x14ac:dyDescent="0.25">
      <c r="A1122" s="1"/>
      <c r="B1122" s="1">
        <f ca="1"/>
        <v>1110</v>
      </c>
      <c r="C1122" s="1">
        <f ca="1">IFERROR(__xludf.DUMMYFUNCTION("""COMPUTED_VALUE"""),2023)</f>
        <v>2023</v>
      </c>
      <c r="D1122" s="1">
        <f ca="1">IFERROR(__xludf.DUMMYFUNCTION("""COMPUTED_VALUE"""),10047)</f>
        <v>10047</v>
      </c>
      <c r="E1122" s="1" t="str">
        <f ca="1">IFERROR(__xludf.DUMMYFUNCTION("""COMPUTED_VALUE"""),"Journal of Artificial Organs")</f>
        <v>Journal of Artificial Organs</v>
      </c>
      <c r="F1122" s="1" t="str">
        <f ca="1">IFERROR(__xludf.DUMMYFUNCTION("""COMPUTED_VALUE"""),"1619-0904")</f>
        <v>1619-0904</v>
      </c>
      <c r="G1122" s="1" t="str">
        <f ca="1">IFERROR(__xludf.DUMMYFUNCTION("""COMPUTED_VALUE"""),"1434-7229")</f>
        <v>1434-7229</v>
      </c>
      <c r="H1122" s="27" t="str">
        <f ca="1">IFERROR(__xludf.DUMMYFUNCTION("""COMPUTED_VALUE"""),"https://link.springer.com/journal/10047")</f>
        <v>https://link.springer.com/journal/10047</v>
      </c>
      <c r="I1122" s="1" t="str">
        <f ca="1">IFERROR(__xludf.DUMMYFUNCTION("""COMPUTED_VALUE"""),"Springer")</f>
        <v>Springer</v>
      </c>
      <c r="J1122" s="1">
        <f ca="1">IFERROR(__xludf.DUMMYFUNCTION("""COMPUTED_VALUE"""),2000)</f>
        <v>2000</v>
      </c>
      <c r="K1122" s="1" t="str">
        <f ca="1">IFERROR(__xludf.DUMMYFUNCTION("""COMPUTED_VALUE"""),"Medicine")</f>
        <v>Medicine</v>
      </c>
      <c r="L1122" s="1" t="str">
        <f ca="1">IFERROR(__xludf.DUMMYFUNCTION("""COMPUTED_VALUE"""),"〇")</f>
        <v>〇</v>
      </c>
      <c r="M1122" s="1" t="str">
        <f ca="1">IFERROR(__xludf.DUMMYFUNCTION("""COMPUTED_VALUE"""),"〇")</f>
        <v>〇</v>
      </c>
      <c r="N1122" s="1"/>
      <c r="O1122" s="1"/>
      <c r="P1122" s="1"/>
    </row>
    <row r="1123" spans="1:16" ht="14.25" customHeight="1" x14ac:dyDescent="0.25">
      <c r="A1123" s="1"/>
      <c r="B1123" s="1">
        <f ca="1"/>
        <v>1111</v>
      </c>
      <c r="C1123" s="1">
        <f ca="1">IFERROR(__xludf.DUMMYFUNCTION("""COMPUTED_VALUE"""),2023)</f>
        <v>2023</v>
      </c>
      <c r="D1123" s="1">
        <f ca="1">IFERROR(__xludf.DUMMYFUNCTION("""COMPUTED_VALUE"""),10815)</f>
        <v>10815</v>
      </c>
      <c r="E1123" s="1" t="str">
        <f ca="1">IFERROR(__xludf.DUMMYFUNCTION("""COMPUTED_VALUE"""),"Journal of Assisted Reproduction and Genetics")</f>
        <v>Journal of Assisted Reproduction and Genetics</v>
      </c>
      <c r="F1123" s="1" t="str">
        <f ca="1">IFERROR(__xludf.DUMMYFUNCTION("""COMPUTED_VALUE"""),"1573-7330")</f>
        <v>1573-7330</v>
      </c>
      <c r="G1123" s="1" t="str">
        <f ca="1">IFERROR(__xludf.DUMMYFUNCTION("""COMPUTED_VALUE"""),"1058-0468")</f>
        <v>1058-0468</v>
      </c>
      <c r="H1123" s="27" t="str">
        <f ca="1">IFERROR(__xludf.DUMMYFUNCTION("""COMPUTED_VALUE"""),"https://link.springer.com/journal/10815")</f>
        <v>https://link.springer.com/journal/10815</v>
      </c>
      <c r="I1123" s="1" t="str">
        <f ca="1">IFERROR(__xludf.DUMMYFUNCTION("""COMPUTED_VALUE"""),"Springer")</f>
        <v>Springer</v>
      </c>
      <c r="J1123" s="1">
        <f ca="1">IFERROR(__xludf.DUMMYFUNCTION("""COMPUTED_VALUE"""),2000)</f>
        <v>2000</v>
      </c>
      <c r="K1123" s="1" t="str">
        <f ca="1">IFERROR(__xludf.DUMMYFUNCTION("""COMPUTED_VALUE"""),"Medicine")</f>
        <v>Medicine</v>
      </c>
      <c r="L1123" s="1" t="str">
        <f ca="1">IFERROR(__xludf.DUMMYFUNCTION("""COMPUTED_VALUE"""),"〇")</f>
        <v>〇</v>
      </c>
      <c r="M1123" s="1" t="str">
        <f ca="1">IFERROR(__xludf.DUMMYFUNCTION("""COMPUTED_VALUE"""),"〇")</f>
        <v>〇</v>
      </c>
      <c r="N1123" s="1"/>
      <c r="O1123" s="1"/>
      <c r="P1123" s="1"/>
    </row>
    <row r="1124" spans="1:16" ht="14.25" customHeight="1" x14ac:dyDescent="0.25">
      <c r="A1124" s="1"/>
      <c r="B1124" s="1">
        <f ca="1"/>
        <v>1112</v>
      </c>
      <c r="C1124" s="1">
        <f ca="1">IFERROR(__xludf.DUMMYFUNCTION("""COMPUTED_VALUE"""),2023)</f>
        <v>2023</v>
      </c>
      <c r="D1124" s="1">
        <f ca="1">IFERROR(__xludf.DUMMYFUNCTION("""COMPUTED_VALUE"""),12036)</f>
        <v>12036</v>
      </c>
      <c r="E1124" s="1" t="str">
        <f ca="1">IFERROR(__xludf.DUMMYFUNCTION("""COMPUTED_VALUE"""),"Journal of Astrophysics and Astronomy")</f>
        <v>Journal of Astrophysics and Astronomy</v>
      </c>
      <c r="F1124" s="1" t="str">
        <f ca="1">IFERROR(__xludf.DUMMYFUNCTION("""COMPUTED_VALUE"""),"0973-7758")</f>
        <v>0973-7758</v>
      </c>
      <c r="G1124" s="1"/>
      <c r="H1124" s="27" t="str">
        <f ca="1">IFERROR(__xludf.DUMMYFUNCTION("""COMPUTED_VALUE"""),"https://link.springer.com/journal/12036")</f>
        <v>https://link.springer.com/journal/12036</v>
      </c>
      <c r="I1124" s="1" t="str">
        <f ca="1">IFERROR(__xludf.DUMMYFUNCTION("""COMPUTED_VALUE"""),"Springer")</f>
        <v>Springer</v>
      </c>
      <c r="J1124" s="1">
        <f ca="1">IFERROR(__xludf.DUMMYFUNCTION("""COMPUTED_VALUE"""),2000)</f>
        <v>2000</v>
      </c>
      <c r="K1124" s="1" t="str">
        <f ca="1">IFERROR(__xludf.DUMMYFUNCTION("""COMPUTED_VALUE"""),"Physics and Astronomy")</f>
        <v>Physics and Astronomy</v>
      </c>
      <c r="L1124" s="1"/>
      <c r="M1124" s="1" t="str">
        <f ca="1">IFERROR(__xludf.DUMMYFUNCTION("""COMPUTED_VALUE"""),"〇")</f>
        <v>〇</v>
      </c>
      <c r="N1124" s="1" t="str">
        <f ca="1">IFERROR(__xludf.DUMMYFUNCTION("""COMPUTED_VALUE"""),"SNS7")</f>
        <v>SNS7</v>
      </c>
      <c r="O1124" s="1"/>
      <c r="P1124" s="1"/>
    </row>
    <row r="1125" spans="1:16" ht="14.25" customHeight="1" x14ac:dyDescent="0.25">
      <c r="A1125" s="1"/>
      <c r="B1125" s="1">
        <f ca="1"/>
        <v>1113</v>
      </c>
      <c r="C1125" s="1">
        <f ca="1">IFERROR(__xludf.DUMMYFUNCTION("""COMPUTED_VALUE"""),2023)</f>
        <v>2023</v>
      </c>
      <c r="D1125" s="1">
        <f ca="1">IFERROR(__xludf.DUMMYFUNCTION("""COMPUTED_VALUE"""),10874)</f>
        <v>10874</v>
      </c>
      <c r="E1125" s="1" t="str">
        <f ca="1">IFERROR(__xludf.DUMMYFUNCTION("""COMPUTED_VALUE"""),"Journal of Atmospheric Chemistry")</f>
        <v>Journal of Atmospheric Chemistry</v>
      </c>
      <c r="F1125" s="1" t="str">
        <f ca="1">IFERROR(__xludf.DUMMYFUNCTION("""COMPUTED_VALUE"""),"1573-0662")</f>
        <v>1573-0662</v>
      </c>
      <c r="G1125" s="1" t="str">
        <f ca="1">IFERROR(__xludf.DUMMYFUNCTION("""COMPUTED_VALUE"""),"0167-7764")</f>
        <v>0167-7764</v>
      </c>
      <c r="H1125" s="27" t="str">
        <f ca="1">IFERROR(__xludf.DUMMYFUNCTION("""COMPUTED_VALUE"""),"https://link.springer.com/journal/10874")</f>
        <v>https://link.springer.com/journal/10874</v>
      </c>
      <c r="I1125" s="1" t="str">
        <f ca="1">IFERROR(__xludf.DUMMYFUNCTION("""COMPUTED_VALUE"""),"Springer")</f>
        <v>Springer</v>
      </c>
      <c r="J1125" s="1">
        <f ca="1">IFERROR(__xludf.DUMMYFUNCTION("""COMPUTED_VALUE"""),2000)</f>
        <v>2000</v>
      </c>
      <c r="K1125" s="1" t="str">
        <f ca="1">IFERROR(__xludf.DUMMYFUNCTION("""COMPUTED_VALUE"""),"Earth and Environmental Science")</f>
        <v>Earth and Environmental Science</v>
      </c>
      <c r="L1125" s="1" t="str">
        <f ca="1">IFERROR(__xludf.DUMMYFUNCTION("""COMPUTED_VALUE"""),"〇")</f>
        <v>〇</v>
      </c>
      <c r="M1125" s="1" t="str">
        <f ca="1">IFERROR(__xludf.DUMMYFUNCTION("""COMPUTED_VALUE"""),"〇")</f>
        <v>〇</v>
      </c>
      <c r="N1125" s="1"/>
      <c r="O1125" s="1"/>
      <c r="P1125" s="1"/>
    </row>
    <row r="1126" spans="1:16" ht="14.25" customHeight="1" x14ac:dyDescent="0.25">
      <c r="A1126" s="1"/>
      <c r="B1126" s="1">
        <f ca="1"/>
        <v>1114</v>
      </c>
      <c r="C1126" s="1">
        <f ca="1">IFERROR(__xludf.DUMMYFUNCTION("""COMPUTED_VALUE"""),2023)</f>
        <v>2023</v>
      </c>
      <c r="D1126" s="1">
        <f ca="1">IFERROR(__xludf.DUMMYFUNCTION("""COMPUTED_VALUE"""),10803)</f>
        <v>10803</v>
      </c>
      <c r="E1126" s="1" t="str">
        <f ca="1">IFERROR(__xludf.DUMMYFUNCTION("""COMPUTED_VALUE"""),"Journal of Autism and Developmental Disorders")</f>
        <v>Journal of Autism and Developmental Disorders</v>
      </c>
      <c r="F1126" s="1" t="str">
        <f ca="1">IFERROR(__xludf.DUMMYFUNCTION("""COMPUTED_VALUE"""),"1573-3432")</f>
        <v>1573-3432</v>
      </c>
      <c r="G1126" s="1" t="str">
        <f ca="1">IFERROR(__xludf.DUMMYFUNCTION("""COMPUTED_VALUE"""),"0162-3257")</f>
        <v>0162-3257</v>
      </c>
      <c r="H1126" s="27" t="str">
        <f ca="1">IFERROR(__xludf.DUMMYFUNCTION("""COMPUTED_VALUE"""),"https://link.springer.com/journal/10803")</f>
        <v>https://link.springer.com/journal/10803</v>
      </c>
      <c r="I1126" s="1" t="str">
        <f ca="1">IFERROR(__xludf.DUMMYFUNCTION("""COMPUTED_VALUE"""),"Springer")</f>
        <v>Springer</v>
      </c>
      <c r="J1126" s="1">
        <f ca="1">IFERROR(__xludf.DUMMYFUNCTION("""COMPUTED_VALUE"""),2000)</f>
        <v>2000</v>
      </c>
      <c r="K1126" s="1" t="str">
        <f ca="1">IFERROR(__xludf.DUMMYFUNCTION("""COMPUTED_VALUE"""),"Behavioral Science and Psychology")</f>
        <v>Behavioral Science and Psychology</v>
      </c>
      <c r="L1126" s="1" t="str">
        <f ca="1">IFERROR(__xludf.DUMMYFUNCTION("""COMPUTED_VALUE"""),"〇")</f>
        <v>〇</v>
      </c>
      <c r="M1126" s="1" t="str">
        <f ca="1">IFERROR(__xludf.DUMMYFUNCTION("""COMPUTED_VALUE"""),"〇")</f>
        <v>〇</v>
      </c>
      <c r="N1126" s="1"/>
      <c r="O1126" s="1"/>
      <c r="P1126" s="1"/>
    </row>
    <row r="1127" spans="1:16" ht="14.25" customHeight="1" x14ac:dyDescent="0.25">
      <c r="A1127" s="1"/>
      <c r="B1127" s="1">
        <f ca="1"/>
        <v>1115</v>
      </c>
      <c r="C1127" s="1">
        <f ca="1">IFERROR(__xludf.DUMMYFUNCTION("""COMPUTED_VALUE"""),2023)</f>
        <v>2023</v>
      </c>
      <c r="D1127" s="1">
        <f ca="1">IFERROR(__xludf.DUMMYFUNCTION("""COMPUTED_VALUE"""),10817)</f>
        <v>10817</v>
      </c>
      <c r="E1127" s="1" t="str">
        <f ca="1">IFERROR(__xludf.DUMMYFUNCTION("""COMPUTED_VALUE"""),"Journal of Automated Reasoning")</f>
        <v>Journal of Automated Reasoning</v>
      </c>
      <c r="F1127" s="1" t="str">
        <f ca="1">IFERROR(__xludf.DUMMYFUNCTION("""COMPUTED_VALUE"""),"1573-0670")</f>
        <v>1573-0670</v>
      </c>
      <c r="G1127" s="1" t="str">
        <f ca="1">IFERROR(__xludf.DUMMYFUNCTION("""COMPUTED_VALUE"""),"0168-7433")</f>
        <v>0168-7433</v>
      </c>
      <c r="H1127" s="27" t="str">
        <f ca="1">IFERROR(__xludf.DUMMYFUNCTION("""COMPUTED_VALUE"""),"https://link.springer.com/journal/10817")</f>
        <v>https://link.springer.com/journal/10817</v>
      </c>
      <c r="I1127" s="1" t="str">
        <f ca="1">IFERROR(__xludf.DUMMYFUNCTION("""COMPUTED_VALUE"""),"Springer")</f>
        <v>Springer</v>
      </c>
      <c r="J1127" s="1">
        <f ca="1">IFERROR(__xludf.DUMMYFUNCTION("""COMPUTED_VALUE"""),2000)</f>
        <v>2000</v>
      </c>
      <c r="K1127" s="1" t="str">
        <f ca="1">IFERROR(__xludf.DUMMYFUNCTION("""COMPUTED_VALUE"""),"Computer Science")</f>
        <v>Computer Science</v>
      </c>
      <c r="L1127" s="1" t="str">
        <f ca="1">IFERROR(__xludf.DUMMYFUNCTION("""COMPUTED_VALUE"""),"〇")</f>
        <v>〇</v>
      </c>
      <c r="M1127" s="1" t="str">
        <f ca="1">IFERROR(__xludf.DUMMYFUNCTION("""COMPUTED_VALUE"""),"〇")</f>
        <v>〇</v>
      </c>
      <c r="N1127" s="1"/>
      <c r="O1127" s="1"/>
      <c r="P1127" s="1"/>
    </row>
    <row r="1128" spans="1:16" ht="14.25" customHeight="1" x14ac:dyDescent="0.25">
      <c r="A1128" s="1"/>
      <c r="B1128" s="1">
        <f ca="1"/>
        <v>1116</v>
      </c>
      <c r="C1128" s="1">
        <f ca="1">IFERROR(__xludf.DUMMYFUNCTION("""COMPUTED_VALUE"""),2023)</f>
        <v>2023</v>
      </c>
      <c r="D1128" s="1">
        <f ca="1">IFERROR(__xludf.DUMMYFUNCTION("""COMPUTED_VALUE"""),42786)</f>
        <v>42786</v>
      </c>
      <c r="E1128" s="1" t="str">
        <f ca="1">IFERROR(__xludf.DUMMYFUNCTION("""COMPUTED_VALUE"""),"Journal of Banking and Financial Technology")</f>
        <v>Journal of Banking and Financial Technology</v>
      </c>
      <c r="F1128" s="1" t="str">
        <f ca="1">IFERROR(__xludf.DUMMYFUNCTION("""COMPUTED_VALUE"""),"2524-7964")</f>
        <v>2524-7964</v>
      </c>
      <c r="G1128" s="1" t="str">
        <f ca="1">IFERROR(__xludf.DUMMYFUNCTION("""COMPUTED_VALUE"""),"2524-7956")</f>
        <v>2524-7956</v>
      </c>
      <c r="H1128" s="27" t="str">
        <f ca="1">IFERROR(__xludf.DUMMYFUNCTION("""COMPUTED_VALUE"""),"https://link.springer.com/journal/42786")</f>
        <v>https://link.springer.com/journal/42786</v>
      </c>
      <c r="I1128" s="1" t="str">
        <f ca="1">IFERROR(__xludf.DUMMYFUNCTION("""COMPUTED_VALUE"""),"Springer")</f>
        <v>Springer</v>
      </c>
      <c r="J1128" s="1">
        <f ca="1">IFERROR(__xludf.DUMMYFUNCTION("""COMPUTED_VALUE"""),2019)</f>
        <v>2019</v>
      </c>
      <c r="K1128" s="1" t="str">
        <f ca="1">IFERROR(__xludf.DUMMYFUNCTION("""COMPUTED_VALUE"""),"Computer Science")</f>
        <v>Computer Science</v>
      </c>
      <c r="L1128" s="1" t="str">
        <f ca="1">IFERROR(__xludf.DUMMYFUNCTION("""COMPUTED_VALUE"""),"〇")</f>
        <v>〇</v>
      </c>
      <c r="M1128" s="1"/>
      <c r="N1128" s="1" t="str">
        <f ca="1">IFERROR(__xludf.DUMMYFUNCTION("""COMPUTED_VALUE"""),"TO19")</f>
        <v>TO19</v>
      </c>
      <c r="O1128" s="1"/>
      <c r="P1128" s="1"/>
    </row>
    <row r="1129" spans="1:16" ht="14.25" customHeight="1" x14ac:dyDescent="0.25">
      <c r="A1129" s="1"/>
      <c r="B1129" s="1">
        <f ca="1"/>
        <v>1117</v>
      </c>
      <c r="C1129" s="1">
        <f ca="1">IFERROR(__xludf.DUMMYFUNCTION("""COMPUTED_VALUE"""),2023)</f>
        <v>2023</v>
      </c>
      <c r="D1129" s="1">
        <f ca="1">IFERROR(__xludf.DUMMYFUNCTION("""COMPUTED_VALUE"""),10864)</f>
        <v>10864</v>
      </c>
      <c r="E1129" s="1" t="str">
        <f ca="1">IFERROR(__xludf.DUMMYFUNCTION("""COMPUTED_VALUE"""),"Journal of Behavioral Education")</f>
        <v>Journal of Behavioral Education</v>
      </c>
      <c r="F1129" s="1" t="str">
        <f ca="1">IFERROR(__xludf.DUMMYFUNCTION("""COMPUTED_VALUE"""),"1573-3513")</f>
        <v>1573-3513</v>
      </c>
      <c r="G1129" s="1" t="str">
        <f ca="1">IFERROR(__xludf.DUMMYFUNCTION("""COMPUTED_VALUE"""),"1053-0819")</f>
        <v>1053-0819</v>
      </c>
      <c r="H1129" s="27" t="str">
        <f ca="1">IFERROR(__xludf.DUMMYFUNCTION("""COMPUTED_VALUE"""),"https://link.springer.com/journal/10864")</f>
        <v>https://link.springer.com/journal/10864</v>
      </c>
      <c r="I1129" s="1" t="str">
        <f ca="1">IFERROR(__xludf.DUMMYFUNCTION("""COMPUTED_VALUE"""),"Springer")</f>
        <v>Springer</v>
      </c>
      <c r="J1129" s="1">
        <f ca="1">IFERROR(__xludf.DUMMYFUNCTION("""COMPUTED_VALUE"""),2000)</f>
        <v>2000</v>
      </c>
      <c r="K1129" s="1" t="str">
        <f ca="1">IFERROR(__xludf.DUMMYFUNCTION("""COMPUTED_VALUE"""),"Behavioral Science and Psychology")</f>
        <v>Behavioral Science and Psychology</v>
      </c>
      <c r="L1129" s="1" t="str">
        <f ca="1">IFERROR(__xludf.DUMMYFUNCTION("""COMPUTED_VALUE"""),"〇")</f>
        <v>〇</v>
      </c>
      <c r="M1129" s="1" t="str">
        <f ca="1">IFERROR(__xludf.DUMMYFUNCTION("""COMPUTED_VALUE"""),"〇")</f>
        <v>〇</v>
      </c>
      <c r="N1129" s="1"/>
      <c r="O1129" s="1"/>
      <c r="P1129" s="1"/>
    </row>
    <row r="1130" spans="1:16" ht="14.25" customHeight="1" x14ac:dyDescent="0.25">
      <c r="A1130" s="1"/>
      <c r="B1130" s="1">
        <f ca="1"/>
        <v>1118</v>
      </c>
      <c r="C1130" s="1">
        <f ca="1">IFERROR(__xludf.DUMMYFUNCTION("""COMPUTED_VALUE"""),2023)</f>
        <v>2023</v>
      </c>
      <c r="D1130" s="1">
        <f ca="1">IFERROR(__xludf.DUMMYFUNCTION("""COMPUTED_VALUE"""),10865)</f>
        <v>10865</v>
      </c>
      <c r="E1130" s="1" t="str">
        <f ca="1">IFERROR(__xludf.DUMMYFUNCTION("""COMPUTED_VALUE"""),"Journal of Behavioral Medicine")</f>
        <v>Journal of Behavioral Medicine</v>
      </c>
      <c r="F1130" s="1" t="str">
        <f ca="1">IFERROR(__xludf.DUMMYFUNCTION("""COMPUTED_VALUE"""),"1573-3521")</f>
        <v>1573-3521</v>
      </c>
      <c r="G1130" s="1" t="str">
        <f ca="1">IFERROR(__xludf.DUMMYFUNCTION("""COMPUTED_VALUE"""),"0160-7715")</f>
        <v>0160-7715</v>
      </c>
      <c r="H1130" s="27" t="str">
        <f ca="1">IFERROR(__xludf.DUMMYFUNCTION("""COMPUTED_VALUE"""),"https://link.springer.com/journal/10865")</f>
        <v>https://link.springer.com/journal/10865</v>
      </c>
      <c r="I1130" s="1" t="str">
        <f ca="1">IFERROR(__xludf.DUMMYFUNCTION("""COMPUTED_VALUE"""),"Springer")</f>
        <v>Springer</v>
      </c>
      <c r="J1130" s="1">
        <f ca="1">IFERROR(__xludf.DUMMYFUNCTION("""COMPUTED_VALUE"""),2000)</f>
        <v>2000</v>
      </c>
      <c r="K1130" s="1" t="str">
        <f ca="1">IFERROR(__xludf.DUMMYFUNCTION("""COMPUTED_VALUE"""),"Medicine")</f>
        <v>Medicine</v>
      </c>
      <c r="L1130" s="1" t="str">
        <f ca="1">IFERROR(__xludf.DUMMYFUNCTION("""COMPUTED_VALUE"""),"〇")</f>
        <v>〇</v>
      </c>
      <c r="M1130" s="1" t="str">
        <f ca="1">IFERROR(__xludf.DUMMYFUNCTION("""COMPUTED_VALUE"""),"〇")</f>
        <v>〇</v>
      </c>
      <c r="N1130" s="1"/>
      <c r="O1130" s="1"/>
      <c r="P1130" s="1"/>
    </row>
    <row r="1131" spans="1:16" ht="14.25" customHeight="1" x14ac:dyDescent="0.25">
      <c r="A1131" s="1"/>
      <c r="B1131" s="1">
        <f ca="1"/>
        <v>1119</v>
      </c>
      <c r="C1131" s="1">
        <f ca="1">IFERROR(__xludf.DUMMYFUNCTION("""COMPUTED_VALUE"""),2023)</f>
        <v>2023</v>
      </c>
      <c r="D1131" s="1">
        <f ca="1">IFERROR(__xludf.DUMMYFUNCTION("""COMPUTED_VALUE"""),42421)</f>
        <v>42421</v>
      </c>
      <c r="E1131" s="1" t="str">
        <f ca="1">IFERROR(__xludf.DUMMYFUNCTION("""COMPUTED_VALUE"""),"Journal of Big Data Analytics in Transportation")</f>
        <v>Journal of Big Data Analytics in Transportation</v>
      </c>
      <c r="F1131" s="1" t="str">
        <f ca="1">IFERROR(__xludf.DUMMYFUNCTION("""COMPUTED_VALUE"""),"2523-3564")</f>
        <v>2523-3564</v>
      </c>
      <c r="G1131" s="1" t="str">
        <f ca="1">IFERROR(__xludf.DUMMYFUNCTION("""COMPUTED_VALUE"""),"2523-3556")</f>
        <v>2523-3556</v>
      </c>
      <c r="H1131" s="27" t="str">
        <f ca="1">IFERROR(__xludf.DUMMYFUNCTION("""COMPUTED_VALUE"""),"https://link.springer.com/journal/42421")</f>
        <v>https://link.springer.com/journal/42421</v>
      </c>
      <c r="I1131" s="1" t="str">
        <f ca="1">IFERROR(__xludf.DUMMYFUNCTION("""COMPUTED_VALUE"""),"Springer")</f>
        <v>Springer</v>
      </c>
      <c r="J1131" s="1">
        <f ca="1">IFERROR(__xludf.DUMMYFUNCTION("""COMPUTED_VALUE"""),2019)</f>
        <v>2019</v>
      </c>
      <c r="K1131" s="1" t="str">
        <f ca="1">IFERROR(__xludf.DUMMYFUNCTION("""COMPUTED_VALUE"""),"Engineering")</f>
        <v>Engineering</v>
      </c>
      <c r="L1131" s="1" t="str">
        <f ca="1">IFERROR(__xludf.DUMMYFUNCTION("""COMPUTED_VALUE"""),"〇")</f>
        <v>〇</v>
      </c>
      <c r="M1131" s="1"/>
      <c r="N1131" s="1" t="str">
        <f ca="1">IFERROR(__xludf.DUMMYFUNCTION("""COMPUTED_VALUE"""),"SNS19")</f>
        <v>SNS19</v>
      </c>
      <c r="O1131" s="1"/>
      <c r="P1131" s="1"/>
    </row>
    <row r="1132" spans="1:16" ht="14.25" customHeight="1" x14ac:dyDescent="0.25">
      <c r="A1132" s="1"/>
      <c r="B1132" s="1">
        <f ca="1"/>
        <v>1120</v>
      </c>
      <c r="C1132" s="1">
        <f ca="1">IFERROR(__xludf.DUMMYFUNCTION("""COMPUTED_VALUE"""),2023)</f>
        <v>2023</v>
      </c>
      <c r="D1132" s="1">
        <f ca="1">IFERROR(__xludf.DUMMYFUNCTION("""COMPUTED_VALUE"""),40735)</f>
        <v>40735</v>
      </c>
      <c r="E1132" s="1" t="str">
        <f ca="1">IFERROR(__xludf.DUMMYFUNCTION("""COMPUTED_VALUE"""),"Journal of Bio- and Tribo-Corrosion")</f>
        <v>Journal of Bio- and Tribo-Corrosion</v>
      </c>
      <c r="F1132" s="1" t="str">
        <f ca="1">IFERROR(__xludf.DUMMYFUNCTION("""COMPUTED_VALUE"""),"2198-4239")</f>
        <v>2198-4239</v>
      </c>
      <c r="G1132" s="1" t="str">
        <f ca="1">IFERROR(__xludf.DUMMYFUNCTION("""COMPUTED_VALUE"""),"2198-4220")</f>
        <v>2198-4220</v>
      </c>
      <c r="H1132" s="27" t="str">
        <f ca="1">IFERROR(__xludf.DUMMYFUNCTION("""COMPUTED_VALUE"""),"https://link.springer.com/journal/40735")</f>
        <v>https://link.springer.com/journal/40735</v>
      </c>
      <c r="I1132" s="1" t="str">
        <f ca="1">IFERROR(__xludf.DUMMYFUNCTION("""COMPUTED_VALUE"""),"Springer")</f>
        <v>Springer</v>
      </c>
      <c r="J1132" s="1">
        <f ca="1">IFERROR(__xludf.DUMMYFUNCTION("""COMPUTED_VALUE"""),2015)</f>
        <v>2015</v>
      </c>
      <c r="K1132" s="1" t="str">
        <f ca="1">IFERROR(__xludf.DUMMYFUNCTION("""COMPUTED_VALUE"""),"Chemistry and Materials Science")</f>
        <v>Chemistry and Materials Science</v>
      </c>
      <c r="L1132" s="1" t="str">
        <f ca="1">IFERROR(__xludf.DUMMYFUNCTION("""COMPUTED_VALUE"""),"〇")</f>
        <v>〇</v>
      </c>
      <c r="M1132" s="1"/>
      <c r="N1132" s="1" t="str">
        <f ca="1">IFERROR(__xludf.DUMMYFUNCTION("""COMPUTED_VALUE"""),"SNS15")</f>
        <v>SNS15</v>
      </c>
      <c r="O1132" s="1"/>
      <c r="P1132" s="1"/>
    </row>
    <row r="1133" spans="1:16" ht="14.25" customHeight="1" x14ac:dyDescent="0.25">
      <c r="A1133" s="1"/>
      <c r="B1133" s="1">
        <f ca="1"/>
        <v>1121</v>
      </c>
      <c r="C1133" s="1">
        <f ca="1">IFERROR(__xludf.DUMMYFUNCTION("""COMPUTED_VALUE"""),2023)</f>
        <v>2023</v>
      </c>
      <c r="D1133" s="1">
        <f ca="1">IFERROR(__xludf.DUMMYFUNCTION("""COMPUTED_VALUE"""),10818)</f>
        <v>10818</v>
      </c>
      <c r="E1133" s="1" t="str">
        <f ca="1">IFERROR(__xludf.DUMMYFUNCTION("""COMPUTED_VALUE"""),"Journal of Bioeconomics")</f>
        <v>Journal of Bioeconomics</v>
      </c>
      <c r="F1133" s="1" t="str">
        <f ca="1">IFERROR(__xludf.DUMMYFUNCTION("""COMPUTED_VALUE"""),"1573-6989")</f>
        <v>1573-6989</v>
      </c>
      <c r="G1133" s="1" t="str">
        <f ca="1">IFERROR(__xludf.DUMMYFUNCTION("""COMPUTED_VALUE"""),"1387-6996")</f>
        <v>1387-6996</v>
      </c>
      <c r="H1133" s="27" t="str">
        <f ca="1">IFERROR(__xludf.DUMMYFUNCTION("""COMPUTED_VALUE"""),"https://link.springer.com/journal/10818")</f>
        <v>https://link.springer.com/journal/10818</v>
      </c>
      <c r="I1133" s="1" t="str">
        <f ca="1">IFERROR(__xludf.DUMMYFUNCTION("""COMPUTED_VALUE"""),"Springer")</f>
        <v>Springer</v>
      </c>
      <c r="J1133" s="1">
        <f ca="1">IFERROR(__xludf.DUMMYFUNCTION("""COMPUTED_VALUE"""),2000)</f>
        <v>2000</v>
      </c>
      <c r="K1133" s="1" t="str">
        <f ca="1">IFERROR(__xludf.DUMMYFUNCTION("""COMPUTED_VALUE"""),"Economics and Finance")</f>
        <v>Economics and Finance</v>
      </c>
      <c r="L1133" s="1" t="str">
        <f ca="1">IFERROR(__xludf.DUMMYFUNCTION("""COMPUTED_VALUE"""),"〇")</f>
        <v>〇</v>
      </c>
      <c r="M1133" s="1" t="str">
        <f ca="1">IFERROR(__xludf.DUMMYFUNCTION("""COMPUTED_VALUE"""),"〇")</f>
        <v>〇</v>
      </c>
      <c r="N1133" s="1"/>
      <c r="O1133" s="1"/>
      <c r="P1133" s="1"/>
    </row>
    <row r="1134" spans="1:16" ht="14.25" customHeight="1" x14ac:dyDescent="0.25">
      <c r="A1134" s="1"/>
      <c r="B1134" s="1">
        <f ca="1"/>
        <v>1122</v>
      </c>
      <c r="C1134" s="1">
        <f ca="1">IFERROR(__xludf.DUMMYFUNCTION("""COMPUTED_VALUE"""),2023)</f>
        <v>2023</v>
      </c>
      <c r="D1134" s="1">
        <f ca="1">IFERROR(__xludf.DUMMYFUNCTION("""COMPUTED_VALUE"""),10863)</f>
        <v>10863</v>
      </c>
      <c r="E1134" s="1" t="str">
        <f ca="1">IFERROR(__xludf.DUMMYFUNCTION("""COMPUTED_VALUE"""),"Journal of Bioenergetics and Biomembranes")</f>
        <v>Journal of Bioenergetics and Biomembranes</v>
      </c>
      <c r="F1134" s="1" t="str">
        <f ca="1">IFERROR(__xludf.DUMMYFUNCTION("""COMPUTED_VALUE"""),"1573-6881")</f>
        <v>1573-6881</v>
      </c>
      <c r="G1134" s="1"/>
      <c r="H1134" s="27" t="str">
        <f ca="1">IFERROR(__xludf.DUMMYFUNCTION("""COMPUTED_VALUE"""),"https://link.springer.com/journal/10863")</f>
        <v>https://link.springer.com/journal/10863</v>
      </c>
      <c r="I1134" s="1" t="str">
        <f ca="1">IFERROR(__xludf.DUMMYFUNCTION("""COMPUTED_VALUE"""),"Springer")</f>
        <v>Springer</v>
      </c>
      <c r="J1134" s="1">
        <f ca="1">IFERROR(__xludf.DUMMYFUNCTION("""COMPUTED_VALUE"""),2000)</f>
        <v>2000</v>
      </c>
      <c r="K1134" s="1" t="str">
        <f ca="1">IFERROR(__xludf.DUMMYFUNCTION("""COMPUTED_VALUE"""),"Chemistry and Materials Science")</f>
        <v>Chemistry and Materials Science</v>
      </c>
      <c r="L1134" s="1"/>
      <c r="M1134" s="1" t="str">
        <f ca="1">IFERROR(__xludf.DUMMYFUNCTION("""COMPUTED_VALUE"""),"〇")</f>
        <v>〇</v>
      </c>
      <c r="N1134" s="1"/>
      <c r="O1134" s="1"/>
      <c r="P1134" s="1"/>
    </row>
    <row r="1135" spans="1:16" ht="14.25" customHeight="1" x14ac:dyDescent="0.25">
      <c r="A1135" s="1"/>
      <c r="B1135" s="1">
        <f ca="1"/>
        <v>1123</v>
      </c>
      <c r="C1135" s="1">
        <f ca="1">IFERROR(__xludf.DUMMYFUNCTION("""COMPUTED_VALUE"""),2023)</f>
        <v>2023</v>
      </c>
      <c r="D1135" s="1">
        <f ca="1">IFERROR(__xludf.DUMMYFUNCTION("""COMPUTED_VALUE"""),11673)</f>
        <v>11673</v>
      </c>
      <c r="E1135" s="1" t="str">
        <f ca="1">IFERROR(__xludf.DUMMYFUNCTION("""COMPUTED_VALUE"""),"Journal of Bioethical Inquiry")</f>
        <v>Journal of Bioethical Inquiry</v>
      </c>
      <c r="F1135" s="1" t="str">
        <f ca="1">IFERROR(__xludf.DUMMYFUNCTION("""COMPUTED_VALUE"""),"1872-4353")</f>
        <v>1872-4353</v>
      </c>
      <c r="G1135" s="1" t="str">
        <f ca="1">IFERROR(__xludf.DUMMYFUNCTION("""COMPUTED_VALUE"""),"1176-7529")</f>
        <v>1176-7529</v>
      </c>
      <c r="H1135" s="27" t="str">
        <f ca="1">IFERROR(__xludf.DUMMYFUNCTION("""COMPUTED_VALUE"""),"https://link.springer.com/journal/11673")</f>
        <v>https://link.springer.com/journal/11673</v>
      </c>
      <c r="I1135" s="1" t="str">
        <f ca="1">IFERROR(__xludf.DUMMYFUNCTION("""COMPUTED_VALUE"""),"Springer")</f>
        <v>Springer</v>
      </c>
      <c r="J1135" s="1">
        <f ca="1">IFERROR(__xludf.DUMMYFUNCTION("""COMPUTED_VALUE"""),2004)</f>
        <v>2004</v>
      </c>
      <c r="K1135" s="1" t="str">
        <f ca="1">IFERROR(__xludf.DUMMYFUNCTION("""COMPUTED_VALUE"""),"Medicine")</f>
        <v>Medicine</v>
      </c>
      <c r="L1135" s="1" t="str">
        <f ca="1">IFERROR(__xludf.DUMMYFUNCTION("""COMPUTED_VALUE"""),"〇")</f>
        <v>〇</v>
      </c>
      <c r="M1135" s="1" t="str">
        <f ca="1">IFERROR(__xludf.DUMMYFUNCTION("""COMPUTED_VALUE"""),"〇")</f>
        <v>〇</v>
      </c>
      <c r="N1135" s="1" t="str">
        <f ca="1">IFERROR(__xludf.DUMMYFUNCTION("""COMPUTED_VALUE"""),"TO7")</f>
        <v>TO7</v>
      </c>
      <c r="O1135" s="1"/>
      <c r="P1135" s="1"/>
    </row>
    <row r="1136" spans="1:16" ht="14.25" customHeight="1" x14ac:dyDescent="0.25">
      <c r="A1136" s="1"/>
      <c r="B1136" s="1">
        <f ca="1"/>
        <v>1124</v>
      </c>
      <c r="C1136" s="1">
        <f ca="1">IFERROR(__xludf.DUMMYFUNCTION("""COMPUTED_VALUE"""),2023)</f>
        <v>2023</v>
      </c>
      <c r="D1136" s="1">
        <f ca="1">IFERROR(__xludf.DUMMYFUNCTION("""COMPUTED_VALUE"""),10867)</f>
        <v>10867</v>
      </c>
      <c r="E1136" s="1" t="str">
        <f ca="1">IFERROR(__xludf.DUMMYFUNCTION("""COMPUTED_VALUE"""),"Journal of Biological Physics")</f>
        <v>Journal of Biological Physics</v>
      </c>
      <c r="F1136" s="1" t="str">
        <f ca="1">IFERROR(__xludf.DUMMYFUNCTION("""COMPUTED_VALUE"""),"1573-0689")</f>
        <v>1573-0689</v>
      </c>
      <c r="G1136" s="1" t="str">
        <f ca="1">IFERROR(__xludf.DUMMYFUNCTION("""COMPUTED_VALUE"""),"0092-0606")</f>
        <v>0092-0606</v>
      </c>
      <c r="H1136" s="27" t="str">
        <f ca="1">IFERROR(__xludf.DUMMYFUNCTION("""COMPUTED_VALUE"""),"https://link.springer.com/journal/10867")</f>
        <v>https://link.springer.com/journal/10867</v>
      </c>
      <c r="I1136" s="1" t="str">
        <f ca="1">IFERROR(__xludf.DUMMYFUNCTION("""COMPUTED_VALUE"""),"Springer")</f>
        <v>Springer</v>
      </c>
      <c r="J1136" s="1">
        <f ca="1">IFERROR(__xludf.DUMMYFUNCTION("""COMPUTED_VALUE"""),2000)</f>
        <v>2000</v>
      </c>
      <c r="K1136" s="1" t="str">
        <f ca="1">IFERROR(__xludf.DUMMYFUNCTION("""COMPUTED_VALUE"""),"Physics and Astronomy")</f>
        <v>Physics and Astronomy</v>
      </c>
      <c r="L1136" s="1" t="str">
        <f ca="1">IFERROR(__xludf.DUMMYFUNCTION("""COMPUTED_VALUE"""),"〇")</f>
        <v>〇</v>
      </c>
      <c r="M1136" s="1" t="str">
        <f ca="1">IFERROR(__xludf.DUMMYFUNCTION("""COMPUTED_VALUE"""),"〇")</f>
        <v>〇</v>
      </c>
      <c r="N1136" s="1"/>
      <c r="O1136" s="1"/>
      <c r="P1136" s="1"/>
    </row>
    <row r="1137" spans="1:16" ht="14.25" customHeight="1" x14ac:dyDescent="0.25">
      <c r="A1137" s="1"/>
      <c r="B1137" s="1">
        <f ca="1"/>
        <v>1125</v>
      </c>
      <c r="C1137" s="1">
        <f ca="1">IFERROR(__xludf.DUMMYFUNCTION("""COMPUTED_VALUE"""),2023)</f>
        <v>2023</v>
      </c>
      <c r="D1137" s="1">
        <f ca="1">IFERROR(__xludf.DUMMYFUNCTION("""COMPUTED_VALUE"""),10858)</f>
        <v>10858</v>
      </c>
      <c r="E1137" s="1" t="str">
        <f ca="1">IFERROR(__xludf.DUMMYFUNCTION("""COMPUTED_VALUE"""),"Journal of Biomolecular NMR")</f>
        <v>Journal of Biomolecular NMR</v>
      </c>
      <c r="F1137" s="1" t="str">
        <f ca="1">IFERROR(__xludf.DUMMYFUNCTION("""COMPUTED_VALUE"""),"1573-5001")</f>
        <v>1573-5001</v>
      </c>
      <c r="G1137" s="1" t="str">
        <f ca="1">IFERROR(__xludf.DUMMYFUNCTION("""COMPUTED_VALUE"""),"0925-2738")</f>
        <v>0925-2738</v>
      </c>
      <c r="H1137" s="27" t="str">
        <f ca="1">IFERROR(__xludf.DUMMYFUNCTION("""COMPUTED_VALUE"""),"https://link.springer.com/journal/10858")</f>
        <v>https://link.springer.com/journal/10858</v>
      </c>
      <c r="I1137" s="1" t="str">
        <f ca="1">IFERROR(__xludf.DUMMYFUNCTION("""COMPUTED_VALUE"""),"Springer")</f>
        <v>Springer</v>
      </c>
      <c r="J1137" s="1">
        <f ca="1">IFERROR(__xludf.DUMMYFUNCTION("""COMPUTED_VALUE"""),2000)</f>
        <v>2000</v>
      </c>
      <c r="K1137" s="1" t="str">
        <f ca="1">IFERROR(__xludf.DUMMYFUNCTION("""COMPUTED_VALUE"""),"Physics and Astronomy")</f>
        <v>Physics and Astronomy</v>
      </c>
      <c r="L1137" s="1" t="str">
        <f ca="1">IFERROR(__xludf.DUMMYFUNCTION("""COMPUTED_VALUE"""),"〇")</f>
        <v>〇</v>
      </c>
      <c r="M1137" s="1" t="str">
        <f ca="1">IFERROR(__xludf.DUMMYFUNCTION("""COMPUTED_VALUE"""),"〇")</f>
        <v>〇</v>
      </c>
      <c r="N1137" s="1"/>
      <c r="O1137" s="1"/>
      <c r="P1137" s="1"/>
    </row>
    <row r="1138" spans="1:16" ht="14.25" customHeight="1" x14ac:dyDescent="0.25">
      <c r="A1138" s="1"/>
      <c r="B1138" s="1">
        <f ca="1"/>
        <v>1126</v>
      </c>
      <c r="C1138" s="1">
        <f ca="1">IFERROR(__xludf.DUMMYFUNCTION("""COMPUTED_VALUE"""),2023)</f>
        <v>2023</v>
      </c>
      <c r="D1138" s="1">
        <f ca="1">IFERROR(__xludf.DUMMYFUNCTION("""COMPUTED_VALUE"""),42235)</f>
        <v>42235</v>
      </c>
      <c r="E1138" s="1" t="str">
        <f ca="1">IFERROR(__xludf.DUMMYFUNCTION("""COMPUTED_VALUE"""),"Journal of Bionic Engineering")</f>
        <v>Journal of Bionic Engineering</v>
      </c>
      <c r="F1138" s="1" t="str">
        <f ca="1">IFERROR(__xludf.DUMMYFUNCTION("""COMPUTED_VALUE"""),"2543-2141")</f>
        <v>2543-2141</v>
      </c>
      <c r="G1138" s="1" t="str">
        <f ca="1">IFERROR(__xludf.DUMMYFUNCTION("""COMPUTED_VALUE"""),"1672-6529")</f>
        <v>1672-6529</v>
      </c>
      <c r="H1138" s="27" t="str">
        <f ca="1">IFERROR(__xludf.DUMMYFUNCTION("""COMPUTED_VALUE"""),"https://link.springer.com/journal/42235")</f>
        <v>https://link.springer.com/journal/42235</v>
      </c>
      <c r="I1138" s="1" t="str">
        <f ca="1">IFERROR(__xludf.DUMMYFUNCTION("""COMPUTED_VALUE"""),"Science Press, co-published with Springer")</f>
        <v>Science Press, co-published with Springer</v>
      </c>
      <c r="J1138" s="1">
        <f ca="1">IFERROR(__xludf.DUMMYFUNCTION("""COMPUTED_VALUE"""),2004)</f>
        <v>2004</v>
      </c>
      <c r="K1138" s="1" t="str">
        <f ca="1">IFERROR(__xludf.DUMMYFUNCTION("""COMPUTED_VALUE"""),"Engineering")</f>
        <v>Engineering</v>
      </c>
      <c r="L1138" s="1" t="str">
        <f ca="1">IFERROR(__xludf.DUMMYFUNCTION("""COMPUTED_VALUE"""),"〇")</f>
        <v>〇</v>
      </c>
      <c r="M1138" s="1"/>
      <c r="N1138" s="1" t="str">
        <f ca="1">IFERROR(__xludf.DUMMYFUNCTION("""COMPUTED_VALUE"""),"TO18")</f>
        <v>TO18</v>
      </c>
      <c r="O1138" s="1"/>
      <c r="P1138" s="1"/>
    </row>
    <row r="1139" spans="1:16" ht="14.25" customHeight="1" x14ac:dyDescent="0.25">
      <c r="A1139" s="1"/>
      <c r="B1139" s="1">
        <f ca="1"/>
        <v>1127</v>
      </c>
      <c r="C1139" s="1">
        <f ca="1">IFERROR(__xludf.DUMMYFUNCTION("""COMPUTED_VALUE"""),2023)</f>
        <v>2023</v>
      </c>
      <c r="D1139" s="1">
        <f ca="1">IFERROR(__xludf.DUMMYFUNCTION("""COMPUTED_VALUE"""),12038)</f>
        <v>12038</v>
      </c>
      <c r="E1139" s="1" t="str">
        <f ca="1">IFERROR(__xludf.DUMMYFUNCTION("""COMPUTED_VALUE"""),"Journal of Biosciences")</f>
        <v>Journal of Biosciences</v>
      </c>
      <c r="F1139" s="1" t="str">
        <f ca="1">IFERROR(__xludf.DUMMYFUNCTION("""COMPUTED_VALUE"""),"0973-7138")</f>
        <v>0973-7138</v>
      </c>
      <c r="G1139" s="1"/>
      <c r="H1139" s="27" t="str">
        <f ca="1">IFERROR(__xludf.DUMMYFUNCTION("""COMPUTED_VALUE"""),"https://link.springer.com/journal/12038")</f>
        <v>https://link.springer.com/journal/12038</v>
      </c>
      <c r="I1139" s="1" t="str">
        <f ca="1">IFERROR(__xludf.DUMMYFUNCTION("""COMPUTED_VALUE"""),"Springer")</f>
        <v>Springer</v>
      </c>
      <c r="J1139" s="1">
        <f ca="1">IFERROR(__xludf.DUMMYFUNCTION("""COMPUTED_VALUE"""),2000)</f>
        <v>2000</v>
      </c>
      <c r="K1139" s="1" t="str">
        <f ca="1">IFERROR(__xludf.DUMMYFUNCTION("""COMPUTED_VALUE"""),"Biomedical and Life Sciences")</f>
        <v>Biomedical and Life Sciences</v>
      </c>
      <c r="L1139" s="1"/>
      <c r="M1139" s="1" t="str">
        <f ca="1">IFERROR(__xludf.DUMMYFUNCTION("""COMPUTED_VALUE"""),"〇")</f>
        <v>〇</v>
      </c>
      <c r="N1139" s="1" t="str">
        <f ca="1">IFERROR(__xludf.DUMMYFUNCTION("""COMPUTED_VALUE"""),"SNS7")</f>
        <v>SNS7</v>
      </c>
      <c r="O1139" s="1"/>
      <c r="P1139" s="1"/>
    </row>
    <row r="1140" spans="1:16" ht="14.25" customHeight="1" x14ac:dyDescent="0.25">
      <c r="A1140" s="1"/>
      <c r="B1140" s="1">
        <f ca="1"/>
        <v>1128</v>
      </c>
      <c r="C1140" s="1">
        <f ca="1">IFERROR(__xludf.DUMMYFUNCTION("""COMPUTED_VALUE"""),2023)</f>
        <v>2023</v>
      </c>
      <c r="D1140" s="1">
        <f ca="1">IFERROR(__xludf.DUMMYFUNCTION("""COMPUTED_VALUE"""),42853)</f>
        <v>42853</v>
      </c>
      <c r="E1140" s="1" t="str">
        <f ca="1">IFERROR(__xludf.DUMMYFUNCTION("""COMPUTED_VALUE"""),"Journal of Biosystems Engineering")</f>
        <v>Journal of Biosystems Engineering</v>
      </c>
      <c r="F1140" s="1" t="str">
        <f ca="1">IFERROR(__xludf.DUMMYFUNCTION("""COMPUTED_VALUE"""),"2234-1862")</f>
        <v>2234-1862</v>
      </c>
      <c r="G1140" s="1" t="str">
        <f ca="1">IFERROR(__xludf.DUMMYFUNCTION("""COMPUTED_VALUE"""),"1738-1266")</f>
        <v>1738-1266</v>
      </c>
      <c r="H1140" s="27" t="str">
        <f ca="1">IFERROR(__xludf.DUMMYFUNCTION("""COMPUTED_VALUE"""),"https://link.springer.com/journal/42853")</f>
        <v>https://link.springer.com/journal/42853</v>
      </c>
      <c r="I1140" s="1" t="str">
        <f ca="1">IFERROR(__xludf.DUMMYFUNCTION("""COMPUTED_VALUE"""),"Springer")</f>
        <v>Springer</v>
      </c>
      <c r="J1140" s="1">
        <f ca="1">IFERROR(__xludf.DUMMYFUNCTION("""COMPUTED_VALUE"""),2019)</f>
        <v>2019</v>
      </c>
      <c r="K1140" s="1" t="str">
        <f ca="1">IFERROR(__xludf.DUMMYFUNCTION("""COMPUTED_VALUE"""),"Engineering")</f>
        <v>Engineering</v>
      </c>
      <c r="L1140" s="1" t="str">
        <f ca="1">IFERROR(__xludf.DUMMYFUNCTION("""COMPUTED_VALUE"""),"〇")</f>
        <v>〇</v>
      </c>
      <c r="M1140" s="1"/>
      <c r="N1140" s="1" t="str">
        <f ca="1">IFERROR(__xludf.DUMMYFUNCTION("""COMPUTED_VALUE"""),"TO19")</f>
        <v>TO19</v>
      </c>
      <c r="O1140" s="1"/>
      <c r="P1140" s="1"/>
    </row>
    <row r="1141" spans="1:16" ht="14.25" customHeight="1" x14ac:dyDescent="0.25">
      <c r="A1141" s="1"/>
      <c r="B1141" s="1">
        <f ca="1"/>
        <v>1129</v>
      </c>
      <c r="C1141" s="1">
        <f ca="1">IFERROR(__xludf.DUMMYFUNCTION("""COMPUTED_VALUE"""),2023)</f>
        <v>2023</v>
      </c>
      <c r="D1141" s="1">
        <f ca="1">IFERROR(__xludf.DUMMYFUNCTION("""COMPUTED_VALUE"""),774)</f>
        <v>774</v>
      </c>
      <c r="E1141" s="1" t="str">
        <f ca="1">IFERROR(__xludf.DUMMYFUNCTION("""COMPUTED_VALUE"""),"Journal of Bone and Mineral Metabolism")</f>
        <v>Journal of Bone and Mineral Metabolism</v>
      </c>
      <c r="F1141" s="1" t="str">
        <f ca="1">IFERROR(__xludf.DUMMYFUNCTION("""COMPUTED_VALUE"""),"1435-5604")</f>
        <v>1435-5604</v>
      </c>
      <c r="G1141" s="1" t="str">
        <f ca="1">IFERROR(__xludf.DUMMYFUNCTION("""COMPUTED_VALUE"""),"0914-8779")</f>
        <v>0914-8779</v>
      </c>
      <c r="H1141" s="27" t="str">
        <f ca="1">IFERROR(__xludf.DUMMYFUNCTION("""COMPUTED_VALUE"""),"https://link.springer.com/journal/774")</f>
        <v>https://link.springer.com/journal/774</v>
      </c>
      <c r="I1141" s="1" t="str">
        <f ca="1">IFERROR(__xludf.DUMMYFUNCTION("""COMPUTED_VALUE"""),"Springer")</f>
        <v>Springer</v>
      </c>
      <c r="J1141" s="1">
        <f ca="1">IFERROR(__xludf.DUMMYFUNCTION("""COMPUTED_VALUE"""),2000)</f>
        <v>2000</v>
      </c>
      <c r="K1141" s="1" t="str">
        <f ca="1">IFERROR(__xludf.DUMMYFUNCTION("""COMPUTED_VALUE"""),"Medicine")</f>
        <v>Medicine</v>
      </c>
      <c r="L1141" s="1" t="str">
        <f ca="1">IFERROR(__xludf.DUMMYFUNCTION("""COMPUTED_VALUE"""),"〇")</f>
        <v>〇</v>
      </c>
      <c r="M1141" s="1" t="str">
        <f ca="1">IFERROR(__xludf.DUMMYFUNCTION("""COMPUTED_VALUE"""),"〇")</f>
        <v>〇</v>
      </c>
      <c r="N1141" s="1"/>
      <c r="O1141" s="1"/>
      <c r="P1141" s="1"/>
    </row>
    <row r="1142" spans="1:16" ht="14.25" customHeight="1" x14ac:dyDescent="0.25">
      <c r="A1142" s="1"/>
      <c r="B1142" s="1">
        <f ca="1"/>
        <v>1130</v>
      </c>
      <c r="C1142" s="1">
        <f ca="1">IFERROR(__xludf.DUMMYFUNCTION("""COMPUTED_VALUE"""),2023)</f>
        <v>2023</v>
      </c>
      <c r="D1142" s="1">
        <f ca="1">IFERROR(__xludf.DUMMYFUNCTION("""COMPUTED_VALUE"""),41024)</f>
        <v>41024</v>
      </c>
      <c r="E1142" s="1" t="str">
        <f ca="1">IFERROR(__xludf.DUMMYFUNCTION("""COMPUTED_VALUE"""),"Journal of Building Pathology and Rehabilitation")</f>
        <v>Journal of Building Pathology and Rehabilitation</v>
      </c>
      <c r="F1142" s="1" t="str">
        <f ca="1">IFERROR(__xludf.DUMMYFUNCTION("""COMPUTED_VALUE"""),"2365-3167")</f>
        <v>2365-3167</v>
      </c>
      <c r="G1142" s="1" t="str">
        <f ca="1">IFERROR(__xludf.DUMMYFUNCTION("""COMPUTED_VALUE"""),"2365-3159")</f>
        <v>2365-3159</v>
      </c>
      <c r="H1142" s="27" t="str">
        <f ca="1">IFERROR(__xludf.DUMMYFUNCTION("""COMPUTED_VALUE"""),"https://link.springer.com/journal/41024")</f>
        <v>https://link.springer.com/journal/41024</v>
      </c>
      <c r="I1142" s="1" t="str">
        <f ca="1">IFERROR(__xludf.DUMMYFUNCTION("""COMPUTED_VALUE"""),"Springer")</f>
        <v>Springer</v>
      </c>
      <c r="J1142" s="1">
        <f ca="1">IFERROR(__xludf.DUMMYFUNCTION("""COMPUTED_VALUE"""),2016)</f>
        <v>2016</v>
      </c>
      <c r="K1142" s="1" t="str">
        <f ca="1">IFERROR(__xludf.DUMMYFUNCTION("""COMPUTED_VALUE"""),"Engineering")</f>
        <v>Engineering</v>
      </c>
      <c r="L1142" s="1" t="str">
        <f ca="1">IFERROR(__xludf.DUMMYFUNCTION("""COMPUTED_VALUE"""),"〇")</f>
        <v>〇</v>
      </c>
      <c r="M1142" s="1"/>
      <c r="N1142" s="1" t="str">
        <f ca="1">IFERROR(__xludf.DUMMYFUNCTION("""COMPUTED_VALUE"""),"SNS16")</f>
        <v>SNS16</v>
      </c>
      <c r="O1142" s="1"/>
      <c r="P1142" s="1"/>
    </row>
    <row r="1143" spans="1:16" ht="14.25" customHeight="1" x14ac:dyDescent="0.25">
      <c r="A1143" s="1"/>
      <c r="B1143" s="1">
        <f ca="1"/>
        <v>1131</v>
      </c>
      <c r="C1143" s="1">
        <f ca="1">IFERROR(__xludf.DUMMYFUNCTION("""COMPUTED_VALUE"""),2023)</f>
        <v>2023</v>
      </c>
      <c r="D1143" s="1">
        <f ca="1">IFERROR(__xludf.DUMMYFUNCTION("""COMPUTED_VALUE"""),10869)</f>
        <v>10869</v>
      </c>
      <c r="E1143" s="1" t="str">
        <f ca="1">IFERROR(__xludf.DUMMYFUNCTION("""COMPUTED_VALUE"""),"Journal of Business and Psychology")</f>
        <v>Journal of Business and Psychology</v>
      </c>
      <c r="F1143" s="1" t="str">
        <f ca="1">IFERROR(__xludf.DUMMYFUNCTION("""COMPUTED_VALUE"""),"1573-353X")</f>
        <v>1573-353X</v>
      </c>
      <c r="G1143" s="1" t="str">
        <f ca="1">IFERROR(__xludf.DUMMYFUNCTION("""COMPUTED_VALUE"""),"0889-3268")</f>
        <v>0889-3268</v>
      </c>
      <c r="H1143" s="27" t="str">
        <f ca="1">IFERROR(__xludf.DUMMYFUNCTION("""COMPUTED_VALUE"""),"https://link.springer.com/journal/10869")</f>
        <v>https://link.springer.com/journal/10869</v>
      </c>
      <c r="I1143" s="1" t="str">
        <f ca="1">IFERROR(__xludf.DUMMYFUNCTION("""COMPUTED_VALUE"""),"Springer")</f>
        <v>Springer</v>
      </c>
      <c r="J1143" s="1">
        <f ca="1">IFERROR(__xludf.DUMMYFUNCTION("""COMPUTED_VALUE"""),2000)</f>
        <v>2000</v>
      </c>
      <c r="K1143" s="1" t="str">
        <f ca="1">IFERROR(__xludf.DUMMYFUNCTION("""COMPUTED_VALUE"""),"Behavioral Science and Psychology")</f>
        <v>Behavioral Science and Psychology</v>
      </c>
      <c r="L1143" s="1" t="str">
        <f ca="1">IFERROR(__xludf.DUMMYFUNCTION("""COMPUTED_VALUE"""),"〇")</f>
        <v>〇</v>
      </c>
      <c r="M1143" s="1" t="str">
        <f ca="1">IFERROR(__xludf.DUMMYFUNCTION("""COMPUTED_VALUE"""),"〇")</f>
        <v>〇</v>
      </c>
      <c r="N1143" s="1"/>
      <c r="O1143" s="1"/>
      <c r="P1143" s="1"/>
    </row>
    <row r="1144" spans="1:16" ht="14.25" customHeight="1" x14ac:dyDescent="0.25">
      <c r="A1144" s="1"/>
      <c r="B1144" s="1">
        <f ca="1"/>
        <v>1132</v>
      </c>
      <c r="C1144" s="1">
        <f ca="1">IFERROR(__xludf.DUMMYFUNCTION("""COMPUTED_VALUE"""),2023)</f>
        <v>2023</v>
      </c>
      <c r="D1144" s="1">
        <f ca="1">IFERROR(__xludf.DUMMYFUNCTION("""COMPUTED_VALUE"""),41549)</f>
        <v>41549</v>
      </c>
      <c r="E1144" s="1" t="str">
        <f ca="1">IFERROR(__xludf.DUMMYFUNCTION("""COMPUTED_VALUE"""),"Journal of Business Cycle Research")</f>
        <v>Journal of Business Cycle Research</v>
      </c>
      <c r="F1144" s="1" t="str">
        <f ca="1">IFERROR(__xludf.DUMMYFUNCTION("""COMPUTED_VALUE"""),"2509-7970")</f>
        <v>2509-7970</v>
      </c>
      <c r="G1144" s="1" t="str">
        <f ca="1">IFERROR(__xludf.DUMMYFUNCTION("""COMPUTED_VALUE"""),"2509-7962")</f>
        <v>2509-7962</v>
      </c>
      <c r="H1144" s="27" t="str">
        <f ca="1">IFERROR(__xludf.DUMMYFUNCTION("""COMPUTED_VALUE"""),"https://link.springer.com/journal/41549")</f>
        <v>https://link.springer.com/journal/41549</v>
      </c>
      <c r="I1144" s="1" t="str">
        <f ca="1">IFERROR(__xludf.DUMMYFUNCTION("""COMPUTED_VALUE"""),"Springer")</f>
        <v>Springer</v>
      </c>
      <c r="J1144" s="1">
        <f ca="1">IFERROR(__xludf.DUMMYFUNCTION("""COMPUTED_VALUE"""),2016)</f>
        <v>2016</v>
      </c>
      <c r="K1144" s="1" t="str">
        <f ca="1">IFERROR(__xludf.DUMMYFUNCTION("""COMPUTED_VALUE"""),"Economics and Finance")</f>
        <v>Economics and Finance</v>
      </c>
      <c r="L1144" s="1" t="str">
        <f ca="1">IFERROR(__xludf.DUMMYFUNCTION("""COMPUTED_VALUE"""),"〇")</f>
        <v>〇</v>
      </c>
      <c r="M1144" s="1"/>
      <c r="N1144" s="1" t="str">
        <f ca="1">IFERROR(__xludf.DUMMYFUNCTION("""COMPUTED_VALUE"""),"TO16")</f>
        <v>TO16</v>
      </c>
      <c r="O1144" s="1"/>
      <c r="P1144" s="1"/>
    </row>
    <row r="1145" spans="1:16" ht="14.25" customHeight="1" x14ac:dyDescent="0.25">
      <c r="A1145" s="1"/>
      <c r="B1145" s="1">
        <f ca="1"/>
        <v>1133</v>
      </c>
      <c r="C1145" s="1">
        <f ca="1">IFERROR(__xludf.DUMMYFUNCTION("""COMPUTED_VALUE"""),2023)</f>
        <v>2023</v>
      </c>
      <c r="D1145" s="1">
        <f ca="1">IFERROR(__xludf.DUMMYFUNCTION("""COMPUTED_VALUE"""),11573)</f>
        <v>11573</v>
      </c>
      <c r="E1145" s="1" t="str">
        <f ca="1">IFERROR(__xludf.DUMMYFUNCTION("""COMPUTED_VALUE"""),"Journal of Business Economics")</f>
        <v>Journal of Business Economics</v>
      </c>
      <c r="F1145" s="1" t="str">
        <f ca="1">IFERROR(__xludf.DUMMYFUNCTION("""COMPUTED_VALUE"""),"1861-8928")</f>
        <v>1861-8928</v>
      </c>
      <c r="G1145" s="1" t="str">
        <f ca="1">IFERROR(__xludf.DUMMYFUNCTION("""COMPUTED_VALUE"""),"0044-2372")</f>
        <v>0044-2372</v>
      </c>
      <c r="H1145" s="27" t="str">
        <f ca="1">IFERROR(__xludf.DUMMYFUNCTION("""COMPUTED_VALUE"""),"https://link.springer.com/journal/11573")</f>
        <v>https://link.springer.com/journal/11573</v>
      </c>
      <c r="I1145" s="1" t="str">
        <f ca="1">IFERROR(__xludf.DUMMYFUNCTION("""COMPUTED_VALUE"""),"Springer")</f>
        <v>Springer</v>
      </c>
      <c r="J1145" s="1">
        <f ca="1">IFERROR(__xludf.DUMMYFUNCTION("""COMPUTED_VALUE"""),2006)</f>
        <v>2006</v>
      </c>
      <c r="K1145" s="1" t="str">
        <f ca="1">IFERROR(__xludf.DUMMYFUNCTION("""COMPUTED_VALUE"""),"Business and Management")</f>
        <v>Business and Management</v>
      </c>
      <c r="L1145" s="1" t="str">
        <f ca="1">IFERROR(__xludf.DUMMYFUNCTION("""COMPUTED_VALUE"""),"〇")</f>
        <v>〇</v>
      </c>
      <c r="M1145" s="1" t="str">
        <f ca="1">IFERROR(__xludf.DUMMYFUNCTION("""COMPUTED_VALUE"""),"〇")</f>
        <v>〇</v>
      </c>
      <c r="N1145" s="1" t="str">
        <f ca="1">IFERROR(__xludf.DUMMYFUNCTION("""COMPUTED_VALUE"""),"SNS7")</f>
        <v>SNS7</v>
      </c>
      <c r="O1145" s="1"/>
      <c r="P1145" s="1"/>
    </row>
    <row r="1146" spans="1:16" ht="14.25" customHeight="1" x14ac:dyDescent="0.25">
      <c r="A1146" s="1"/>
      <c r="B1146" s="1">
        <f ca="1"/>
        <v>1134</v>
      </c>
      <c r="C1146" s="1">
        <f ca="1">IFERROR(__xludf.DUMMYFUNCTION("""COMPUTED_VALUE"""),2023)</f>
        <v>2023</v>
      </c>
      <c r="D1146" s="1">
        <f ca="1">IFERROR(__xludf.DUMMYFUNCTION("""COMPUTED_VALUE"""),10551)</f>
        <v>10551</v>
      </c>
      <c r="E1146" s="1" t="str">
        <f ca="1">IFERROR(__xludf.DUMMYFUNCTION("""COMPUTED_VALUE"""),"Journal of Business Ethics")</f>
        <v>Journal of Business Ethics</v>
      </c>
      <c r="F1146" s="1" t="str">
        <f ca="1">IFERROR(__xludf.DUMMYFUNCTION("""COMPUTED_VALUE"""),"1573-0697")</f>
        <v>1573-0697</v>
      </c>
      <c r="G1146" s="1" t="str">
        <f ca="1">IFERROR(__xludf.DUMMYFUNCTION("""COMPUTED_VALUE"""),"0167-4544")</f>
        <v>0167-4544</v>
      </c>
      <c r="H1146" s="27" t="str">
        <f ca="1">IFERROR(__xludf.DUMMYFUNCTION("""COMPUTED_VALUE"""),"https://link.springer.com/journal/10551")</f>
        <v>https://link.springer.com/journal/10551</v>
      </c>
      <c r="I1146" s="1" t="str">
        <f ca="1">IFERROR(__xludf.DUMMYFUNCTION("""COMPUTED_VALUE"""),"Springer")</f>
        <v>Springer</v>
      </c>
      <c r="J1146" s="1">
        <f ca="1">IFERROR(__xludf.DUMMYFUNCTION("""COMPUTED_VALUE"""),2000)</f>
        <v>2000</v>
      </c>
      <c r="K1146" s="1" t="str">
        <f ca="1">IFERROR(__xludf.DUMMYFUNCTION("""COMPUTED_VALUE"""),"Education")</f>
        <v>Education</v>
      </c>
      <c r="L1146" s="1" t="str">
        <f ca="1">IFERROR(__xludf.DUMMYFUNCTION("""COMPUTED_VALUE"""),"〇")</f>
        <v>〇</v>
      </c>
      <c r="M1146" s="1" t="str">
        <f ca="1">IFERROR(__xludf.DUMMYFUNCTION("""COMPUTED_VALUE"""),"〇")</f>
        <v>〇</v>
      </c>
      <c r="N1146" s="1"/>
      <c r="O1146" s="1"/>
      <c r="P1146" s="1"/>
    </row>
    <row r="1147" spans="1:16" ht="14.25" customHeight="1" x14ac:dyDescent="0.25">
      <c r="A1147" s="1"/>
      <c r="B1147" s="1">
        <f ca="1"/>
        <v>1135</v>
      </c>
      <c r="C1147" s="1">
        <f ca="1">IFERROR(__xludf.DUMMYFUNCTION("""COMPUTED_VALUE"""),2023)</f>
        <v>2023</v>
      </c>
      <c r="D1147" s="1">
        <f ca="1">IFERROR(__xludf.DUMMYFUNCTION("""COMPUTED_VALUE"""),13187)</f>
        <v>13187</v>
      </c>
      <c r="E1147" s="1" t="str">
        <f ca="1">IFERROR(__xludf.DUMMYFUNCTION("""COMPUTED_VALUE"""),"Journal of Cancer Education")</f>
        <v>Journal of Cancer Education</v>
      </c>
      <c r="F1147" s="1" t="str">
        <f ca="1">IFERROR(__xludf.DUMMYFUNCTION("""COMPUTED_VALUE"""),"1543-0154")</f>
        <v>1543-0154</v>
      </c>
      <c r="G1147" s="1" t="str">
        <f ca="1">IFERROR(__xludf.DUMMYFUNCTION("""COMPUTED_VALUE"""),"0885-8195")</f>
        <v>0885-8195</v>
      </c>
      <c r="H1147" s="27" t="str">
        <f ca="1">IFERROR(__xludf.DUMMYFUNCTION("""COMPUTED_VALUE"""),"https://link.springer.com/journal/13187")</f>
        <v>https://link.springer.com/journal/13187</v>
      </c>
      <c r="I1147" s="1" t="str">
        <f ca="1">IFERROR(__xludf.DUMMYFUNCTION("""COMPUTED_VALUE"""),"Springer")</f>
        <v>Springer</v>
      </c>
      <c r="J1147" s="1">
        <f ca="1">IFERROR(__xludf.DUMMYFUNCTION("""COMPUTED_VALUE"""),2007)</f>
        <v>2007</v>
      </c>
      <c r="K1147" s="1" t="str">
        <f ca="1">IFERROR(__xludf.DUMMYFUNCTION("""COMPUTED_VALUE"""),"Biomedical and Life Sciences")</f>
        <v>Biomedical and Life Sciences</v>
      </c>
      <c r="L1147" s="1" t="str">
        <f ca="1">IFERROR(__xludf.DUMMYFUNCTION("""COMPUTED_VALUE"""),"〇")</f>
        <v>〇</v>
      </c>
      <c r="M1147" s="1"/>
      <c r="N1147" s="1" t="str">
        <f ca="1">IFERROR(__xludf.DUMMYFUNCTION("""COMPUTED_VALUE"""),"TO10")</f>
        <v>TO10</v>
      </c>
      <c r="O1147" s="1"/>
      <c r="P1147" s="1"/>
    </row>
    <row r="1148" spans="1:16" ht="14.25" customHeight="1" x14ac:dyDescent="0.25">
      <c r="A1148" s="1"/>
      <c r="B1148" s="1">
        <f ca="1"/>
        <v>1136</v>
      </c>
      <c r="C1148" s="1">
        <f ca="1">IFERROR(__xludf.DUMMYFUNCTION("""COMPUTED_VALUE"""),2023)</f>
        <v>2023</v>
      </c>
      <c r="D1148" s="1">
        <f ca="1">IFERROR(__xludf.DUMMYFUNCTION("""COMPUTED_VALUE"""),432)</f>
        <v>432</v>
      </c>
      <c r="E1148" s="1" t="str">
        <f ca="1">IFERROR(__xludf.DUMMYFUNCTION("""COMPUTED_VALUE"""),"Journal of Cancer Research and Clinical Oncology")</f>
        <v>Journal of Cancer Research and Clinical Oncology</v>
      </c>
      <c r="F1148" s="1" t="str">
        <f ca="1">IFERROR(__xludf.DUMMYFUNCTION("""COMPUTED_VALUE"""),"1432-1335")</f>
        <v>1432-1335</v>
      </c>
      <c r="G1148" s="1" t="str">
        <f ca="1">IFERROR(__xludf.DUMMYFUNCTION("""COMPUTED_VALUE"""),"0171-5216")</f>
        <v>0171-5216</v>
      </c>
      <c r="H1148" s="27" t="str">
        <f ca="1">IFERROR(__xludf.DUMMYFUNCTION("""COMPUTED_VALUE"""),"https://link.springer.com/journal/432")</f>
        <v>https://link.springer.com/journal/432</v>
      </c>
      <c r="I1148" s="1" t="str">
        <f ca="1">IFERROR(__xludf.DUMMYFUNCTION("""COMPUTED_VALUE"""),"Springer")</f>
        <v>Springer</v>
      </c>
      <c r="J1148" s="1">
        <f ca="1">IFERROR(__xludf.DUMMYFUNCTION("""COMPUTED_VALUE"""),2000)</f>
        <v>2000</v>
      </c>
      <c r="K1148" s="1" t="str">
        <f ca="1">IFERROR(__xludf.DUMMYFUNCTION("""COMPUTED_VALUE"""),"Medicine")</f>
        <v>Medicine</v>
      </c>
      <c r="L1148" s="1" t="str">
        <f ca="1">IFERROR(__xludf.DUMMYFUNCTION("""COMPUTED_VALUE"""),"〇")</f>
        <v>〇</v>
      </c>
      <c r="M1148" s="1" t="str">
        <f ca="1">IFERROR(__xludf.DUMMYFUNCTION("""COMPUTED_VALUE"""),"〇")</f>
        <v>〇</v>
      </c>
      <c r="N1148" s="1"/>
      <c r="O1148" s="1"/>
      <c r="P1148" s="1"/>
    </row>
    <row r="1149" spans="1:16" ht="14.25" customHeight="1" x14ac:dyDescent="0.25">
      <c r="A1149" s="1"/>
      <c r="B1149" s="1">
        <f ca="1"/>
        <v>1137</v>
      </c>
      <c r="C1149" s="1">
        <f ca="1">IFERROR(__xludf.DUMMYFUNCTION("""COMPUTED_VALUE"""),2023)</f>
        <v>2023</v>
      </c>
      <c r="D1149" s="1">
        <f ca="1">IFERROR(__xludf.DUMMYFUNCTION("""COMPUTED_VALUE"""),11764)</f>
        <v>11764</v>
      </c>
      <c r="E1149" s="1" t="str">
        <f ca="1">IFERROR(__xludf.DUMMYFUNCTION("""COMPUTED_VALUE"""),"Journal of Cancer Survivorship")</f>
        <v>Journal of Cancer Survivorship</v>
      </c>
      <c r="F1149" s="1" t="str">
        <f ca="1">IFERROR(__xludf.DUMMYFUNCTION("""COMPUTED_VALUE"""),"1932-2267")</f>
        <v>1932-2267</v>
      </c>
      <c r="G1149" s="1" t="str">
        <f ca="1">IFERROR(__xludf.DUMMYFUNCTION("""COMPUTED_VALUE"""),"1932-2259")</f>
        <v>1932-2259</v>
      </c>
      <c r="H1149" s="27" t="str">
        <f ca="1">IFERROR(__xludf.DUMMYFUNCTION("""COMPUTED_VALUE"""),"https://link.springer.com/journal/11764")</f>
        <v>https://link.springer.com/journal/11764</v>
      </c>
      <c r="I1149" s="1" t="str">
        <f ca="1">IFERROR(__xludf.DUMMYFUNCTION("""COMPUTED_VALUE"""),"Springer")</f>
        <v>Springer</v>
      </c>
      <c r="J1149" s="1">
        <f ca="1">IFERROR(__xludf.DUMMYFUNCTION("""COMPUTED_VALUE"""),2007)</f>
        <v>2007</v>
      </c>
      <c r="K1149" s="1" t="str">
        <f ca="1">IFERROR(__xludf.DUMMYFUNCTION("""COMPUTED_VALUE"""),"Medicine")</f>
        <v>Medicine</v>
      </c>
      <c r="L1149" s="1" t="str">
        <f ca="1">IFERROR(__xludf.DUMMYFUNCTION("""COMPUTED_VALUE"""),"〇")</f>
        <v>〇</v>
      </c>
      <c r="M1149" s="1" t="str">
        <f ca="1">IFERROR(__xludf.DUMMYFUNCTION("""COMPUTED_VALUE"""),"〇")</f>
        <v>〇</v>
      </c>
      <c r="N1149" s="1" t="str">
        <f ca="1">IFERROR(__xludf.DUMMYFUNCTION("""COMPUTED_VALUE"""),"SNS7")</f>
        <v>SNS7</v>
      </c>
      <c r="O1149" s="1"/>
      <c r="P1149" s="1"/>
    </row>
    <row r="1150" spans="1:16" ht="14.25" customHeight="1" x14ac:dyDescent="0.25">
      <c r="A1150" s="1"/>
      <c r="B1150" s="1">
        <f ca="1"/>
        <v>1138</v>
      </c>
      <c r="C1150" s="1">
        <f ca="1">IFERROR(__xludf.DUMMYFUNCTION("""COMPUTED_VALUE"""),2023)</f>
        <v>2023</v>
      </c>
      <c r="D1150" s="1">
        <f ca="1">IFERROR(__xludf.DUMMYFUNCTION("""COMPUTED_VALUE"""),12265)</f>
        <v>12265</v>
      </c>
      <c r="E1150" s="1" t="str">
        <f ca="1">IFERROR(__xludf.DUMMYFUNCTION("""COMPUTED_VALUE"""),"Journal of Cardiovascular Translational Research")</f>
        <v>Journal of Cardiovascular Translational Research</v>
      </c>
      <c r="F1150" s="1" t="str">
        <f ca="1">IFERROR(__xludf.DUMMYFUNCTION("""COMPUTED_VALUE"""),"1937-5395")</f>
        <v>1937-5395</v>
      </c>
      <c r="G1150" s="1"/>
      <c r="H1150" s="27" t="str">
        <f ca="1">IFERROR(__xludf.DUMMYFUNCTION("""COMPUTED_VALUE"""),"https://link.springer.com/journal/12265")</f>
        <v>https://link.springer.com/journal/12265</v>
      </c>
      <c r="I1150" s="1" t="str">
        <f ca="1">IFERROR(__xludf.DUMMYFUNCTION("""COMPUTED_VALUE"""),"Springer")</f>
        <v>Springer</v>
      </c>
      <c r="J1150" s="1">
        <f ca="1">IFERROR(__xludf.DUMMYFUNCTION("""COMPUTED_VALUE"""),2008)</f>
        <v>2008</v>
      </c>
      <c r="K1150" s="1" t="str">
        <f ca="1">IFERROR(__xludf.DUMMYFUNCTION("""COMPUTED_VALUE"""),"Medicine")</f>
        <v>Medicine</v>
      </c>
      <c r="L1150" s="1"/>
      <c r="M1150" s="1" t="str">
        <f ca="1">IFERROR(__xludf.DUMMYFUNCTION("""COMPUTED_VALUE"""),"〇")</f>
        <v>〇</v>
      </c>
      <c r="N1150" s="1" t="str">
        <f ca="1">IFERROR(__xludf.DUMMYFUNCTION("""COMPUTED_VALUE"""),"SNS8")</f>
        <v>SNS8</v>
      </c>
      <c r="O1150" s="1"/>
      <c r="P1150" s="1"/>
    </row>
    <row r="1151" spans="1:16" ht="14.25" customHeight="1" x14ac:dyDescent="0.25">
      <c r="A1151" s="1"/>
      <c r="B1151" s="1">
        <f ca="1"/>
        <v>1139</v>
      </c>
      <c r="C1151" s="1">
        <f ca="1">IFERROR(__xludf.DUMMYFUNCTION("""COMPUTED_VALUE"""),2023)</f>
        <v>2023</v>
      </c>
      <c r="D1151" s="1">
        <f ca="1">IFERROR(__xludf.DUMMYFUNCTION("""COMPUTED_VALUE"""),12079)</f>
        <v>12079</v>
      </c>
      <c r="E1151" s="1" t="str">
        <f ca="1">IFERROR(__xludf.DUMMYFUNCTION("""COMPUTED_VALUE"""),"Journal of Cell Communication and Signaling")</f>
        <v>Journal of Cell Communication and Signaling</v>
      </c>
      <c r="F1151" s="1" t="str">
        <f ca="1">IFERROR(__xludf.DUMMYFUNCTION("""COMPUTED_VALUE"""),"1873-961X")</f>
        <v>1873-961X</v>
      </c>
      <c r="G1151" s="1" t="str">
        <f ca="1">IFERROR(__xludf.DUMMYFUNCTION("""COMPUTED_VALUE"""),"1873-9601")</f>
        <v>1873-9601</v>
      </c>
      <c r="H1151" s="27" t="str">
        <f ca="1">IFERROR(__xludf.DUMMYFUNCTION("""COMPUTED_VALUE"""),"https://link.springer.com/journal/12079")</f>
        <v>https://link.springer.com/journal/12079</v>
      </c>
      <c r="I1151" s="1" t="str">
        <f ca="1">IFERROR(__xludf.DUMMYFUNCTION("""COMPUTED_VALUE"""),"Springer")</f>
        <v>Springer</v>
      </c>
      <c r="J1151" s="1">
        <f ca="1">IFERROR(__xludf.DUMMYFUNCTION("""COMPUTED_VALUE"""),2007)</f>
        <v>2007</v>
      </c>
      <c r="K1151" s="1" t="str">
        <f ca="1">IFERROR(__xludf.DUMMYFUNCTION("""COMPUTED_VALUE"""),"Biomedical and Life Sciences")</f>
        <v>Biomedical and Life Sciences</v>
      </c>
      <c r="L1151" s="1" t="str">
        <f ca="1">IFERROR(__xludf.DUMMYFUNCTION("""COMPUTED_VALUE"""),"〇")</f>
        <v>〇</v>
      </c>
      <c r="M1151" s="1" t="str">
        <f ca="1">IFERROR(__xludf.DUMMYFUNCTION("""COMPUTED_VALUE"""),"〇")</f>
        <v>〇</v>
      </c>
      <c r="N1151" s="1" t="str">
        <f ca="1">IFERROR(__xludf.DUMMYFUNCTION("""COMPUTED_VALUE"""),"SNS7")</f>
        <v>SNS7</v>
      </c>
      <c r="O1151" s="1"/>
      <c r="P1151" s="1"/>
    </row>
    <row r="1152" spans="1:16" ht="14.25" customHeight="1" x14ac:dyDescent="0.25">
      <c r="A1152" s="1"/>
      <c r="B1152" s="1">
        <f ca="1"/>
        <v>1140</v>
      </c>
      <c r="C1152" s="1">
        <f ca="1">IFERROR(__xludf.DUMMYFUNCTION("""COMPUTED_VALUE"""),2023)</f>
        <v>2023</v>
      </c>
      <c r="D1152" s="1">
        <f ca="1">IFERROR(__xludf.DUMMYFUNCTION("""COMPUTED_VALUE"""),11771)</f>
        <v>11771</v>
      </c>
      <c r="E1152" s="1" t="str">
        <f ca="1">IFERROR(__xludf.DUMMYFUNCTION("""COMPUTED_VALUE"""),"Journal of Central South University")</f>
        <v>Journal of Central South University</v>
      </c>
      <c r="F1152" s="1" t="str">
        <f ca="1">IFERROR(__xludf.DUMMYFUNCTION("""COMPUTED_VALUE"""),"2227-5223")</f>
        <v>2227-5223</v>
      </c>
      <c r="G1152" s="1" t="str">
        <f ca="1">IFERROR(__xludf.DUMMYFUNCTION("""COMPUTED_VALUE"""),"2095-2899")</f>
        <v>2095-2899</v>
      </c>
      <c r="H1152" s="27" t="str">
        <f ca="1">IFERROR(__xludf.DUMMYFUNCTION("""COMPUTED_VALUE"""),"https://link.springer.com/journal/11771")</f>
        <v>https://link.springer.com/journal/11771</v>
      </c>
      <c r="I1152" s="1" t="str">
        <f ca="1">IFERROR(__xludf.DUMMYFUNCTION("""COMPUTED_VALUE"""),"Central South University, co-published with Springer")</f>
        <v>Central South University, co-published with Springer</v>
      </c>
      <c r="J1152" s="1">
        <f ca="1">IFERROR(__xludf.DUMMYFUNCTION("""COMPUTED_VALUE"""),2000)</f>
        <v>2000</v>
      </c>
      <c r="K1152" s="1" t="str">
        <f ca="1">IFERROR(__xludf.DUMMYFUNCTION("""COMPUTED_VALUE"""),"Engineering")</f>
        <v>Engineering</v>
      </c>
      <c r="L1152" s="1" t="str">
        <f ca="1">IFERROR(__xludf.DUMMYFUNCTION("""COMPUTED_VALUE"""),"〇")</f>
        <v>〇</v>
      </c>
      <c r="M1152" s="1" t="str">
        <f ca="1">IFERROR(__xludf.DUMMYFUNCTION("""COMPUTED_VALUE"""),"〇")</f>
        <v>〇</v>
      </c>
      <c r="N1152" s="1" t="str">
        <f ca="1">IFERROR(__xludf.DUMMYFUNCTION("""COMPUTED_VALUE"""),"TO7")</f>
        <v>TO7</v>
      </c>
      <c r="O1152" s="1"/>
      <c r="P1152" s="1"/>
    </row>
    <row r="1153" spans="1:16" ht="14.25" customHeight="1" x14ac:dyDescent="0.25">
      <c r="A1153" s="1"/>
      <c r="B1153" s="1">
        <f ca="1"/>
        <v>1141</v>
      </c>
      <c r="C1153" s="1">
        <f ca="1">IFERROR(__xludf.DUMMYFUNCTION("""COMPUTED_VALUE"""),2023)</f>
        <v>2023</v>
      </c>
      <c r="D1153" s="1">
        <f ca="1">IFERROR(__xludf.DUMMYFUNCTION("""COMPUTED_VALUE"""),10870)</f>
        <v>10870</v>
      </c>
      <c r="E1153" s="1" t="str">
        <f ca="1">IFERROR(__xludf.DUMMYFUNCTION("""COMPUTED_VALUE"""),"Journal of Chemical Crystallography")</f>
        <v>Journal of Chemical Crystallography</v>
      </c>
      <c r="F1153" s="1" t="str">
        <f ca="1">IFERROR(__xludf.DUMMYFUNCTION("""COMPUTED_VALUE"""),"1572-8854")</f>
        <v>1572-8854</v>
      </c>
      <c r="G1153" s="1" t="str">
        <f ca="1">IFERROR(__xludf.DUMMYFUNCTION("""COMPUTED_VALUE"""),"1074-1542")</f>
        <v>1074-1542</v>
      </c>
      <c r="H1153" s="27" t="str">
        <f ca="1">IFERROR(__xludf.DUMMYFUNCTION("""COMPUTED_VALUE"""),"https://link.springer.com/journal/10870")</f>
        <v>https://link.springer.com/journal/10870</v>
      </c>
      <c r="I1153" s="1" t="str">
        <f ca="1">IFERROR(__xludf.DUMMYFUNCTION("""COMPUTED_VALUE"""),"Springer")</f>
        <v>Springer</v>
      </c>
      <c r="J1153" s="1">
        <f ca="1">IFERROR(__xludf.DUMMYFUNCTION("""COMPUTED_VALUE"""),2000)</f>
        <v>2000</v>
      </c>
      <c r="K1153" s="1" t="str">
        <f ca="1">IFERROR(__xludf.DUMMYFUNCTION("""COMPUTED_VALUE"""),"Chemistry and Materials Science")</f>
        <v>Chemistry and Materials Science</v>
      </c>
      <c r="L1153" s="1" t="str">
        <f ca="1">IFERROR(__xludf.DUMMYFUNCTION("""COMPUTED_VALUE"""),"〇")</f>
        <v>〇</v>
      </c>
      <c r="M1153" s="1" t="str">
        <f ca="1">IFERROR(__xludf.DUMMYFUNCTION("""COMPUTED_VALUE"""),"〇")</f>
        <v>〇</v>
      </c>
      <c r="N1153" s="1"/>
      <c r="O1153" s="1"/>
      <c r="P1153" s="1"/>
    </row>
    <row r="1154" spans="1:16" ht="14.25" customHeight="1" x14ac:dyDescent="0.25">
      <c r="A1154" s="1"/>
      <c r="B1154" s="1">
        <f ca="1"/>
        <v>1142</v>
      </c>
      <c r="C1154" s="1">
        <f ca="1">IFERROR(__xludf.DUMMYFUNCTION("""COMPUTED_VALUE"""),2023)</f>
        <v>2023</v>
      </c>
      <c r="D1154" s="1">
        <f ca="1">IFERROR(__xludf.DUMMYFUNCTION("""COMPUTED_VALUE"""),10886)</f>
        <v>10886</v>
      </c>
      <c r="E1154" s="1" t="str">
        <f ca="1">IFERROR(__xludf.DUMMYFUNCTION("""COMPUTED_VALUE"""),"Journal of Chemical Ecology")</f>
        <v>Journal of Chemical Ecology</v>
      </c>
      <c r="F1154" s="1" t="str">
        <f ca="1">IFERROR(__xludf.DUMMYFUNCTION("""COMPUTED_VALUE"""),"1573-1561")</f>
        <v>1573-1561</v>
      </c>
      <c r="G1154" s="1" t="str">
        <f ca="1">IFERROR(__xludf.DUMMYFUNCTION("""COMPUTED_VALUE"""),"0098-0331")</f>
        <v>0098-0331</v>
      </c>
      <c r="H1154" s="27" t="str">
        <f ca="1">IFERROR(__xludf.DUMMYFUNCTION("""COMPUTED_VALUE"""),"https://link.springer.com/journal/10886")</f>
        <v>https://link.springer.com/journal/10886</v>
      </c>
      <c r="I1154" s="1" t="str">
        <f ca="1">IFERROR(__xludf.DUMMYFUNCTION("""COMPUTED_VALUE"""),"Springer")</f>
        <v>Springer</v>
      </c>
      <c r="J1154" s="1">
        <f ca="1">IFERROR(__xludf.DUMMYFUNCTION("""COMPUTED_VALUE"""),2000)</f>
        <v>2000</v>
      </c>
      <c r="K1154" s="1" t="str">
        <f ca="1">IFERROR(__xludf.DUMMYFUNCTION("""COMPUTED_VALUE"""),"Biomedical and Life Sciences")</f>
        <v>Biomedical and Life Sciences</v>
      </c>
      <c r="L1154" s="1" t="str">
        <f ca="1">IFERROR(__xludf.DUMMYFUNCTION("""COMPUTED_VALUE"""),"〇")</f>
        <v>〇</v>
      </c>
      <c r="M1154" s="1" t="str">
        <f ca="1">IFERROR(__xludf.DUMMYFUNCTION("""COMPUTED_VALUE"""),"〇")</f>
        <v>〇</v>
      </c>
      <c r="N1154" s="1"/>
      <c r="O1154" s="1"/>
      <c r="P1154" s="1"/>
    </row>
    <row r="1155" spans="1:16" ht="14.25" customHeight="1" x14ac:dyDescent="0.25">
      <c r="A1155" s="1"/>
      <c r="B1155" s="1">
        <f ca="1"/>
        <v>1143</v>
      </c>
      <c r="C1155" s="1">
        <f ca="1">IFERROR(__xludf.DUMMYFUNCTION("""COMPUTED_VALUE"""),2023)</f>
        <v>2023</v>
      </c>
      <c r="D1155" s="1">
        <f ca="1">IFERROR(__xludf.DUMMYFUNCTION("""COMPUTED_VALUE"""),12039)</f>
        <v>12039</v>
      </c>
      <c r="E1155" s="1" t="str">
        <f ca="1">IFERROR(__xludf.DUMMYFUNCTION("""COMPUTED_VALUE"""),"Journal of Chemical Sciences")</f>
        <v>Journal of Chemical Sciences</v>
      </c>
      <c r="F1155" s="1" t="str">
        <f ca="1">IFERROR(__xludf.DUMMYFUNCTION("""COMPUTED_VALUE"""),"0973-7103")</f>
        <v>0973-7103</v>
      </c>
      <c r="G1155" s="1"/>
      <c r="H1155" s="27" t="str">
        <f ca="1">IFERROR(__xludf.DUMMYFUNCTION("""COMPUTED_VALUE"""),"https://link.springer.com/journal/12039")</f>
        <v>https://link.springer.com/journal/12039</v>
      </c>
      <c r="I1155" s="1" t="str">
        <f ca="1">IFERROR(__xludf.DUMMYFUNCTION("""COMPUTED_VALUE"""),"Springer")</f>
        <v>Springer</v>
      </c>
      <c r="J1155" s="1">
        <f ca="1">IFERROR(__xludf.DUMMYFUNCTION("""COMPUTED_VALUE"""),2000)</f>
        <v>2000</v>
      </c>
      <c r="K1155" s="1" t="str">
        <f ca="1">IFERROR(__xludf.DUMMYFUNCTION("""COMPUTED_VALUE"""),"Chemistry and Materials Science")</f>
        <v>Chemistry and Materials Science</v>
      </c>
      <c r="L1155" s="1"/>
      <c r="M1155" s="1" t="str">
        <f ca="1">IFERROR(__xludf.DUMMYFUNCTION("""COMPUTED_VALUE"""),"〇")</f>
        <v>〇</v>
      </c>
      <c r="N1155" s="1" t="str">
        <f ca="1">IFERROR(__xludf.DUMMYFUNCTION("""COMPUTED_VALUE"""),"SNS7")</f>
        <v>SNS7</v>
      </c>
      <c r="O1155" s="1"/>
      <c r="P1155" s="1"/>
    </row>
    <row r="1156" spans="1:16" ht="14.25" customHeight="1" x14ac:dyDescent="0.25">
      <c r="A1156" s="1"/>
      <c r="B1156" s="1">
        <f ca="1"/>
        <v>1144</v>
      </c>
      <c r="C1156" s="1">
        <f ca="1">IFERROR(__xludf.DUMMYFUNCTION("""COMPUTED_VALUE"""),2023)</f>
        <v>2023</v>
      </c>
      <c r="D1156" s="1">
        <f ca="1">IFERROR(__xludf.DUMMYFUNCTION("""COMPUTED_VALUE"""),40653)</f>
        <v>40653</v>
      </c>
      <c r="E1156" s="1" t="str">
        <f ca="1">IFERROR(__xludf.DUMMYFUNCTION("""COMPUTED_VALUE"""),"Journal of Child &amp; Adolescent Trauma")</f>
        <v>Journal of Child &amp; Adolescent Trauma</v>
      </c>
      <c r="F1156" s="1" t="str">
        <f ca="1">IFERROR(__xludf.DUMMYFUNCTION("""COMPUTED_VALUE"""),"1936-153X")</f>
        <v>1936-153X</v>
      </c>
      <c r="G1156" s="1" t="str">
        <f ca="1">IFERROR(__xludf.DUMMYFUNCTION("""COMPUTED_VALUE"""),"1936-1521")</f>
        <v>1936-1521</v>
      </c>
      <c r="H1156" s="27" t="str">
        <f ca="1">IFERROR(__xludf.DUMMYFUNCTION("""COMPUTED_VALUE"""),"https://link.springer.com/journal/40653")</f>
        <v>https://link.springer.com/journal/40653</v>
      </c>
      <c r="I1156" s="1" t="str">
        <f ca="1">IFERROR(__xludf.DUMMYFUNCTION("""COMPUTED_VALUE"""),"Springer")</f>
        <v>Springer</v>
      </c>
      <c r="J1156" s="1">
        <f ca="1">IFERROR(__xludf.DUMMYFUNCTION("""COMPUTED_VALUE"""),2008)</f>
        <v>2008</v>
      </c>
      <c r="K1156" s="1" t="str">
        <f ca="1">IFERROR(__xludf.DUMMYFUNCTION("""COMPUTED_VALUE"""),"Behavioral Science and Psychology")</f>
        <v>Behavioral Science and Psychology</v>
      </c>
      <c r="L1156" s="1" t="str">
        <f ca="1">IFERROR(__xludf.DUMMYFUNCTION("""COMPUTED_VALUE"""),"〇")</f>
        <v>〇</v>
      </c>
      <c r="M1156" s="1"/>
      <c r="N1156" s="1" t="str">
        <f ca="1">IFERROR(__xludf.DUMMYFUNCTION("""COMPUTED_VALUE"""),"TO14")</f>
        <v>TO14</v>
      </c>
      <c r="O1156" s="1"/>
      <c r="P1156" s="1"/>
    </row>
    <row r="1157" spans="1:16" ht="14.25" customHeight="1" x14ac:dyDescent="0.25">
      <c r="A1157" s="1"/>
      <c r="B1157" s="1">
        <f ca="1"/>
        <v>1145</v>
      </c>
      <c r="C1157" s="1">
        <f ca="1">IFERROR(__xludf.DUMMYFUNCTION("""COMPUTED_VALUE"""),2023)</f>
        <v>2023</v>
      </c>
      <c r="D1157" s="1">
        <f ca="1">IFERROR(__xludf.DUMMYFUNCTION("""COMPUTED_VALUE"""),10826)</f>
        <v>10826</v>
      </c>
      <c r="E1157" s="1" t="str">
        <f ca="1">IFERROR(__xludf.DUMMYFUNCTION("""COMPUTED_VALUE"""),"Journal of Child and Family Studies")</f>
        <v>Journal of Child and Family Studies</v>
      </c>
      <c r="F1157" s="1" t="str">
        <f ca="1">IFERROR(__xludf.DUMMYFUNCTION("""COMPUTED_VALUE"""),"1573-2843")</f>
        <v>1573-2843</v>
      </c>
      <c r="G1157" s="1" t="str">
        <f ca="1">IFERROR(__xludf.DUMMYFUNCTION("""COMPUTED_VALUE"""),"1062-1024")</f>
        <v>1062-1024</v>
      </c>
      <c r="H1157" s="27" t="str">
        <f ca="1">IFERROR(__xludf.DUMMYFUNCTION("""COMPUTED_VALUE"""),"https://link.springer.com/journal/10826")</f>
        <v>https://link.springer.com/journal/10826</v>
      </c>
      <c r="I1157" s="1" t="str">
        <f ca="1">IFERROR(__xludf.DUMMYFUNCTION("""COMPUTED_VALUE"""),"Springer")</f>
        <v>Springer</v>
      </c>
      <c r="J1157" s="1">
        <f ca="1">IFERROR(__xludf.DUMMYFUNCTION("""COMPUTED_VALUE"""),2000)</f>
        <v>2000</v>
      </c>
      <c r="K1157" s="1" t="str">
        <f ca="1">IFERROR(__xludf.DUMMYFUNCTION("""COMPUTED_VALUE"""),"Behavioral Science and Psychology")</f>
        <v>Behavioral Science and Psychology</v>
      </c>
      <c r="L1157" s="1" t="str">
        <f ca="1">IFERROR(__xludf.DUMMYFUNCTION("""COMPUTED_VALUE"""),"〇")</f>
        <v>〇</v>
      </c>
      <c r="M1157" s="1" t="str">
        <f ca="1">IFERROR(__xludf.DUMMYFUNCTION("""COMPUTED_VALUE"""),"〇")</f>
        <v>〇</v>
      </c>
      <c r="N1157" s="1"/>
      <c r="O1157" s="1"/>
      <c r="P1157" s="1"/>
    </row>
    <row r="1158" spans="1:16" ht="14.25" customHeight="1" x14ac:dyDescent="0.25">
      <c r="A1158" s="1"/>
      <c r="B1158" s="1">
        <f ca="1"/>
        <v>1146</v>
      </c>
      <c r="C1158" s="1">
        <f ca="1">IFERROR(__xludf.DUMMYFUNCTION("""COMPUTED_VALUE"""),2023)</f>
        <v>2023</v>
      </c>
      <c r="D1158" s="1">
        <f ca="1">IFERROR(__xludf.DUMMYFUNCTION("""COMPUTED_VALUE"""),11366)</f>
        <v>11366</v>
      </c>
      <c r="E1158" s="1" t="str">
        <f ca="1">IFERROR(__xludf.DUMMYFUNCTION("""COMPUTED_VALUE"""),"Journal of Chinese Political Science")</f>
        <v>Journal of Chinese Political Science</v>
      </c>
      <c r="F1158" s="1" t="str">
        <f ca="1">IFERROR(__xludf.DUMMYFUNCTION("""COMPUTED_VALUE"""),"1874-6357")</f>
        <v>1874-6357</v>
      </c>
      <c r="G1158" s="1" t="str">
        <f ca="1">IFERROR(__xludf.DUMMYFUNCTION("""COMPUTED_VALUE"""),"1080-6954")</f>
        <v>1080-6954</v>
      </c>
      <c r="H1158" s="27" t="str">
        <f ca="1">IFERROR(__xludf.DUMMYFUNCTION("""COMPUTED_VALUE"""),"https://link.springer.com/journal/11366")</f>
        <v>https://link.springer.com/journal/11366</v>
      </c>
      <c r="I1158" s="1" t="str">
        <f ca="1">IFERROR(__xludf.DUMMYFUNCTION("""COMPUTED_VALUE"""),"Springer")</f>
        <v>Springer</v>
      </c>
      <c r="J1158" s="1">
        <f ca="1">IFERROR(__xludf.DUMMYFUNCTION("""COMPUTED_VALUE"""),2000)</f>
        <v>2000</v>
      </c>
      <c r="K1158" s="1" t="str">
        <f ca="1">IFERROR(__xludf.DUMMYFUNCTION("""COMPUTED_VALUE"""),"Political Science and International Studies")</f>
        <v>Political Science and International Studies</v>
      </c>
      <c r="L1158" s="1" t="str">
        <f ca="1">IFERROR(__xludf.DUMMYFUNCTION("""COMPUTED_VALUE"""),"〇")</f>
        <v>〇</v>
      </c>
      <c r="M1158" s="1" t="str">
        <f ca="1">IFERROR(__xludf.DUMMYFUNCTION("""COMPUTED_VALUE"""),"〇")</f>
        <v>〇</v>
      </c>
      <c r="N1158" s="1"/>
      <c r="O1158" s="1"/>
      <c r="P1158" s="1"/>
    </row>
    <row r="1159" spans="1:16" ht="14.25" customHeight="1" x14ac:dyDescent="0.25">
      <c r="A1159" s="1"/>
      <c r="B1159" s="1">
        <f ca="1"/>
        <v>1147</v>
      </c>
      <c r="C1159" s="1">
        <f ca="1">IFERROR(__xludf.DUMMYFUNCTION("""COMPUTED_VALUE"""),2023)</f>
        <v>2023</v>
      </c>
      <c r="D1159" s="1">
        <f ca="1">IFERROR(__xludf.DUMMYFUNCTION("""COMPUTED_VALUE"""),13349)</f>
        <v>13349</v>
      </c>
      <c r="E1159" s="1" t="str">
        <f ca="1">IFERROR(__xludf.DUMMYFUNCTION("""COMPUTED_VALUE"""),"Journal of Civil Structural Health Monitoring")</f>
        <v>Journal of Civil Structural Health Monitoring</v>
      </c>
      <c r="F1159" s="1" t="str">
        <f ca="1">IFERROR(__xludf.DUMMYFUNCTION("""COMPUTED_VALUE"""),"2190-5479")</f>
        <v>2190-5479</v>
      </c>
      <c r="G1159" s="1"/>
      <c r="H1159" s="27" t="str">
        <f ca="1">IFERROR(__xludf.DUMMYFUNCTION("""COMPUTED_VALUE"""),"https://link.springer.com/journal/13349")</f>
        <v>https://link.springer.com/journal/13349</v>
      </c>
      <c r="I1159" s="1" t="str">
        <f ca="1">IFERROR(__xludf.DUMMYFUNCTION("""COMPUTED_VALUE"""),"Springer")</f>
        <v>Springer</v>
      </c>
      <c r="J1159" s="1">
        <f ca="1">IFERROR(__xludf.DUMMYFUNCTION("""COMPUTED_VALUE"""),2011)</f>
        <v>2011</v>
      </c>
      <c r="K1159" s="1" t="str">
        <f ca="1">IFERROR(__xludf.DUMMYFUNCTION("""COMPUTED_VALUE"""),"Engineering")</f>
        <v>Engineering</v>
      </c>
      <c r="L1159" s="1"/>
      <c r="M1159" s="1"/>
      <c r="N1159" s="1" t="str">
        <f ca="1">IFERROR(__xludf.DUMMYFUNCTION("""COMPUTED_VALUE"""),"SNS11")</f>
        <v>SNS11</v>
      </c>
      <c r="O1159" s="1"/>
      <c r="P1159" s="1"/>
    </row>
    <row r="1160" spans="1:16" ht="14.25" customHeight="1" x14ac:dyDescent="0.25">
      <c r="A1160" s="1"/>
      <c r="B1160" s="1">
        <f ca="1"/>
        <v>1148</v>
      </c>
      <c r="C1160" s="1">
        <f ca="1">IFERROR(__xludf.DUMMYFUNCTION("""COMPUTED_VALUE"""),2023)</f>
        <v>2023</v>
      </c>
      <c r="D1160" s="1">
        <f ca="1">IFERROR(__xludf.DUMMYFUNCTION("""COMPUTED_VALUE"""),357)</f>
        <v>357</v>
      </c>
      <c r="E1160" s="1" t="str">
        <f ca="1">IFERROR(__xludf.DUMMYFUNCTION("""COMPUTED_VALUE"""),"Journal of Classification")</f>
        <v>Journal of Classification</v>
      </c>
      <c r="F1160" s="1" t="str">
        <f ca="1">IFERROR(__xludf.DUMMYFUNCTION("""COMPUTED_VALUE"""),"1432-1343")</f>
        <v>1432-1343</v>
      </c>
      <c r="G1160" s="1" t="str">
        <f ca="1">IFERROR(__xludf.DUMMYFUNCTION("""COMPUTED_VALUE"""),"0176-4268")</f>
        <v>0176-4268</v>
      </c>
      <c r="H1160" s="27" t="str">
        <f ca="1">IFERROR(__xludf.DUMMYFUNCTION("""COMPUTED_VALUE"""),"https://link.springer.com/journal/357")</f>
        <v>https://link.springer.com/journal/357</v>
      </c>
      <c r="I1160" s="1" t="str">
        <f ca="1">IFERROR(__xludf.DUMMYFUNCTION("""COMPUTED_VALUE"""),"Springer")</f>
        <v>Springer</v>
      </c>
      <c r="J1160" s="1">
        <f ca="1">IFERROR(__xludf.DUMMYFUNCTION("""COMPUTED_VALUE"""),2000)</f>
        <v>2000</v>
      </c>
      <c r="K1160" s="1" t="str">
        <f ca="1">IFERROR(__xludf.DUMMYFUNCTION("""COMPUTED_VALUE"""),"Mathematics and Statistics")</f>
        <v>Mathematics and Statistics</v>
      </c>
      <c r="L1160" s="1" t="str">
        <f ca="1">IFERROR(__xludf.DUMMYFUNCTION("""COMPUTED_VALUE"""),"〇")</f>
        <v>〇</v>
      </c>
      <c r="M1160" s="1" t="str">
        <f ca="1">IFERROR(__xludf.DUMMYFUNCTION("""COMPUTED_VALUE"""),"〇")</f>
        <v>〇</v>
      </c>
      <c r="N1160" s="1"/>
      <c r="O1160" s="1"/>
      <c r="P1160" s="1"/>
    </row>
    <row r="1161" spans="1:16" ht="14.25" customHeight="1" x14ac:dyDescent="0.25">
      <c r="A1161" s="1"/>
      <c r="B1161" s="1">
        <f ca="1"/>
        <v>1149</v>
      </c>
      <c r="C1161" s="1">
        <f ca="1">IFERROR(__xludf.DUMMYFUNCTION("""COMPUTED_VALUE"""),2023)</f>
        <v>2023</v>
      </c>
      <c r="D1161" s="1">
        <f ca="1">IFERROR(__xludf.DUMMYFUNCTION("""COMPUTED_VALUE"""),10875)</f>
        <v>10875</v>
      </c>
      <c r="E1161" s="1" t="str">
        <f ca="1">IFERROR(__xludf.DUMMYFUNCTION("""COMPUTED_VALUE"""),"Journal of Clinical Immunology")</f>
        <v>Journal of Clinical Immunology</v>
      </c>
      <c r="F1161" s="1" t="str">
        <f ca="1">IFERROR(__xludf.DUMMYFUNCTION("""COMPUTED_VALUE"""),"1573-2592")</f>
        <v>1573-2592</v>
      </c>
      <c r="G1161" s="1" t="str">
        <f ca="1">IFERROR(__xludf.DUMMYFUNCTION("""COMPUTED_VALUE"""),"0271-9142")</f>
        <v>0271-9142</v>
      </c>
      <c r="H1161" s="27" t="str">
        <f ca="1">IFERROR(__xludf.DUMMYFUNCTION("""COMPUTED_VALUE"""),"https://link.springer.com/journal/10875")</f>
        <v>https://link.springer.com/journal/10875</v>
      </c>
      <c r="I1161" s="1" t="str">
        <f ca="1">IFERROR(__xludf.DUMMYFUNCTION("""COMPUTED_VALUE"""),"Springer")</f>
        <v>Springer</v>
      </c>
      <c r="J1161" s="1">
        <f ca="1">IFERROR(__xludf.DUMMYFUNCTION("""COMPUTED_VALUE"""),2000)</f>
        <v>2000</v>
      </c>
      <c r="K1161" s="1" t="str">
        <f ca="1">IFERROR(__xludf.DUMMYFUNCTION("""COMPUTED_VALUE"""),"Biomedical and Life Sciences")</f>
        <v>Biomedical and Life Sciences</v>
      </c>
      <c r="L1161" s="1" t="str">
        <f ca="1">IFERROR(__xludf.DUMMYFUNCTION("""COMPUTED_VALUE"""),"〇")</f>
        <v>〇</v>
      </c>
      <c r="M1161" s="1" t="str">
        <f ca="1">IFERROR(__xludf.DUMMYFUNCTION("""COMPUTED_VALUE"""),"〇")</f>
        <v>〇</v>
      </c>
      <c r="N1161" s="1"/>
      <c r="O1161" s="1"/>
      <c r="P1161" s="1"/>
    </row>
    <row r="1162" spans="1:16" ht="14.25" customHeight="1" x14ac:dyDescent="0.25">
      <c r="A1162" s="1"/>
      <c r="B1162" s="1">
        <f ca="1"/>
        <v>1150</v>
      </c>
      <c r="C1162" s="1">
        <f ca="1">IFERROR(__xludf.DUMMYFUNCTION("""COMPUTED_VALUE"""),2023)</f>
        <v>2023</v>
      </c>
      <c r="D1162" s="1">
        <f ca="1">IFERROR(__xludf.DUMMYFUNCTION("""COMPUTED_VALUE"""),10877)</f>
        <v>10877</v>
      </c>
      <c r="E1162" s="1" t="str">
        <f ca="1">IFERROR(__xludf.DUMMYFUNCTION("""COMPUTED_VALUE"""),"Journal of Clinical Monitoring and Computing")</f>
        <v>Journal of Clinical Monitoring and Computing</v>
      </c>
      <c r="F1162" s="1" t="str">
        <f ca="1">IFERROR(__xludf.DUMMYFUNCTION("""COMPUTED_VALUE"""),"1573-2614")</f>
        <v>1573-2614</v>
      </c>
      <c r="G1162" s="1" t="str">
        <f ca="1">IFERROR(__xludf.DUMMYFUNCTION("""COMPUTED_VALUE"""),"1387-1307")</f>
        <v>1387-1307</v>
      </c>
      <c r="H1162" s="27" t="str">
        <f ca="1">IFERROR(__xludf.DUMMYFUNCTION("""COMPUTED_VALUE"""),"https://link.springer.com/journal/10877")</f>
        <v>https://link.springer.com/journal/10877</v>
      </c>
      <c r="I1162" s="1" t="str">
        <f ca="1">IFERROR(__xludf.DUMMYFUNCTION("""COMPUTED_VALUE"""),"Springer")</f>
        <v>Springer</v>
      </c>
      <c r="J1162" s="1">
        <f ca="1">IFERROR(__xludf.DUMMYFUNCTION("""COMPUTED_VALUE"""),2000)</f>
        <v>2000</v>
      </c>
      <c r="K1162" s="1" t="str">
        <f ca="1">IFERROR(__xludf.DUMMYFUNCTION("""COMPUTED_VALUE"""),"Medicine")</f>
        <v>Medicine</v>
      </c>
      <c r="L1162" s="1" t="str">
        <f ca="1">IFERROR(__xludf.DUMMYFUNCTION("""COMPUTED_VALUE"""),"〇")</f>
        <v>〇</v>
      </c>
      <c r="M1162" s="1" t="str">
        <f ca="1">IFERROR(__xludf.DUMMYFUNCTION("""COMPUTED_VALUE"""),"〇")</f>
        <v>〇</v>
      </c>
      <c r="N1162" s="1"/>
      <c r="O1162" s="1"/>
      <c r="P1162" s="1"/>
    </row>
    <row r="1163" spans="1:16" ht="14.25" customHeight="1" x14ac:dyDescent="0.25">
      <c r="A1163" s="1"/>
      <c r="B1163" s="1">
        <f ca="1"/>
        <v>1151</v>
      </c>
      <c r="C1163" s="1">
        <f ca="1">IFERROR(__xludf.DUMMYFUNCTION("""COMPUTED_VALUE"""),2023)</f>
        <v>2023</v>
      </c>
      <c r="D1163" s="1">
        <f ca="1">IFERROR(__xludf.DUMMYFUNCTION("""COMPUTED_VALUE"""),10880)</f>
        <v>10880</v>
      </c>
      <c r="E1163" s="1" t="str">
        <f ca="1">IFERROR(__xludf.DUMMYFUNCTION("""COMPUTED_VALUE"""),"Journal of Clinical Psychology in Medical Settings")</f>
        <v>Journal of Clinical Psychology in Medical Settings</v>
      </c>
      <c r="F1163" s="1" t="str">
        <f ca="1">IFERROR(__xludf.DUMMYFUNCTION("""COMPUTED_VALUE"""),"1573-3572")</f>
        <v>1573-3572</v>
      </c>
      <c r="G1163" s="1" t="str">
        <f ca="1">IFERROR(__xludf.DUMMYFUNCTION("""COMPUTED_VALUE"""),"1068-9583")</f>
        <v>1068-9583</v>
      </c>
      <c r="H1163" s="27" t="str">
        <f ca="1">IFERROR(__xludf.DUMMYFUNCTION("""COMPUTED_VALUE"""),"https://link.springer.com/journal/10880")</f>
        <v>https://link.springer.com/journal/10880</v>
      </c>
      <c r="I1163" s="1" t="str">
        <f ca="1">IFERROR(__xludf.DUMMYFUNCTION("""COMPUTED_VALUE"""),"Springer")</f>
        <v>Springer</v>
      </c>
      <c r="J1163" s="1">
        <f ca="1">IFERROR(__xludf.DUMMYFUNCTION("""COMPUTED_VALUE"""),2000)</f>
        <v>2000</v>
      </c>
      <c r="K1163" s="1" t="str">
        <f ca="1">IFERROR(__xludf.DUMMYFUNCTION("""COMPUTED_VALUE"""),"Medicine")</f>
        <v>Medicine</v>
      </c>
      <c r="L1163" s="1" t="str">
        <f ca="1">IFERROR(__xludf.DUMMYFUNCTION("""COMPUTED_VALUE"""),"〇")</f>
        <v>〇</v>
      </c>
      <c r="M1163" s="1" t="str">
        <f ca="1">IFERROR(__xludf.DUMMYFUNCTION("""COMPUTED_VALUE"""),"〇")</f>
        <v>〇</v>
      </c>
      <c r="N1163" s="1"/>
      <c r="O1163" s="1"/>
      <c r="P1163" s="1"/>
    </row>
    <row r="1164" spans="1:16" ht="14.25" customHeight="1" x14ac:dyDescent="0.25">
      <c r="A1164" s="1"/>
      <c r="B1164" s="1">
        <f ca="1"/>
        <v>1152</v>
      </c>
      <c r="C1164" s="1">
        <f ca="1">IFERROR(__xludf.DUMMYFUNCTION("""COMPUTED_VALUE"""),2023)</f>
        <v>2023</v>
      </c>
      <c r="D1164" s="1">
        <f ca="1">IFERROR(__xludf.DUMMYFUNCTION("""COMPUTED_VALUE"""),10876)</f>
        <v>10876</v>
      </c>
      <c r="E1164" s="1" t="str">
        <f ca="1">IFERROR(__xludf.DUMMYFUNCTION("""COMPUTED_VALUE"""),"Journal of Cluster Science")</f>
        <v>Journal of Cluster Science</v>
      </c>
      <c r="F1164" s="1" t="str">
        <f ca="1">IFERROR(__xludf.DUMMYFUNCTION("""COMPUTED_VALUE"""),"1572-8862")</f>
        <v>1572-8862</v>
      </c>
      <c r="G1164" s="1"/>
      <c r="H1164" s="27" t="str">
        <f ca="1">IFERROR(__xludf.DUMMYFUNCTION("""COMPUTED_VALUE"""),"https://link.springer.com/journal/10876")</f>
        <v>https://link.springer.com/journal/10876</v>
      </c>
      <c r="I1164" s="1" t="str">
        <f ca="1">IFERROR(__xludf.DUMMYFUNCTION("""COMPUTED_VALUE"""),"Springer")</f>
        <v>Springer</v>
      </c>
      <c r="J1164" s="1">
        <f ca="1">IFERROR(__xludf.DUMMYFUNCTION("""COMPUTED_VALUE"""),2000)</f>
        <v>2000</v>
      </c>
      <c r="K1164" s="1" t="str">
        <f ca="1">IFERROR(__xludf.DUMMYFUNCTION("""COMPUTED_VALUE"""),"Chemistry and Materials Science")</f>
        <v>Chemistry and Materials Science</v>
      </c>
      <c r="L1164" s="1"/>
      <c r="M1164" s="1" t="str">
        <f ca="1">IFERROR(__xludf.DUMMYFUNCTION("""COMPUTED_VALUE"""),"〇")</f>
        <v>〇</v>
      </c>
      <c r="N1164" s="1"/>
      <c r="O1164" s="1"/>
      <c r="P1164" s="1"/>
    </row>
    <row r="1165" spans="1:16" ht="14.25" customHeight="1" x14ac:dyDescent="0.25">
      <c r="A1165" s="1"/>
      <c r="B1165" s="1">
        <f ca="1"/>
        <v>1153</v>
      </c>
      <c r="C1165" s="1">
        <f ca="1">IFERROR(__xludf.DUMMYFUNCTION("""COMPUTED_VALUE"""),2023)</f>
        <v>2023</v>
      </c>
      <c r="D1165" s="1">
        <f ca="1">IFERROR(__xludf.DUMMYFUNCTION("""COMPUTED_VALUE"""),11852)</f>
        <v>11852</v>
      </c>
      <c r="E1165" s="1" t="str">
        <f ca="1">IFERROR(__xludf.DUMMYFUNCTION("""COMPUTED_VALUE"""),"Journal of Coastal Conservation")</f>
        <v>Journal of Coastal Conservation</v>
      </c>
      <c r="F1165" s="1" t="str">
        <f ca="1">IFERROR(__xludf.DUMMYFUNCTION("""COMPUTED_VALUE"""),"1874-7841")</f>
        <v>1874-7841</v>
      </c>
      <c r="G1165" s="1" t="str">
        <f ca="1">IFERROR(__xludf.DUMMYFUNCTION("""COMPUTED_VALUE"""),"1400-0350")</f>
        <v>1400-0350</v>
      </c>
      <c r="H1165" s="27" t="str">
        <f ca="1">IFERROR(__xludf.DUMMYFUNCTION("""COMPUTED_VALUE"""),"https://link.springer.com/journal/11852")</f>
        <v>https://link.springer.com/journal/11852</v>
      </c>
      <c r="I1165" s="1" t="str">
        <f ca="1">IFERROR(__xludf.DUMMYFUNCTION("""COMPUTED_VALUE"""),"Springer")</f>
        <v>Springer</v>
      </c>
      <c r="J1165" s="1">
        <f ca="1">IFERROR(__xludf.DUMMYFUNCTION("""COMPUTED_VALUE"""),2000)</f>
        <v>2000</v>
      </c>
      <c r="K1165" s="1" t="str">
        <f ca="1">IFERROR(__xludf.DUMMYFUNCTION("""COMPUTED_VALUE"""),"Earth and Environmental Science")</f>
        <v>Earth and Environmental Science</v>
      </c>
      <c r="L1165" s="1" t="str">
        <f ca="1">IFERROR(__xludf.DUMMYFUNCTION("""COMPUTED_VALUE"""),"〇")</f>
        <v>〇</v>
      </c>
      <c r="M1165" s="1" t="str">
        <f ca="1">IFERROR(__xludf.DUMMYFUNCTION("""COMPUTED_VALUE"""),"〇")</f>
        <v>〇</v>
      </c>
      <c r="N1165" s="1" t="str">
        <f ca="1">IFERROR(__xludf.DUMMYFUNCTION("""COMPUTED_VALUE"""),"TO7")</f>
        <v>TO7</v>
      </c>
      <c r="O1165" s="1"/>
      <c r="P1165" s="1"/>
    </row>
    <row r="1166" spans="1:16" ht="14.25" customHeight="1" x14ac:dyDescent="0.25">
      <c r="A1166" s="1"/>
      <c r="B1166" s="1">
        <f ca="1"/>
        <v>1154</v>
      </c>
      <c r="C1166" s="1">
        <f ca="1">IFERROR(__xludf.DUMMYFUNCTION("""COMPUTED_VALUE"""),2023)</f>
        <v>2023</v>
      </c>
      <c r="D1166" s="1">
        <f ca="1">IFERROR(__xludf.DUMMYFUNCTION("""COMPUTED_VALUE"""),11998)</f>
        <v>11998</v>
      </c>
      <c r="E1166" s="1" t="str">
        <f ca="1">IFERROR(__xludf.DUMMYFUNCTION("""COMPUTED_VALUE"""),"Journal of Coatings Technology and Research")</f>
        <v>Journal of Coatings Technology and Research</v>
      </c>
      <c r="F1166" s="1" t="str">
        <f ca="1">IFERROR(__xludf.DUMMYFUNCTION("""COMPUTED_VALUE"""),"1935-3804")</f>
        <v>1935-3804</v>
      </c>
      <c r="G1166" s="1" t="str">
        <f ca="1">IFERROR(__xludf.DUMMYFUNCTION("""COMPUTED_VALUE"""),"1547-0091")</f>
        <v>1547-0091</v>
      </c>
      <c r="H1166" s="27" t="str">
        <f ca="1">IFERROR(__xludf.DUMMYFUNCTION("""COMPUTED_VALUE"""),"https://link.springer.com/journal/11998")</f>
        <v>https://link.springer.com/journal/11998</v>
      </c>
      <c r="I1166" s="1" t="str">
        <f ca="1">IFERROR(__xludf.DUMMYFUNCTION("""COMPUTED_VALUE"""),"Springer")</f>
        <v>Springer</v>
      </c>
      <c r="J1166" s="1">
        <f ca="1">IFERROR(__xludf.DUMMYFUNCTION("""COMPUTED_VALUE"""),2004)</f>
        <v>2004</v>
      </c>
      <c r="K1166" s="1" t="str">
        <f ca="1">IFERROR(__xludf.DUMMYFUNCTION("""COMPUTED_VALUE"""),"Chemistry and Materials Science")</f>
        <v>Chemistry and Materials Science</v>
      </c>
      <c r="L1166" s="1" t="str">
        <f ca="1">IFERROR(__xludf.DUMMYFUNCTION("""COMPUTED_VALUE"""),"〇")</f>
        <v>〇</v>
      </c>
      <c r="M1166" s="1" t="str">
        <f ca="1">IFERROR(__xludf.DUMMYFUNCTION("""COMPUTED_VALUE"""),"〇")</f>
        <v>〇</v>
      </c>
      <c r="N1166" s="1" t="str">
        <f ca="1">IFERROR(__xludf.DUMMYFUNCTION("""COMPUTED_VALUE"""),"TO7")</f>
        <v>TO7</v>
      </c>
      <c r="O1166" s="1"/>
      <c r="P1166" s="1"/>
    </row>
    <row r="1167" spans="1:16" ht="14.25" customHeight="1" x14ac:dyDescent="0.25">
      <c r="A1167" s="1"/>
      <c r="B1167" s="1">
        <f ca="1"/>
        <v>1155</v>
      </c>
      <c r="C1167" s="1">
        <f ca="1">IFERROR(__xludf.DUMMYFUNCTION("""COMPUTED_VALUE"""),2023)</f>
        <v>2023</v>
      </c>
      <c r="D1167" s="1">
        <f ca="1">IFERROR(__xludf.DUMMYFUNCTION("""COMPUTED_VALUE"""),41465)</f>
        <v>41465</v>
      </c>
      <c r="E1167" s="1" t="str">
        <f ca="1">IFERROR(__xludf.DUMMYFUNCTION("""COMPUTED_VALUE"""),"Journal of Cognitive Enhancement")</f>
        <v>Journal of Cognitive Enhancement</v>
      </c>
      <c r="F1167" s="1" t="str">
        <f ca="1">IFERROR(__xludf.DUMMYFUNCTION("""COMPUTED_VALUE"""),"2509-3304")</f>
        <v>2509-3304</v>
      </c>
      <c r="G1167" s="1" t="str">
        <f ca="1">IFERROR(__xludf.DUMMYFUNCTION("""COMPUTED_VALUE"""),"2509-3290")</f>
        <v>2509-3290</v>
      </c>
      <c r="H1167" s="27" t="str">
        <f ca="1">IFERROR(__xludf.DUMMYFUNCTION("""COMPUTED_VALUE"""),"https://link.springer.com/journal/41465")</f>
        <v>https://link.springer.com/journal/41465</v>
      </c>
      <c r="I1167" s="1" t="str">
        <f ca="1">IFERROR(__xludf.DUMMYFUNCTION("""COMPUTED_VALUE"""),"Springer")</f>
        <v>Springer</v>
      </c>
      <c r="J1167" s="1">
        <f ca="1">IFERROR(__xludf.DUMMYFUNCTION("""COMPUTED_VALUE"""),2017)</f>
        <v>2017</v>
      </c>
      <c r="K1167" s="1" t="str">
        <f ca="1">IFERROR(__xludf.DUMMYFUNCTION("""COMPUTED_VALUE"""),"Behavioral Science and Psychology")</f>
        <v>Behavioral Science and Psychology</v>
      </c>
      <c r="L1167" s="1" t="str">
        <f ca="1">IFERROR(__xludf.DUMMYFUNCTION("""COMPUTED_VALUE"""),"〇")</f>
        <v>〇</v>
      </c>
      <c r="M1167" s="1"/>
      <c r="N1167" s="1" t="str">
        <f ca="1">IFERROR(__xludf.DUMMYFUNCTION("""COMPUTED_VALUE"""),"SNS17")</f>
        <v>SNS17</v>
      </c>
      <c r="O1167" s="1"/>
      <c r="P1167" s="1"/>
    </row>
    <row r="1168" spans="1:16" ht="14.25" customHeight="1" x14ac:dyDescent="0.25">
      <c r="A1168" s="1"/>
      <c r="B1168" s="1">
        <f ca="1"/>
        <v>1156</v>
      </c>
      <c r="C1168" s="1">
        <f ca="1">IFERROR(__xludf.DUMMYFUNCTION("""COMPUTED_VALUE"""),2023)</f>
        <v>2023</v>
      </c>
      <c r="D1168" s="1">
        <f ca="1">IFERROR(__xludf.DUMMYFUNCTION("""COMPUTED_VALUE"""),10878)</f>
        <v>10878</v>
      </c>
      <c r="E1168" s="1" t="str">
        <f ca="1">IFERROR(__xludf.DUMMYFUNCTION("""COMPUTED_VALUE"""),"Journal of Combinatorial Optimization")</f>
        <v>Journal of Combinatorial Optimization</v>
      </c>
      <c r="F1168" s="1" t="str">
        <f ca="1">IFERROR(__xludf.DUMMYFUNCTION("""COMPUTED_VALUE"""),"1573-2886")</f>
        <v>1573-2886</v>
      </c>
      <c r="G1168" s="1" t="str">
        <f ca="1">IFERROR(__xludf.DUMMYFUNCTION("""COMPUTED_VALUE"""),"1382-6905")</f>
        <v>1382-6905</v>
      </c>
      <c r="H1168" s="27" t="str">
        <f ca="1">IFERROR(__xludf.DUMMYFUNCTION("""COMPUTED_VALUE"""),"https://link.springer.com/journal/10878")</f>
        <v>https://link.springer.com/journal/10878</v>
      </c>
      <c r="I1168" s="1" t="str">
        <f ca="1">IFERROR(__xludf.DUMMYFUNCTION("""COMPUTED_VALUE"""),"Springer")</f>
        <v>Springer</v>
      </c>
      <c r="J1168" s="1">
        <f ca="1">IFERROR(__xludf.DUMMYFUNCTION("""COMPUTED_VALUE"""),2000)</f>
        <v>2000</v>
      </c>
      <c r="K1168" s="1" t="str">
        <f ca="1">IFERROR(__xludf.DUMMYFUNCTION("""COMPUTED_VALUE"""),"Mathematics and Statistics")</f>
        <v>Mathematics and Statistics</v>
      </c>
      <c r="L1168" s="1" t="str">
        <f ca="1">IFERROR(__xludf.DUMMYFUNCTION("""COMPUTED_VALUE"""),"〇")</f>
        <v>〇</v>
      </c>
      <c r="M1168" s="1" t="str">
        <f ca="1">IFERROR(__xludf.DUMMYFUNCTION("""COMPUTED_VALUE"""),"〇")</f>
        <v>〇</v>
      </c>
      <c r="N1168" s="1"/>
      <c r="O1168" s="1"/>
      <c r="P1168" s="1"/>
    </row>
    <row r="1169" spans="1:16" ht="14.25" customHeight="1" x14ac:dyDescent="0.25">
      <c r="A1169" s="1"/>
      <c r="B1169" s="1">
        <f ca="1"/>
        <v>1157</v>
      </c>
      <c r="C1169" s="1">
        <f ca="1">IFERROR(__xludf.DUMMYFUNCTION("""COMPUTED_VALUE"""),2023)</f>
        <v>2023</v>
      </c>
      <c r="D1169" s="1">
        <f ca="1">IFERROR(__xludf.DUMMYFUNCTION("""COMPUTED_VALUE"""),11487)</f>
        <v>11487</v>
      </c>
      <c r="E1169" s="1" t="str">
        <f ca="1">IFERROR(__xludf.DUMMYFUNCTION("""COMPUTED_VALUE"""),"Journal of Communications Technology and Electronics")</f>
        <v>Journal of Communications Technology and Electronics</v>
      </c>
      <c r="F1169" s="1" t="str">
        <f ca="1">IFERROR(__xludf.DUMMYFUNCTION("""COMPUTED_VALUE"""),"1555-6557")</f>
        <v>1555-6557</v>
      </c>
      <c r="G1169" s="1" t="str">
        <f ca="1">IFERROR(__xludf.DUMMYFUNCTION("""COMPUTED_VALUE"""),"1064-2269")</f>
        <v>1064-2269</v>
      </c>
      <c r="H1169" s="27" t="str">
        <f ca="1">IFERROR(__xludf.DUMMYFUNCTION("""COMPUTED_VALUE"""),"https://link.springer.com/journal/11487")</f>
        <v>https://link.springer.com/journal/11487</v>
      </c>
      <c r="I1169" s="1" t="str">
        <f ca="1">IFERROR(__xludf.DUMMYFUNCTION("""COMPUTED_VALUE"""),"Pleiades Publishing")</f>
        <v>Pleiades Publishing</v>
      </c>
      <c r="J1169" s="1">
        <f ca="1">IFERROR(__xludf.DUMMYFUNCTION("""COMPUTED_VALUE"""),2006)</f>
        <v>2006</v>
      </c>
      <c r="K1169" s="1" t="str">
        <f ca="1">IFERROR(__xludf.DUMMYFUNCTION("""COMPUTED_VALUE"""),"Engineering")</f>
        <v>Engineering</v>
      </c>
      <c r="L1169" s="1" t="str">
        <f ca="1">IFERROR(__xludf.DUMMYFUNCTION("""COMPUTED_VALUE"""),"〇")</f>
        <v>〇</v>
      </c>
      <c r="M1169" s="1" t="str">
        <f ca="1">IFERROR(__xludf.DUMMYFUNCTION("""COMPUTED_VALUE"""),"〇")</f>
        <v>〇</v>
      </c>
      <c r="N1169" s="1"/>
      <c r="O1169" s="1"/>
      <c r="P1169" s="1"/>
    </row>
    <row r="1170" spans="1:16" ht="14.25" customHeight="1" x14ac:dyDescent="0.25">
      <c r="A1170" s="1"/>
      <c r="B1170" s="1">
        <f ca="1"/>
        <v>1158</v>
      </c>
      <c r="C1170" s="1">
        <f ca="1">IFERROR(__xludf.DUMMYFUNCTION("""COMPUTED_VALUE"""),2023)</f>
        <v>2023</v>
      </c>
      <c r="D1170" s="1">
        <f ca="1">IFERROR(__xludf.DUMMYFUNCTION("""COMPUTED_VALUE"""),12687)</f>
        <v>12687</v>
      </c>
      <c r="E1170" s="1" t="str">
        <f ca="1">IFERROR(__xludf.DUMMYFUNCTION("""COMPUTED_VALUE"""),"Journal of Community Genetics")</f>
        <v>Journal of Community Genetics</v>
      </c>
      <c r="F1170" s="1" t="str">
        <f ca="1">IFERROR(__xludf.DUMMYFUNCTION("""COMPUTED_VALUE"""),"1868-6001")</f>
        <v>1868-6001</v>
      </c>
      <c r="G1170" s="1"/>
      <c r="H1170" s="27" t="str">
        <f ca="1">IFERROR(__xludf.DUMMYFUNCTION("""COMPUTED_VALUE"""),"https://link.springer.com/journal/12687")</f>
        <v>https://link.springer.com/journal/12687</v>
      </c>
      <c r="I1170" s="1" t="str">
        <f ca="1">IFERROR(__xludf.DUMMYFUNCTION("""COMPUTED_VALUE"""),"Springer")</f>
        <v>Springer</v>
      </c>
      <c r="J1170" s="1">
        <f ca="1">IFERROR(__xludf.DUMMYFUNCTION("""COMPUTED_VALUE"""),2010)</f>
        <v>2010</v>
      </c>
      <c r="K1170" s="1" t="str">
        <f ca="1">IFERROR(__xludf.DUMMYFUNCTION("""COMPUTED_VALUE"""),"Biomedical and Life Sciences")</f>
        <v>Biomedical and Life Sciences</v>
      </c>
      <c r="L1170" s="1"/>
      <c r="M1170" s="1" t="str">
        <f ca="1">IFERROR(__xludf.DUMMYFUNCTION("""COMPUTED_VALUE"""),"〇")</f>
        <v>〇</v>
      </c>
      <c r="N1170" s="1" t="str">
        <f ca="1">IFERROR(__xludf.DUMMYFUNCTION("""COMPUTED_VALUE"""),"SNS10")</f>
        <v>SNS10</v>
      </c>
      <c r="O1170" s="1"/>
      <c r="P1170" s="1"/>
    </row>
    <row r="1171" spans="1:16" ht="14.25" customHeight="1" x14ac:dyDescent="0.25">
      <c r="A1171" s="1"/>
      <c r="B1171" s="1">
        <f ca="1"/>
        <v>1159</v>
      </c>
      <c r="C1171" s="1">
        <f ca="1">IFERROR(__xludf.DUMMYFUNCTION("""COMPUTED_VALUE"""),2023)</f>
        <v>2023</v>
      </c>
      <c r="D1171" s="1">
        <f ca="1">IFERROR(__xludf.DUMMYFUNCTION("""COMPUTED_VALUE"""),10900)</f>
        <v>10900</v>
      </c>
      <c r="E1171" s="1" t="str">
        <f ca="1">IFERROR(__xludf.DUMMYFUNCTION("""COMPUTED_VALUE"""),"Journal of Community Health")</f>
        <v>Journal of Community Health</v>
      </c>
      <c r="F1171" s="1" t="str">
        <f ca="1">IFERROR(__xludf.DUMMYFUNCTION("""COMPUTED_VALUE"""),"1573-3610")</f>
        <v>1573-3610</v>
      </c>
      <c r="G1171" s="1" t="str">
        <f ca="1">IFERROR(__xludf.DUMMYFUNCTION("""COMPUTED_VALUE"""),"0094-5145")</f>
        <v>0094-5145</v>
      </c>
      <c r="H1171" s="27" t="str">
        <f ca="1">IFERROR(__xludf.DUMMYFUNCTION("""COMPUTED_VALUE"""),"https://link.springer.com/journal/10900")</f>
        <v>https://link.springer.com/journal/10900</v>
      </c>
      <c r="I1171" s="1" t="str">
        <f ca="1">IFERROR(__xludf.DUMMYFUNCTION("""COMPUTED_VALUE"""),"Springer")</f>
        <v>Springer</v>
      </c>
      <c r="J1171" s="1">
        <f ca="1">IFERROR(__xludf.DUMMYFUNCTION("""COMPUTED_VALUE"""),2000)</f>
        <v>2000</v>
      </c>
      <c r="K1171" s="1" t="str">
        <f ca="1">IFERROR(__xludf.DUMMYFUNCTION("""COMPUTED_VALUE"""),"Medicine")</f>
        <v>Medicine</v>
      </c>
      <c r="L1171" s="1" t="str">
        <f ca="1">IFERROR(__xludf.DUMMYFUNCTION("""COMPUTED_VALUE"""),"〇")</f>
        <v>〇</v>
      </c>
      <c r="M1171" s="1" t="str">
        <f ca="1">IFERROR(__xludf.DUMMYFUNCTION("""COMPUTED_VALUE"""),"〇")</f>
        <v>〇</v>
      </c>
      <c r="N1171" s="1"/>
      <c r="O1171" s="1"/>
      <c r="P1171" s="1"/>
    </row>
    <row r="1172" spans="1:16" ht="14.25" customHeight="1" x14ac:dyDescent="0.25">
      <c r="A1172" s="1"/>
      <c r="B1172" s="1">
        <f ca="1"/>
        <v>1160</v>
      </c>
      <c r="C1172" s="1">
        <f ca="1">IFERROR(__xludf.DUMMYFUNCTION("""COMPUTED_VALUE"""),2023)</f>
        <v>2023</v>
      </c>
      <c r="D1172" s="1">
        <f ca="1">IFERROR(__xludf.DUMMYFUNCTION("""COMPUTED_VALUE"""),359)</f>
        <v>359</v>
      </c>
      <c r="E1172" s="1" t="str">
        <f ca="1">IFERROR(__xludf.DUMMYFUNCTION("""COMPUTED_VALUE"""),"Journal of Comparative Physiology A")</f>
        <v>Journal of Comparative Physiology A</v>
      </c>
      <c r="F1172" s="1" t="str">
        <f ca="1">IFERROR(__xludf.DUMMYFUNCTION("""COMPUTED_VALUE"""),"1432-1351")</f>
        <v>1432-1351</v>
      </c>
      <c r="G1172" s="1" t="str">
        <f ca="1">IFERROR(__xludf.DUMMYFUNCTION("""COMPUTED_VALUE"""),"0340-7594")</f>
        <v>0340-7594</v>
      </c>
      <c r="H1172" s="27" t="str">
        <f ca="1">IFERROR(__xludf.DUMMYFUNCTION("""COMPUTED_VALUE"""),"https://link.springer.com/journal/359")</f>
        <v>https://link.springer.com/journal/359</v>
      </c>
      <c r="I1172" s="1" t="str">
        <f ca="1">IFERROR(__xludf.DUMMYFUNCTION("""COMPUTED_VALUE"""),"Springer")</f>
        <v>Springer</v>
      </c>
      <c r="J1172" s="1">
        <f ca="1">IFERROR(__xludf.DUMMYFUNCTION("""COMPUTED_VALUE"""),2000)</f>
        <v>2000</v>
      </c>
      <c r="K1172" s="1" t="str">
        <f ca="1">IFERROR(__xludf.DUMMYFUNCTION("""COMPUTED_VALUE"""),"Biomedical and Life Sciences")</f>
        <v>Biomedical and Life Sciences</v>
      </c>
      <c r="L1172" s="1" t="str">
        <f ca="1">IFERROR(__xludf.DUMMYFUNCTION("""COMPUTED_VALUE"""),"〇")</f>
        <v>〇</v>
      </c>
      <c r="M1172" s="1" t="str">
        <f ca="1">IFERROR(__xludf.DUMMYFUNCTION("""COMPUTED_VALUE"""),"〇")</f>
        <v>〇</v>
      </c>
      <c r="N1172" s="1"/>
      <c r="O1172" s="1"/>
      <c r="P1172" s="1"/>
    </row>
    <row r="1173" spans="1:16" ht="14.25" customHeight="1" x14ac:dyDescent="0.25">
      <c r="A1173" s="1"/>
      <c r="B1173" s="1">
        <f ca="1"/>
        <v>1161</v>
      </c>
      <c r="C1173" s="1">
        <f ca="1">IFERROR(__xludf.DUMMYFUNCTION("""COMPUTED_VALUE"""),2023)</f>
        <v>2023</v>
      </c>
      <c r="D1173" s="1">
        <f ca="1">IFERROR(__xludf.DUMMYFUNCTION("""COMPUTED_VALUE"""),360)</f>
        <v>360</v>
      </c>
      <c r="E1173" s="1" t="str">
        <f ca="1">IFERROR(__xludf.DUMMYFUNCTION("""COMPUTED_VALUE"""),"Journal of Comparative Physiology B")</f>
        <v>Journal of Comparative Physiology B</v>
      </c>
      <c r="F1173" s="1" t="str">
        <f ca="1">IFERROR(__xludf.DUMMYFUNCTION("""COMPUTED_VALUE"""),"1432-136X")</f>
        <v>1432-136X</v>
      </c>
      <c r="G1173" s="1" t="str">
        <f ca="1">IFERROR(__xludf.DUMMYFUNCTION("""COMPUTED_VALUE"""),"0174-1578")</f>
        <v>0174-1578</v>
      </c>
      <c r="H1173" s="27" t="str">
        <f ca="1">IFERROR(__xludf.DUMMYFUNCTION("""COMPUTED_VALUE"""),"https://link.springer.com/journal/360")</f>
        <v>https://link.springer.com/journal/360</v>
      </c>
      <c r="I1173" s="1" t="str">
        <f ca="1">IFERROR(__xludf.DUMMYFUNCTION("""COMPUTED_VALUE"""),"Springer")</f>
        <v>Springer</v>
      </c>
      <c r="J1173" s="1">
        <f ca="1">IFERROR(__xludf.DUMMYFUNCTION("""COMPUTED_VALUE"""),2000)</f>
        <v>2000</v>
      </c>
      <c r="K1173" s="1" t="str">
        <f ca="1">IFERROR(__xludf.DUMMYFUNCTION("""COMPUTED_VALUE"""),"Biomedical and Life Sciences")</f>
        <v>Biomedical and Life Sciences</v>
      </c>
      <c r="L1173" s="1" t="str">
        <f ca="1">IFERROR(__xludf.DUMMYFUNCTION("""COMPUTED_VALUE"""),"〇")</f>
        <v>〇</v>
      </c>
      <c r="M1173" s="1" t="str">
        <f ca="1">IFERROR(__xludf.DUMMYFUNCTION("""COMPUTED_VALUE"""),"〇")</f>
        <v>〇</v>
      </c>
      <c r="N1173" s="1"/>
      <c r="O1173" s="1"/>
      <c r="P1173" s="1"/>
    </row>
    <row r="1174" spans="1:16" ht="14.25" customHeight="1" x14ac:dyDescent="0.25">
      <c r="A1174" s="1"/>
      <c r="B1174" s="1">
        <f ca="1"/>
        <v>1162</v>
      </c>
      <c r="C1174" s="1">
        <f ca="1">IFERROR(__xludf.DUMMYFUNCTION("""COMPUTED_VALUE"""),2023)</f>
        <v>2023</v>
      </c>
      <c r="D1174" s="1">
        <f ca="1">IFERROR(__xludf.DUMMYFUNCTION("""COMPUTED_VALUE"""),10825)</f>
        <v>10825</v>
      </c>
      <c r="E1174" s="1" t="str">
        <f ca="1">IFERROR(__xludf.DUMMYFUNCTION("""COMPUTED_VALUE"""),"Journal of Computational Electronics")</f>
        <v>Journal of Computational Electronics</v>
      </c>
      <c r="F1174" s="1" t="str">
        <f ca="1">IFERROR(__xludf.DUMMYFUNCTION("""COMPUTED_VALUE"""),"1572-8137")</f>
        <v>1572-8137</v>
      </c>
      <c r="G1174" s="1" t="str">
        <f ca="1">IFERROR(__xludf.DUMMYFUNCTION("""COMPUTED_VALUE"""),"1569-8025")</f>
        <v>1569-8025</v>
      </c>
      <c r="H1174" s="27" t="str">
        <f ca="1">IFERROR(__xludf.DUMMYFUNCTION("""COMPUTED_VALUE"""),"https://link.springer.com/journal/10825")</f>
        <v>https://link.springer.com/journal/10825</v>
      </c>
      <c r="I1174" s="1" t="str">
        <f ca="1">IFERROR(__xludf.DUMMYFUNCTION("""COMPUTED_VALUE"""),"Springer")</f>
        <v>Springer</v>
      </c>
      <c r="J1174" s="1">
        <f ca="1">IFERROR(__xludf.DUMMYFUNCTION("""COMPUTED_VALUE"""),2002)</f>
        <v>2002</v>
      </c>
      <c r="K1174" s="1" t="str">
        <f ca="1">IFERROR(__xludf.DUMMYFUNCTION("""COMPUTED_VALUE"""),"Engineering")</f>
        <v>Engineering</v>
      </c>
      <c r="L1174" s="1" t="str">
        <f ca="1">IFERROR(__xludf.DUMMYFUNCTION("""COMPUTED_VALUE"""),"〇")</f>
        <v>〇</v>
      </c>
      <c r="M1174" s="1" t="str">
        <f ca="1">IFERROR(__xludf.DUMMYFUNCTION("""COMPUTED_VALUE"""),"〇")</f>
        <v>〇</v>
      </c>
      <c r="N1174" s="1"/>
      <c r="O1174" s="1"/>
      <c r="P1174" s="1"/>
    </row>
    <row r="1175" spans="1:16" ht="14.25" customHeight="1" x14ac:dyDescent="0.25">
      <c r="A1175" s="1"/>
      <c r="B1175" s="1">
        <f ca="1"/>
        <v>1163</v>
      </c>
      <c r="C1175" s="1">
        <f ca="1">IFERROR(__xludf.DUMMYFUNCTION("""COMPUTED_VALUE"""),2023)</f>
        <v>2023</v>
      </c>
      <c r="D1175" s="1">
        <f ca="1">IFERROR(__xludf.DUMMYFUNCTION("""COMPUTED_VALUE"""),10827)</f>
        <v>10827</v>
      </c>
      <c r="E1175" s="1" t="str">
        <f ca="1">IFERROR(__xludf.DUMMYFUNCTION("""COMPUTED_VALUE"""),"Journal of Computational Neuroscience")</f>
        <v>Journal of Computational Neuroscience</v>
      </c>
      <c r="F1175" s="1" t="str">
        <f ca="1">IFERROR(__xludf.DUMMYFUNCTION("""COMPUTED_VALUE"""),"1573-6873")</f>
        <v>1573-6873</v>
      </c>
      <c r="G1175" s="1" t="str">
        <f ca="1">IFERROR(__xludf.DUMMYFUNCTION("""COMPUTED_VALUE"""),"0929-5313")</f>
        <v>0929-5313</v>
      </c>
      <c r="H1175" s="27" t="str">
        <f ca="1">IFERROR(__xludf.DUMMYFUNCTION("""COMPUTED_VALUE"""),"https://link.springer.com/journal/10827")</f>
        <v>https://link.springer.com/journal/10827</v>
      </c>
      <c r="I1175" s="1" t="str">
        <f ca="1">IFERROR(__xludf.DUMMYFUNCTION("""COMPUTED_VALUE"""),"Springer")</f>
        <v>Springer</v>
      </c>
      <c r="J1175" s="1">
        <f ca="1">IFERROR(__xludf.DUMMYFUNCTION("""COMPUTED_VALUE"""),2000)</f>
        <v>2000</v>
      </c>
      <c r="K1175" s="1" t="str">
        <f ca="1">IFERROR(__xludf.DUMMYFUNCTION("""COMPUTED_VALUE"""),"Biomedical and Life Sciences")</f>
        <v>Biomedical and Life Sciences</v>
      </c>
      <c r="L1175" s="1" t="str">
        <f ca="1">IFERROR(__xludf.DUMMYFUNCTION("""COMPUTED_VALUE"""),"〇")</f>
        <v>〇</v>
      </c>
      <c r="M1175" s="1" t="str">
        <f ca="1">IFERROR(__xludf.DUMMYFUNCTION("""COMPUTED_VALUE"""),"〇")</f>
        <v>〇</v>
      </c>
      <c r="N1175" s="1"/>
      <c r="O1175" s="1"/>
      <c r="P1175" s="1"/>
    </row>
    <row r="1176" spans="1:16" ht="14.25" customHeight="1" x14ac:dyDescent="0.25">
      <c r="A1176" s="1"/>
      <c r="B1176" s="1">
        <f ca="1"/>
        <v>1164</v>
      </c>
      <c r="C1176" s="1">
        <f ca="1">IFERROR(__xludf.DUMMYFUNCTION("""COMPUTED_VALUE"""),2023)</f>
        <v>2023</v>
      </c>
      <c r="D1176" s="1">
        <f ca="1">IFERROR(__xludf.DUMMYFUNCTION("""COMPUTED_VALUE"""),42001)</f>
        <v>42001</v>
      </c>
      <c r="E1176" s="1" t="str">
        <f ca="1">IFERROR(__xludf.DUMMYFUNCTION("""COMPUTED_VALUE"""),"Journal of Computational Social Science")</f>
        <v>Journal of Computational Social Science</v>
      </c>
      <c r="F1176" s="1" t="str">
        <f ca="1">IFERROR(__xludf.DUMMYFUNCTION("""COMPUTED_VALUE"""),"2432-2725")</f>
        <v>2432-2725</v>
      </c>
      <c r="G1176" s="1" t="str">
        <f ca="1">IFERROR(__xludf.DUMMYFUNCTION("""COMPUTED_VALUE"""),"2432-2717")</f>
        <v>2432-2717</v>
      </c>
      <c r="H1176" s="27" t="str">
        <f ca="1">IFERROR(__xludf.DUMMYFUNCTION("""COMPUTED_VALUE"""),"https://link.springer.com/journal/42001")</f>
        <v>https://link.springer.com/journal/42001</v>
      </c>
      <c r="I1176" s="1" t="str">
        <f ca="1">IFERROR(__xludf.DUMMYFUNCTION("""COMPUTED_VALUE"""),"Springer")</f>
        <v>Springer</v>
      </c>
      <c r="J1176" s="1">
        <f ca="1">IFERROR(__xludf.DUMMYFUNCTION("""COMPUTED_VALUE"""),2018)</f>
        <v>2018</v>
      </c>
      <c r="K1176" s="1" t="str">
        <f ca="1">IFERROR(__xludf.DUMMYFUNCTION("""COMPUTED_VALUE"""),"Social Sciences")</f>
        <v>Social Sciences</v>
      </c>
      <c r="L1176" s="1" t="str">
        <f ca="1">IFERROR(__xludf.DUMMYFUNCTION("""COMPUTED_VALUE"""),"〇")</f>
        <v>〇</v>
      </c>
      <c r="M1176" s="1"/>
      <c r="N1176" s="1" t="str">
        <f ca="1">IFERROR(__xludf.DUMMYFUNCTION("""COMPUTED_VALUE"""),"SNS18")</f>
        <v>SNS18</v>
      </c>
      <c r="O1176" s="1"/>
      <c r="P1176" s="1"/>
    </row>
    <row r="1177" spans="1:16" ht="14.25" customHeight="1" x14ac:dyDescent="0.25">
      <c r="A1177" s="1"/>
      <c r="B1177" s="1">
        <f ca="1"/>
        <v>1165</v>
      </c>
      <c r="C1177" s="1">
        <f ca="1">IFERROR(__xludf.DUMMYFUNCTION("""COMPUTED_VALUE"""),2023)</f>
        <v>2023</v>
      </c>
      <c r="D1177" s="1">
        <f ca="1">IFERROR(__xludf.DUMMYFUNCTION("""COMPUTED_VALUE"""),11488)</f>
        <v>11488</v>
      </c>
      <c r="E1177" s="1" t="str">
        <f ca="1">IFERROR(__xludf.DUMMYFUNCTION("""COMPUTED_VALUE"""),"Journal of Computer and Systems Sciences International")</f>
        <v>Journal of Computer and Systems Sciences International</v>
      </c>
      <c r="F1177" s="1" t="str">
        <f ca="1">IFERROR(__xludf.DUMMYFUNCTION("""COMPUTED_VALUE"""),"1555-6530")</f>
        <v>1555-6530</v>
      </c>
      <c r="G1177" s="1" t="str">
        <f ca="1">IFERROR(__xludf.DUMMYFUNCTION("""COMPUTED_VALUE"""),"1064-2307")</f>
        <v>1064-2307</v>
      </c>
      <c r="H1177" s="27" t="str">
        <f ca="1">IFERROR(__xludf.DUMMYFUNCTION("""COMPUTED_VALUE"""),"https://link.springer.com/journal/11488")</f>
        <v>https://link.springer.com/journal/11488</v>
      </c>
      <c r="I1177" s="1" t="str">
        <f ca="1">IFERROR(__xludf.DUMMYFUNCTION("""COMPUTED_VALUE"""),"Pleiades Publishing")</f>
        <v>Pleiades Publishing</v>
      </c>
      <c r="J1177" s="1">
        <f ca="1">IFERROR(__xludf.DUMMYFUNCTION("""COMPUTED_VALUE"""),2006)</f>
        <v>2006</v>
      </c>
      <c r="K1177" s="1" t="str">
        <f ca="1">IFERROR(__xludf.DUMMYFUNCTION("""COMPUTED_VALUE"""),"Engineering")</f>
        <v>Engineering</v>
      </c>
      <c r="L1177" s="1" t="str">
        <f ca="1">IFERROR(__xludf.DUMMYFUNCTION("""COMPUTED_VALUE"""),"〇")</f>
        <v>〇</v>
      </c>
      <c r="M1177" s="1" t="str">
        <f ca="1">IFERROR(__xludf.DUMMYFUNCTION("""COMPUTED_VALUE"""),"〇")</f>
        <v>〇</v>
      </c>
      <c r="N1177" s="1"/>
      <c r="O1177" s="1"/>
      <c r="P1177" s="1"/>
    </row>
    <row r="1178" spans="1:16" ht="14.25" customHeight="1" x14ac:dyDescent="0.25">
      <c r="A1178" s="1"/>
      <c r="B1178" s="1">
        <f ca="1"/>
        <v>1166</v>
      </c>
      <c r="C1178" s="1">
        <f ca="1">IFERROR(__xludf.DUMMYFUNCTION("""COMPUTED_VALUE"""),2023)</f>
        <v>2023</v>
      </c>
      <c r="D1178" s="1">
        <f ca="1">IFERROR(__xludf.DUMMYFUNCTION("""COMPUTED_VALUE"""),11390)</f>
        <v>11390</v>
      </c>
      <c r="E1178" s="1" t="str">
        <f ca="1">IFERROR(__xludf.DUMMYFUNCTION("""COMPUTED_VALUE"""),"Journal of Computer Science and Technology")</f>
        <v>Journal of Computer Science and Technology</v>
      </c>
      <c r="F1178" s="1" t="str">
        <f ca="1">IFERROR(__xludf.DUMMYFUNCTION("""COMPUTED_VALUE"""),"1860-4749")</f>
        <v>1860-4749</v>
      </c>
      <c r="G1178" s="1" t="str">
        <f ca="1">IFERROR(__xludf.DUMMYFUNCTION("""COMPUTED_VALUE"""),"1000-9000")</f>
        <v>1000-9000</v>
      </c>
      <c r="H1178" s="27" t="str">
        <f ca="1">IFERROR(__xludf.DUMMYFUNCTION("""COMPUTED_VALUE"""),"https://link.springer.com/journal/11390")</f>
        <v>https://link.springer.com/journal/11390</v>
      </c>
      <c r="I1178" s="1" t="str">
        <f ca="1">IFERROR(__xludf.DUMMYFUNCTION("""COMPUTED_VALUE"""),"Springer")</f>
        <v>Springer</v>
      </c>
      <c r="J1178" s="1">
        <f ca="1">IFERROR(__xludf.DUMMYFUNCTION("""COMPUTED_VALUE"""),2000)</f>
        <v>2000</v>
      </c>
      <c r="K1178" s="1" t="str">
        <f ca="1">IFERROR(__xludf.DUMMYFUNCTION("""COMPUTED_VALUE"""),"Computer Science")</f>
        <v>Computer Science</v>
      </c>
      <c r="L1178" s="1" t="str">
        <f ca="1">IFERROR(__xludf.DUMMYFUNCTION("""COMPUTED_VALUE"""),"〇")</f>
        <v>〇</v>
      </c>
      <c r="M1178" s="1" t="str">
        <f ca="1">IFERROR(__xludf.DUMMYFUNCTION("""COMPUTED_VALUE"""),"〇")</f>
        <v>〇</v>
      </c>
      <c r="N1178" s="1"/>
      <c r="O1178" s="1"/>
      <c r="P1178" s="1"/>
    </row>
    <row r="1179" spans="1:16" ht="14.25" customHeight="1" x14ac:dyDescent="0.25">
      <c r="A1179" s="1"/>
      <c r="B1179" s="1">
        <f ca="1"/>
        <v>1167</v>
      </c>
      <c r="C1179" s="1">
        <f ca="1">IFERROR(__xludf.DUMMYFUNCTION("""COMPUTED_VALUE"""),2023)</f>
        <v>2023</v>
      </c>
      <c r="D1179" s="1">
        <f ca="1">IFERROR(__xludf.DUMMYFUNCTION("""COMPUTED_VALUE"""),11416)</f>
        <v>11416</v>
      </c>
      <c r="E1179" s="1" t="str">
        <f ca="1">IFERROR(__xludf.DUMMYFUNCTION("""COMPUTED_VALUE"""),"Journal of Computer Virology and Hacking Techniques")</f>
        <v>Journal of Computer Virology and Hacking Techniques</v>
      </c>
      <c r="F1179" s="1" t="str">
        <f ca="1">IFERROR(__xludf.DUMMYFUNCTION("""COMPUTED_VALUE"""),"2263-8733")</f>
        <v>2263-8733</v>
      </c>
      <c r="G1179" s="1"/>
      <c r="H1179" s="27" t="str">
        <f ca="1">IFERROR(__xludf.DUMMYFUNCTION("""COMPUTED_VALUE"""),"https://link.springer.com/journal/11416")</f>
        <v>https://link.springer.com/journal/11416</v>
      </c>
      <c r="I1179" s="1" t="str">
        <f ca="1">IFERROR(__xludf.DUMMYFUNCTION("""COMPUTED_VALUE"""),"Springer")</f>
        <v>Springer</v>
      </c>
      <c r="J1179" s="1">
        <f ca="1">IFERROR(__xludf.DUMMYFUNCTION("""COMPUTED_VALUE"""),2005)</f>
        <v>2005</v>
      </c>
      <c r="K1179" s="1" t="str">
        <f ca="1">IFERROR(__xludf.DUMMYFUNCTION("""COMPUTED_VALUE"""),"Computer Science")</f>
        <v>Computer Science</v>
      </c>
      <c r="L1179" s="1"/>
      <c r="M1179" s="1" t="str">
        <f ca="1">IFERROR(__xludf.DUMMYFUNCTION("""COMPUTED_VALUE"""),"〇")</f>
        <v>〇</v>
      </c>
      <c r="N1179" s="1"/>
      <c r="O1179" s="1"/>
      <c r="P1179" s="1"/>
    </row>
    <row r="1180" spans="1:16" ht="14.25" customHeight="1" x14ac:dyDescent="0.25">
      <c r="A1180" s="1"/>
      <c r="B1180" s="1">
        <f ca="1"/>
        <v>1168</v>
      </c>
      <c r="C1180" s="1">
        <f ca="1">IFERROR(__xludf.DUMMYFUNCTION("""COMPUTED_VALUE"""),2023)</f>
        <v>2023</v>
      </c>
      <c r="D1180" s="1">
        <f ca="1">IFERROR(__xludf.DUMMYFUNCTION("""COMPUTED_VALUE"""),10822)</f>
        <v>10822</v>
      </c>
      <c r="E1180" s="1" t="str">
        <f ca="1">IFERROR(__xludf.DUMMYFUNCTION("""COMPUTED_VALUE"""),"Journal of Computer-Aided Molecular Design")</f>
        <v>Journal of Computer-Aided Molecular Design</v>
      </c>
      <c r="F1180" s="1" t="str">
        <f ca="1">IFERROR(__xludf.DUMMYFUNCTION("""COMPUTED_VALUE"""),"1573-4951")</f>
        <v>1573-4951</v>
      </c>
      <c r="G1180" s="1" t="str">
        <f ca="1">IFERROR(__xludf.DUMMYFUNCTION("""COMPUTED_VALUE"""),"0920-654X")</f>
        <v>0920-654X</v>
      </c>
      <c r="H1180" s="27" t="str">
        <f ca="1">IFERROR(__xludf.DUMMYFUNCTION("""COMPUTED_VALUE"""),"https://link.springer.com/journal/10822")</f>
        <v>https://link.springer.com/journal/10822</v>
      </c>
      <c r="I1180" s="1" t="str">
        <f ca="1">IFERROR(__xludf.DUMMYFUNCTION("""COMPUTED_VALUE"""),"Springer")</f>
        <v>Springer</v>
      </c>
      <c r="J1180" s="1">
        <f ca="1">IFERROR(__xludf.DUMMYFUNCTION("""COMPUTED_VALUE"""),2000)</f>
        <v>2000</v>
      </c>
      <c r="K1180" s="1" t="str">
        <f ca="1">IFERROR(__xludf.DUMMYFUNCTION("""COMPUTED_VALUE"""),"Chemistry and Materials Science")</f>
        <v>Chemistry and Materials Science</v>
      </c>
      <c r="L1180" s="1" t="str">
        <f ca="1">IFERROR(__xludf.DUMMYFUNCTION("""COMPUTED_VALUE"""),"〇")</f>
        <v>〇</v>
      </c>
      <c r="M1180" s="1" t="str">
        <f ca="1">IFERROR(__xludf.DUMMYFUNCTION("""COMPUTED_VALUE"""),"〇")</f>
        <v>〇</v>
      </c>
      <c r="N1180" s="1"/>
      <c r="O1180" s="1"/>
      <c r="P1180" s="1"/>
    </row>
    <row r="1181" spans="1:16" ht="14.25" customHeight="1" x14ac:dyDescent="0.25">
      <c r="A1181" s="1"/>
      <c r="B1181" s="1">
        <f ca="1"/>
        <v>1169</v>
      </c>
      <c r="C1181" s="1">
        <f ca="1">IFERROR(__xludf.DUMMYFUNCTION("""COMPUTED_VALUE"""),2023)</f>
        <v>2023</v>
      </c>
      <c r="D1181" s="1">
        <f ca="1">IFERROR(__xludf.DUMMYFUNCTION("""COMPUTED_VALUE"""),40692)</f>
        <v>40692</v>
      </c>
      <c r="E1181" s="1" t="str">
        <f ca="1">IFERROR(__xludf.DUMMYFUNCTION("""COMPUTED_VALUE"""),"Journal of Computers in Education")</f>
        <v>Journal of Computers in Education</v>
      </c>
      <c r="F1181" s="1" t="str">
        <f ca="1">IFERROR(__xludf.DUMMYFUNCTION("""COMPUTED_VALUE"""),"2197-9995")</f>
        <v>2197-9995</v>
      </c>
      <c r="G1181" s="1" t="str">
        <f ca="1">IFERROR(__xludf.DUMMYFUNCTION("""COMPUTED_VALUE"""),"2197-9987")</f>
        <v>2197-9987</v>
      </c>
      <c r="H1181" s="27" t="str">
        <f ca="1">IFERROR(__xludf.DUMMYFUNCTION("""COMPUTED_VALUE"""),"https://link.springer.com/journal/40692")</f>
        <v>https://link.springer.com/journal/40692</v>
      </c>
      <c r="I1181" s="1" t="str">
        <f ca="1">IFERROR(__xludf.DUMMYFUNCTION("""COMPUTED_VALUE"""),"Springer")</f>
        <v>Springer</v>
      </c>
      <c r="J1181" s="1">
        <f ca="1">IFERROR(__xludf.DUMMYFUNCTION("""COMPUTED_VALUE"""),2014)</f>
        <v>2014</v>
      </c>
      <c r="K1181" s="1" t="str">
        <f ca="1">IFERROR(__xludf.DUMMYFUNCTION("""COMPUTED_VALUE"""),"Education")</f>
        <v>Education</v>
      </c>
      <c r="L1181" s="1" t="str">
        <f ca="1">IFERROR(__xludf.DUMMYFUNCTION("""COMPUTED_VALUE"""),"〇")</f>
        <v>〇</v>
      </c>
      <c r="M1181" s="1"/>
      <c r="N1181" s="1" t="str">
        <f ca="1">IFERROR(__xludf.DUMMYFUNCTION("""COMPUTED_VALUE"""),"SNS14")</f>
        <v>SNS14</v>
      </c>
      <c r="O1181" s="1"/>
      <c r="P1181" s="1"/>
    </row>
    <row r="1182" spans="1:16" ht="14.25" customHeight="1" x14ac:dyDescent="0.25">
      <c r="A1182" s="1"/>
      <c r="B1182" s="1">
        <f ca="1"/>
        <v>1170</v>
      </c>
      <c r="C1182" s="1">
        <f ca="1">IFERROR(__xludf.DUMMYFUNCTION("""COMPUTED_VALUE"""),2023)</f>
        <v>2023</v>
      </c>
      <c r="D1182" s="1">
        <f ca="1">IFERROR(__xludf.DUMMYFUNCTION("""COMPUTED_VALUE"""),12528)</f>
        <v>12528</v>
      </c>
      <c r="E1182" s="1" t="str">
        <f ca="1">IFERROR(__xludf.DUMMYFUNCTION("""COMPUTED_VALUE"""),"Journal of Computing in Higher Education")</f>
        <v>Journal of Computing in Higher Education</v>
      </c>
      <c r="F1182" s="1" t="str">
        <f ca="1">IFERROR(__xludf.DUMMYFUNCTION("""COMPUTED_VALUE"""),"1867-1233")</f>
        <v>1867-1233</v>
      </c>
      <c r="G1182" s="1" t="str">
        <f ca="1">IFERROR(__xludf.DUMMYFUNCTION("""COMPUTED_VALUE"""),"1042-1726")</f>
        <v>1042-1726</v>
      </c>
      <c r="H1182" s="27" t="str">
        <f ca="1">IFERROR(__xludf.DUMMYFUNCTION("""COMPUTED_VALUE"""),"https://link.springer.com/journal/12528")</f>
        <v>https://link.springer.com/journal/12528</v>
      </c>
      <c r="I1182" s="1" t="str">
        <f ca="1">IFERROR(__xludf.DUMMYFUNCTION("""COMPUTED_VALUE"""),"Springer")</f>
        <v>Springer</v>
      </c>
      <c r="J1182" s="1">
        <f ca="1">IFERROR(__xludf.DUMMYFUNCTION("""COMPUTED_VALUE"""),2000)</f>
        <v>2000</v>
      </c>
      <c r="K1182" s="1" t="str">
        <f ca="1">IFERROR(__xludf.DUMMYFUNCTION("""COMPUTED_VALUE"""),"Education")</f>
        <v>Education</v>
      </c>
      <c r="L1182" s="1" t="str">
        <f ca="1">IFERROR(__xludf.DUMMYFUNCTION("""COMPUTED_VALUE"""),"〇")</f>
        <v>〇</v>
      </c>
      <c r="M1182" s="1"/>
      <c r="N1182" s="1" t="str">
        <f ca="1">IFERROR(__xludf.DUMMYFUNCTION("""COMPUTED_VALUE"""),"TO9")</f>
        <v>TO9</v>
      </c>
      <c r="O1182" s="1"/>
      <c r="P1182" s="1"/>
    </row>
    <row r="1183" spans="1:16" ht="14.25" customHeight="1" x14ac:dyDescent="0.25">
      <c r="A1183" s="1"/>
      <c r="B1183" s="1">
        <f ca="1"/>
        <v>1171</v>
      </c>
      <c r="C1183" s="1">
        <f ca="1">IFERROR(__xludf.DUMMYFUNCTION("""COMPUTED_VALUE"""),2023)</f>
        <v>2023</v>
      </c>
      <c r="D1183" s="1">
        <f ca="1">IFERROR(__xludf.DUMMYFUNCTION("""COMPUTED_VALUE"""),10603)</f>
        <v>10603</v>
      </c>
      <c r="E1183" s="1" t="str">
        <f ca="1">IFERROR(__xludf.DUMMYFUNCTION("""COMPUTED_VALUE"""),"Journal of Consumer Policy")</f>
        <v>Journal of Consumer Policy</v>
      </c>
      <c r="F1183" s="1" t="str">
        <f ca="1">IFERROR(__xludf.DUMMYFUNCTION("""COMPUTED_VALUE"""),"1573-0700")</f>
        <v>1573-0700</v>
      </c>
      <c r="G1183" s="1" t="str">
        <f ca="1">IFERROR(__xludf.DUMMYFUNCTION("""COMPUTED_VALUE"""),"0168-7034")</f>
        <v>0168-7034</v>
      </c>
      <c r="H1183" s="27" t="str">
        <f ca="1">IFERROR(__xludf.DUMMYFUNCTION("""COMPUTED_VALUE"""),"https://link.springer.com/journal/10603")</f>
        <v>https://link.springer.com/journal/10603</v>
      </c>
      <c r="I1183" s="1" t="str">
        <f ca="1">IFERROR(__xludf.DUMMYFUNCTION("""COMPUTED_VALUE"""),"Springer")</f>
        <v>Springer</v>
      </c>
      <c r="J1183" s="1">
        <f ca="1">IFERROR(__xludf.DUMMYFUNCTION("""COMPUTED_VALUE"""),2000)</f>
        <v>2000</v>
      </c>
      <c r="K1183" s="1" t="str">
        <f ca="1">IFERROR(__xludf.DUMMYFUNCTION("""COMPUTED_VALUE"""),"Social Sciences")</f>
        <v>Social Sciences</v>
      </c>
      <c r="L1183" s="1" t="str">
        <f ca="1">IFERROR(__xludf.DUMMYFUNCTION("""COMPUTED_VALUE"""),"〇")</f>
        <v>〇</v>
      </c>
      <c r="M1183" s="1" t="str">
        <f ca="1">IFERROR(__xludf.DUMMYFUNCTION("""COMPUTED_VALUE"""),"〇")</f>
        <v>〇</v>
      </c>
      <c r="N1183" s="1"/>
      <c r="O1183" s="1"/>
      <c r="P1183" s="1"/>
    </row>
    <row r="1184" spans="1:16" ht="14.25" customHeight="1" x14ac:dyDescent="0.25">
      <c r="A1184" s="1"/>
      <c r="B1184" s="1">
        <f ca="1"/>
        <v>1172</v>
      </c>
      <c r="C1184" s="1">
        <f ca="1">IFERROR(__xludf.DUMMYFUNCTION("""COMPUTED_VALUE"""),2023)</f>
        <v>2023</v>
      </c>
      <c r="D1184" s="1">
        <f ca="1">IFERROR(__xludf.DUMMYFUNCTION("""COMPUTED_VALUE"""),3)</f>
        <v>3</v>
      </c>
      <c r="E1184" s="1" t="str">
        <f ca="1">IFERROR(__xludf.DUMMYFUNCTION("""COMPUTED_VALUE"""),"Journal of Consumer Protection and Food Safety")</f>
        <v>Journal of Consumer Protection and Food Safety</v>
      </c>
      <c r="F1184" s="1" t="str">
        <f ca="1">IFERROR(__xludf.DUMMYFUNCTION("""COMPUTED_VALUE"""),"1661-5867")</f>
        <v>1661-5867</v>
      </c>
      <c r="G1184" s="1" t="str">
        <f ca="1">IFERROR(__xludf.DUMMYFUNCTION("""COMPUTED_VALUE"""),"1661-5751")</f>
        <v>1661-5751</v>
      </c>
      <c r="H1184" s="27" t="str">
        <f ca="1">IFERROR(__xludf.DUMMYFUNCTION("""COMPUTED_VALUE"""),"https://link.springer.com/journal/3")</f>
        <v>https://link.springer.com/journal/3</v>
      </c>
      <c r="I1184" s="1" t="str">
        <f ca="1">IFERROR(__xludf.DUMMYFUNCTION("""COMPUTED_VALUE"""),"Springer")</f>
        <v>Springer</v>
      </c>
      <c r="J1184" s="1">
        <f ca="1">IFERROR(__xludf.DUMMYFUNCTION("""COMPUTED_VALUE"""),2006)</f>
        <v>2006</v>
      </c>
      <c r="K1184" s="1" t="str">
        <f ca="1">IFERROR(__xludf.DUMMYFUNCTION("""COMPUTED_VALUE"""),"Biomedical and Life Sciences")</f>
        <v>Biomedical and Life Sciences</v>
      </c>
      <c r="L1184" s="1" t="str">
        <f ca="1">IFERROR(__xludf.DUMMYFUNCTION("""COMPUTED_VALUE"""),"〇")</f>
        <v>〇</v>
      </c>
      <c r="M1184" s="1" t="str">
        <f ca="1">IFERROR(__xludf.DUMMYFUNCTION("""COMPUTED_VALUE"""),"〇")</f>
        <v>〇</v>
      </c>
      <c r="N1184" s="1"/>
      <c r="O1184" s="1"/>
      <c r="P1184" s="1"/>
    </row>
    <row r="1185" spans="1:16" ht="14.25" customHeight="1" x14ac:dyDescent="0.25">
      <c r="A1185" s="1"/>
      <c r="B1185" s="1">
        <f ca="1"/>
        <v>1173</v>
      </c>
      <c r="C1185" s="1">
        <f ca="1">IFERROR(__xludf.DUMMYFUNCTION("""COMPUTED_VALUE"""),2023)</f>
        <v>2023</v>
      </c>
      <c r="D1185" s="1">
        <f ca="1">IFERROR(__xludf.DUMMYFUNCTION("""COMPUTED_VALUE"""),11957)</f>
        <v>11957</v>
      </c>
      <c r="E1185" s="1" t="str">
        <f ca="1">IFERROR(__xludf.DUMMYFUNCTION("""COMPUTED_VALUE"""),"Journal of Contemporary Mathematical Analysis (Armenian Academy of Sciences)")</f>
        <v>Journal of Contemporary Mathematical Analysis (Armenian Academy of Sciences)</v>
      </c>
      <c r="F1185" s="1" t="str">
        <f ca="1">IFERROR(__xludf.DUMMYFUNCTION("""COMPUTED_VALUE"""),"1934-9416")</f>
        <v>1934-9416</v>
      </c>
      <c r="G1185" s="1" t="str">
        <f ca="1">IFERROR(__xludf.DUMMYFUNCTION("""COMPUTED_VALUE"""),"1068-3623")</f>
        <v>1068-3623</v>
      </c>
      <c r="H1185" s="27" t="str">
        <f ca="1">IFERROR(__xludf.DUMMYFUNCTION("""COMPUTED_VALUE"""),"https://link.springer.com/journal/11957")</f>
        <v>https://link.springer.com/journal/11957</v>
      </c>
      <c r="I1185" s="1" t="str">
        <f ca="1">IFERROR(__xludf.DUMMYFUNCTION("""COMPUTED_VALUE"""),"Pleiades Publishing")</f>
        <v>Pleiades Publishing</v>
      </c>
      <c r="J1185" s="1">
        <f ca="1">IFERROR(__xludf.DUMMYFUNCTION("""COMPUTED_VALUE"""),2007)</f>
        <v>2007</v>
      </c>
      <c r="K1185" s="1" t="str">
        <f ca="1">IFERROR(__xludf.DUMMYFUNCTION("""COMPUTED_VALUE"""),"Mathematics and Statistics")</f>
        <v>Mathematics and Statistics</v>
      </c>
      <c r="L1185" s="1" t="str">
        <f ca="1">IFERROR(__xludf.DUMMYFUNCTION("""COMPUTED_VALUE"""),"〇")</f>
        <v>〇</v>
      </c>
      <c r="M1185" s="1" t="str">
        <f ca="1">IFERROR(__xludf.DUMMYFUNCTION("""COMPUTED_VALUE"""),"〇")</f>
        <v>〇</v>
      </c>
      <c r="N1185" s="1" t="str">
        <f ca="1">IFERROR(__xludf.DUMMYFUNCTION("""COMPUTED_VALUE"""),"TO7")</f>
        <v>TO7</v>
      </c>
      <c r="O1185" s="1"/>
      <c r="P1185" s="1"/>
    </row>
    <row r="1186" spans="1:16" ht="14.25" customHeight="1" x14ac:dyDescent="0.25">
      <c r="A1186" s="1"/>
      <c r="B1186" s="1">
        <f ca="1"/>
        <v>1174</v>
      </c>
      <c r="C1186" s="1">
        <f ca="1">IFERROR(__xludf.DUMMYFUNCTION("""COMPUTED_VALUE"""),2023)</f>
        <v>2023</v>
      </c>
      <c r="D1186" s="1">
        <f ca="1">IFERROR(__xludf.DUMMYFUNCTION("""COMPUTED_VALUE"""),11958)</f>
        <v>11958</v>
      </c>
      <c r="E1186" s="1" t="str">
        <f ca="1">IFERROR(__xludf.DUMMYFUNCTION("""COMPUTED_VALUE"""),"Journal of Contemporary Physics (Armenian Academy of Sciences)")</f>
        <v>Journal of Contemporary Physics (Armenian Academy of Sciences)</v>
      </c>
      <c r="F1186" s="1" t="str">
        <f ca="1">IFERROR(__xludf.DUMMYFUNCTION("""COMPUTED_VALUE"""),"1934-9378")</f>
        <v>1934-9378</v>
      </c>
      <c r="G1186" s="1" t="str">
        <f ca="1">IFERROR(__xludf.DUMMYFUNCTION("""COMPUTED_VALUE"""),"1068-3372")</f>
        <v>1068-3372</v>
      </c>
      <c r="H1186" s="27" t="str">
        <f ca="1">IFERROR(__xludf.DUMMYFUNCTION("""COMPUTED_VALUE"""),"https://link.springer.com/journal/11958")</f>
        <v>https://link.springer.com/journal/11958</v>
      </c>
      <c r="I1186" s="1" t="str">
        <f ca="1">IFERROR(__xludf.DUMMYFUNCTION("""COMPUTED_VALUE"""),"Pleiades Publishing")</f>
        <v>Pleiades Publishing</v>
      </c>
      <c r="J1186" s="1">
        <f ca="1">IFERROR(__xludf.DUMMYFUNCTION("""COMPUTED_VALUE"""),2007)</f>
        <v>2007</v>
      </c>
      <c r="K1186" s="1" t="str">
        <f ca="1">IFERROR(__xludf.DUMMYFUNCTION("""COMPUTED_VALUE"""),"Physics and Astronomy")</f>
        <v>Physics and Astronomy</v>
      </c>
      <c r="L1186" s="1" t="str">
        <f ca="1">IFERROR(__xludf.DUMMYFUNCTION("""COMPUTED_VALUE"""),"〇")</f>
        <v>〇</v>
      </c>
      <c r="M1186" s="1" t="str">
        <f ca="1">IFERROR(__xludf.DUMMYFUNCTION("""COMPUTED_VALUE"""),"〇")</f>
        <v>〇</v>
      </c>
      <c r="N1186" s="1" t="str">
        <f ca="1">IFERROR(__xludf.DUMMYFUNCTION("""COMPUTED_VALUE"""),"TO7")</f>
        <v>TO7</v>
      </c>
      <c r="O1186" s="1"/>
      <c r="P1186" s="1"/>
    </row>
    <row r="1187" spans="1:16" ht="14.25" customHeight="1" x14ac:dyDescent="0.25">
      <c r="A1187" s="1"/>
      <c r="B1187" s="1">
        <f ca="1"/>
        <v>1175</v>
      </c>
      <c r="C1187" s="1">
        <f ca="1">IFERROR(__xludf.DUMMYFUNCTION("""COMPUTED_VALUE"""),2023)</f>
        <v>2023</v>
      </c>
      <c r="D1187" s="1">
        <f ca="1">IFERROR(__xludf.DUMMYFUNCTION("""COMPUTED_VALUE"""),10879)</f>
        <v>10879</v>
      </c>
      <c r="E1187" s="1" t="str">
        <f ca="1">IFERROR(__xludf.DUMMYFUNCTION("""COMPUTED_VALUE"""),"Journal of Contemporary Psychotherapy")</f>
        <v>Journal of Contemporary Psychotherapy</v>
      </c>
      <c r="F1187" s="1" t="str">
        <f ca="1">IFERROR(__xludf.DUMMYFUNCTION("""COMPUTED_VALUE"""),"1573-3564")</f>
        <v>1573-3564</v>
      </c>
      <c r="G1187" s="1" t="str">
        <f ca="1">IFERROR(__xludf.DUMMYFUNCTION("""COMPUTED_VALUE"""),"0022-0116")</f>
        <v>0022-0116</v>
      </c>
      <c r="H1187" s="27" t="str">
        <f ca="1">IFERROR(__xludf.DUMMYFUNCTION("""COMPUTED_VALUE"""),"https://link.springer.com/journal/10879")</f>
        <v>https://link.springer.com/journal/10879</v>
      </c>
      <c r="I1187" s="1" t="str">
        <f ca="1">IFERROR(__xludf.DUMMYFUNCTION("""COMPUTED_VALUE"""),"Springer")</f>
        <v>Springer</v>
      </c>
      <c r="J1187" s="1">
        <f ca="1">IFERROR(__xludf.DUMMYFUNCTION("""COMPUTED_VALUE"""),2000)</f>
        <v>2000</v>
      </c>
      <c r="K1187" s="1" t="str">
        <f ca="1">IFERROR(__xludf.DUMMYFUNCTION("""COMPUTED_VALUE"""),"Medicine")</f>
        <v>Medicine</v>
      </c>
      <c r="L1187" s="1" t="str">
        <f ca="1">IFERROR(__xludf.DUMMYFUNCTION("""COMPUTED_VALUE"""),"〇")</f>
        <v>〇</v>
      </c>
      <c r="M1187" s="1" t="str">
        <f ca="1">IFERROR(__xludf.DUMMYFUNCTION("""COMPUTED_VALUE"""),"〇")</f>
        <v>〇</v>
      </c>
      <c r="N1187" s="1"/>
      <c r="O1187" s="1"/>
      <c r="P1187" s="1"/>
    </row>
    <row r="1188" spans="1:16" ht="14.25" customHeight="1" x14ac:dyDescent="0.25">
      <c r="A1188" s="1"/>
      <c r="B1188" s="1">
        <f ca="1"/>
        <v>1176</v>
      </c>
      <c r="C1188" s="1">
        <f ca="1">IFERROR(__xludf.DUMMYFUNCTION("""COMPUTED_VALUE"""),2023)</f>
        <v>2023</v>
      </c>
      <c r="D1188" s="1">
        <f ca="1">IFERROR(__xludf.DUMMYFUNCTION("""COMPUTED_VALUE"""),40313)</f>
        <v>40313</v>
      </c>
      <c r="E1188" s="1" t="str">
        <f ca="1">IFERROR(__xludf.DUMMYFUNCTION("""COMPUTED_VALUE"""),"Journal of Control, Automation and Electrical Systems")</f>
        <v>Journal of Control, Automation and Electrical Systems</v>
      </c>
      <c r="F1188" s="1" t="str">
        <f ca="1">IFERROR(__xludf.DUMMYFUNCTION("""COMPUTED_VALUE"""),"2195-3899")</f>
        <v>2195-3899</v>
      </c>
      <c r="G1188" s="1" t="str">
        <f ca="1">IFERROR(__xludf.DUMMYFUNCTION("""COMPUTED_VALUE"""),"2195-3880")</f>
        <v>2195-3880</v>
      </c>
      <c r="H1188" s="27" t="str">
        <f ca="1">IFERROR(__xludf.DUMMYFUNCTION("""COMPUTED_VALUE"""),"https://link.springer.com/journal/40313")</f>
        <v>https://link.springer.com/journal/40313</v>
      </c>
      <c r="I1188" s="1" t="str">
        <f ca="1">IFERROR(__xludf.DUMMYFUNCTION("""COMPUTED_VALUE"""),"Springer")</f>
        <v>Springer</v>
      </c>
      <c r="J1188" s="1">
        <f ca="1">IFERROR(__xludf.DUMMYFUNCTION("""COMPUTED_VALUE"""),2013)</f>
        <v>2013</v>
      </c>
      <c r="K1188" s="1" t="str">
        <f ca="1">IFERROR(__xludf.DUMMYFUNCTION("""COMPUTED_VALUE"""),"Engineering")</f>
        <v>Engineering</v>
      </c>
      <c r="L1188" s="1" t="str">
        <f ca="1">IFERROR(__xludf.DUMMYFUNCTION("""COMPUTED_VALUE"""),"〇")</f>
        <v>〇</v>
      </c>
      <c r="M1188" s="1"/>
      <c r="N1188" s="1" t="str">
        <f ca="1">IFERROR(__xludf.DUMMYFUNCTION("""COMPUTED_VALUE"""),"TO13")</f>
        <v>TO13</v>
      </c>
      <c r="O1188" s="1"/>
      <c r="P1188" s="1"/>
    </row>
    <row r="1189" spans="1:16" ht="14.25" customHeight="1" x14ac:dyDescent="0.25">
      <c r="A1189" s="1"/>
      <c r="B1189" s="1">
        <f ca="1"/>
        <v>1177</v>
      </c>
      <c r="C1189" s="1">
        <f ca="1">IFERROR(__xludf.DUMMYFUNCTION("""COMPUTED_VALUE"""),2023)</f>
        <v>2023</v>
      </c>
      <c r="D1189" s="1">
        <f ca="1">IFERROR(__xludf.DUMMYFUNCTION("""COMPUTED_VALUE"""),12892)</f>
        <v>12892</v>
      </c>
      <c r="E1189" s="1" t="str">
        <f ca="1">IFERROR(__xludf.DUMMYFUNCTION("""COMPUTED_VALUE"""),"Journal of Crop Science and Biotechnology")</f>
        <v>Journal of Crop Science and Biotechnology</v>
      </c>
      <c r="F1189" s="1" t="str">
        <f ca="1">IFERROR(__xludf.DUMMYFUNCTION("""COMPUTED_VALUE"""),"2005-8276")</f>
        <v>2005-8276</v>
      </c>
      <c r="G1189" s="1"/>
      <c r="H1189" s="27" t="str">
        <f ca="1">IFERROR(__xludf.DUMMYFUNCTION("""COMPUTED_VALUE"""),"https://link.springer.com/journal/12892")</f>
        <v>https://link.springer.com/journal/12892</v>
      </c>
      <c r="I1189" s="1" t="str">
        <f ca="1">IFERROR(__xludf.DUMMYFUNCTION("""COMPUTED_VALUE"""),"Springer")</f>
        <v>Springer</v>
      </c>
      <c r="J1189" s="1">
        <f ca="1">IFERROR(__xludf.DUMMYFUNCTION("""COMPUTED_VALUE"""),2009)</f>
        <v>2009</v>
      </c>
      <c r="K1189" s="1" t="str">
        <f ca="1">IFERROR(__xludf.DUMMYFUNCTION("""COMPUTED_VALUE"""),"Biomedical and Life Sciences")</f>
        <v>Biomedical and Life Sciences</v>
      </c>
      <c r="L1189" s="1"/>
      <c r="M1189" s="1"/>
      <c r="N1189" s="1" t="str">
        <f ca="1">IFERROR(__xludf.DUMMYFUNCTION("""COMPUTED_VALUE"""),"TO9")</f>
        <v>TO9</v>
      </c>
      <c r="O1189" s="1"/>
      <c r="P1189" s="1"/>
    </row>
    <row r="1190" spans="1:16" ht="14.25" customHeight="1" x14ac:dyDescent="0.25">
      <c r="A1190" s="1"/>
      <c r="B1190" s="1">
        <f ca="1"/>
        <v>1178</v>
      </c>
      <c r="C1190" s="1">
        <f ca="1">IFERROR(__xludf.DUMMYFUNCTION("""COMPUTED_VALUE"""),2023)</f>
        <v>2023</v>
      </c>
      <c r="D1190" s="1">
        <f ca="1">IFERROR(__xludf.DUMMYFUNCTION("""COMPUTED_VALUE"""),10823)</f>
        <v>10823</v>
      </c>
      <c r="E1190" s="1" t="str">
        <f ca="1">IFERROR(__xludf.DUMMYFUNCTION("""COMPUTED_VALUE"""),"Journal of Cross-Cultural Gerontology")</f>
        <v>Journal of Cross-Cultural Gerontology</v>
      </c>
      <c r="F1190" s="1" t="str">
        <f ca="1">IFERROR(__xludf.DUMMYFUNCTION("""COMPUTED_VALUE"""),"1573-0719")</f>
        <v>1573-0719</v>
      </c>
      <c r="G1190" s="1" t="str">
        <f ca="1">IFERROR(__xludf.DUMMYFUNCTION("""COMPUTED_VALUE"""),"0169-3816")</f>
        <v>0169-3816</v>
      </c>
      <c r="H1190" s="27" t="str">
        <f ca="1">IFERROR(__xludf.DUMMYFUNCTION("""COMPUTED_VALUE"""),"https://link.springer.com/journal/10823")</f>
        <v>https://link.springer.com/journal/10823</v>
      </c>
      <c r="I1190" s="1" t="str">
        <f ca="1">IFERROR(__xludf.DUMMYFUNCTION("""COMPUTED_VALUE"""),"Springer")</f>
        <v>Springer</v>
      </c>
      <c r="J1190" s="1">
        <f ca="1">IFERROR(__xludf.DUMMYFUNCTION("""COMPUTED_VALUE"""),2000)</f>
        <v>2000</v>
      </c>
      <c r="K1190" s="1" t="str">
        <f ca="1">IFERROR(__xludf.DUMMYFUNCTION("""COMPUTED_VALUE"""),"Social Sciences")</f>
        <v>Social Sciences</v>
      </c>
      <c r="L1190" s="1" t="str">
        <f ca="1">IFERROR(__xludf.DUMMYFUNCTION("""COMPUTED_VALUE"""),"〇")</f>
        <v>〇</v>
      </c>
      <c r="M1190" s="1" t="str">
        <f ca="1">IFERROR(__xludf.DUMMYFUNCTION("""COMPUTED_VALUE"""),"〇")</f>
        <v>〇</v>
      </c>
      <c r="N1190" s="1"/>
      <c r="O1190" s="1"/>
      <c r="P1190" s="1"/>
    </row>
    <row r="1191" spans="1:16" ht="14.25" customHeight="1" x14ac:dyDescent="0.25">
      <c r="A1191" s="1"/>
      <c r="B1191" s="1">
        <f ca="1"/>
        <v>1179</v>
      </c>
      <c r="C1191" s="1">
        <f ca="1">IFERROR(__xludf.DUMMYFUNCTION("""COMPUTED_VALUE"""),2023)</f>
        <v>2023</v>
      </c>
      <c r="D1191" s="1">
        <f ca="1">IFERROR(__xludf.DUMMYFUNCTION("""COMPUTED_VALUE"""),13389)</f>
        <v>13389</v>
      </c>
      <c r="E1191" s="1" t="str">
        <f ca="1">IFERROR(__xludf.DUMMYFUNCTION("""COMPUTED_VALUE"""),"Journal of Cryptographic Engineering")</f>
        <v>Journal of Cryptographic Engineering</v>
      </c>
      <c r="F1191" s="1" t="str">
        <f ca="1">IFERROR(__xludf.DUMMYFUNCTION("""COMPUTED_VALUE"""),"2190-8516")</f>
        <v>2190-8516</v>
      </c>
      <c r="G1191" s="1" t="str">
        <f ca="1">IFERROR(__xludf.DUMMYFUNCTION("""COMPUTED_VALUE"""),"2190-8508")</f>
        <v>2190-8508</v>
      </c>
      <c r="H1191" s="27" t="str">
        <f ca="1">IFERROR(__xludf.DUMMYFUNCTION("""COMPUTED_VALUE"""),"https://link.springer.com/journal/13389")</f>
        <v>https://link.springer.com/journal/13389</v>
      </c>
      <c r="I1191" s="1" t="str">
        <f ca="1">IFERROR(__xludf.DUMMYFUNCTION("""COMPUTED_VALUE"""),"Springer")</f>
        <v>Springer</v>
      </c>
      <c r="J1191" s="1">
        <f ca="1">IFERROR(__xludf.DUMMYFUNCTION("""COMPUTED_VALUE"""),2011)</f>
        <v>2011</v>
      </c>
      <c r="K1191" s="1" t="str">
        <f ca="1">IFERROR(__xludf.DUMMYFUNCTION("""COMPUTED_VALUE"""),"Computer Science")</f>
        <v>Computer Science</v>
      </c>
      <c r="L1191" s="1" t="str">
        <f ca="1">IFERROR(__xludf.DUMMYFUNCTION("""COMPUTED_VALUE"""),"〇")</f>
        <v>〇</v>
      </c>
      <c r="M1191" s="1"/>
      <c r="N1191" s="1" t="str">
        <f ca="1">IFERROR(__xludf.DUMMYFUNCTION("""COMPUTED_VALUE"""),"SNS11")</f>
        <v>SNS11</v>
      </c>
      <c r="O1191" s="1"/>
      <c r="P1191" s="1"/>
    </row>
    <row r="1192" spans="1:16" ht="14.25" customHeight="1" x14ac:dyDescent="0.25">
      <c r="A1192" s="1"/>
      <c r="B1192" s="1">
        <f ca="1"/>
        <v>1180</v>
      </c>
      <c r="C1192" s="1">
        <f ca="1">IFERROR(__xludf.DUMMYFUNCTION("""COMPUTED_VALUE"""),2023)</f>
        <v>2023</v>
      </c>
      <c r="D1192" s="1">
        <f ca="1">IFERROR(__xludf.DUMMYFUNCTION("""COMPUTED_VALUE"""),145)</f>
        <v>145</v>
      </c>
      <c r="E1192" s="1" t="str">
        <f ca="1">IFERROR(__xludf.DUMMYFUNCTION("""COMPUTED_VALUE"""),"Journal of Cryptology")</f>
        <v>Journal of Cryptology</v>
      </c>
      <c r="F1192" s="1" t="str">
        <f ca="1">IFERROR(__xludf.DUMMYFUNCTION("""COMPUTED_VALUE"""),"1432-1378")</f>
        <v>1432-1378</v>
      </c>
      <c r="G1192" s="1" t="str">
        <f ca="1">IFERROR(__xludf.DUMMYFUNCTION("""COMPUTED_VALUE"""),"0933-2790")</f>
        <v>0933-2790</v>
      </c>
      <c r="H1192" s="27" t="str">
        <f ca="1">IFERROR(__xludf.DUMMYFUNCTION("""COMPUTED_VALUE"""),"https://link.springer.com/journal/145")</f>
        <v>https://link.springer.com/journal/145</v>
      </c>
      <c r="I1192" s="1" t="str">
        <f ca="1">IFERROR(__xludf.DUMMYFUNCTION("""COMPUTED_VALUE"""),"Springer")</f>
        <v>Springer</v>
      </c>
      <c r="J1192" s="1">
        <f ca="1">IFERROR(__xludf.DUMMYFUNCTION("""COMPUTED_VALUE"""),2000)</f>
        <v>2000</v>
      </c>
      <c r="K1192" s="1" t="str">
        <f ca="1">IFERROR(__xludf.DUMMYFUNCTION("""COMPUTED_VALUE"""),"Computer Science")</f>
        <v>Computer Science</v>
      </c>
      <c r="L1192" s="1" t="str">
        <f ca="1">IFERROR(__xludf.DUMMYFUNCTION("""COMPUTED_VALUE"""),"〇")</f>
        <v>〇</v>
      </c>
      <c r="M1192" s="1" t="str">
        <f ca="1">IFERROR(__xludf.DUMMYFUNCTION("""COMPUTED_VALUE"""),"〇")</f>
        <v>〇</v>
      </c>
      <c r="N1192" s="1"/>
      <c r="O1192" s="1"/>
      <c r="P1192" s="1"/>
    </row>
    <row r="1193" spans="1:16" ht="14.25" customHeight="1" x14ac:dyDescent="0.25">
      <c r="A1193" s="1"/>
      <c r="B1193" s="1">
        <f ca="1"/>
        <v>1181</v>
      </c>
      <c r="C1193" s="1">
        <f ca="1">IFERROR(__xludf.DUMMYFUNCTION("""COMPUTED_VALUE"""),2023)</f>
        <v>2023</v>
      </c>
      <c r="D1193" s="1">
        <f ca="1">IFERROR(__xludf.DUMMYFUNCTION("""COMPUTED_VALUE"""),41809)</f>
        <v>41809</v>
      </c>
      <c r="E1193" s="1" t="str">
        <f ca="1">IFERROR(__xludf.DUMMYFUNCTION("""COMPUTED_VALUE"""),"Journal of Cultural Cognitive Science")</f>
        <v>Journal of Cultural Cognitive Science</v>
      </c>
      <c r="F1193" s="1" t="str">
        <f ca="1">IFERROR(__xludf.DUMMYFUNCTION("""COMPUTED_VALUE"""),"2520-1018")</f>
        <v>2520-1018</v>
      </c>
      <c r="G1193" s="1" t="str">
        <f ca="1">IFERROR(__xludf.DUMMYFUNCTION("""COMPUTED_VALUE"""),"2520-100X")</f>
        <v>2520-100X</v>
      </c>
      <c r="H1193" s="27" t="str">
        <f ca="1">IFERROR(__xludf.DUMMYFUNCTION("""COMPUTED_VALUE"""),"https://link.springer.com/journal/41809")</f>
        <v>https://link.springer.com/journal/41809</v>
      </c>
      <c r="I1193" s="1" t="str">
        <f ca="1">IFERROR(__xludf.DUMMYFUNCTION("""COMPUTED_VALUE"""),"Springer")</f>
        <v>Springer</v>
      </c>
      <c r="J1193" s="1">
        <f ca="1">IFERROR(__xludf.DUMMYFUNCTION("""COMPUTED_VALUE"""),2017)</f>
        <v>2017</v>
      </c>
      <c r="K1193" s="1" t="str">
        <f ca="1">IFERROR(__xludf.DUMMYFUNCTION("""COMPUTED_VALUE"""),"Behavioral Science and Psychology")</f>
        <v>Behavioral Science and Psychology</v>
      </c>
      <c r="L1193" s="1" t="str">
        <f ca="1">IFERROR(__xludf.DUMMYFUNCTION("""COMPUTED_VALUE"""),"〇")</f>
        <v>〇</v>
      </c>
      <c r="M1193" s="1"/>
      <c r="N1193" s="1" t="str">
        <f ca="1">IFERROR(__xludf.DUMMYFUNCTION("""COMPUTED_VALUE"""),"SNS17")</f>
        <v>SNS17</v>
      </c>
      <c r="O1193" s="1"/>
      <c r="P1193" s="1"/>
    </row>
    <row r="1194" spans="1:16" ht="14.25" customHeight="1" x14ac:dyDescent="0.25">
      <c r="A1194" s="1"/>
      <c r="B1194" s="1">
        <f ca="1"/>
        <v>1182</v>
      </c>
      <c r="C1194" s="1">
        <f ca="1">IFERROR(__xludf.DUMMYFUNCTION("""COMPUTED_VALUE"""),2023)</f>
        <v>2023</v>
      </c>
      <c r="D1194" s="1">
        <f ca="1">IFERROR(__xludf.DUMMYFUNCTION("""COMPUTED_VALUE"""),10824)</f>
        <v>10824</v>
      </c>
      <c r="E1194" s="1" t="str">
        <f ca="1">IFERROR(__xludf.DUMMYFUNCTION("""COMPUTED_VALUE"""),"Journal of Cultural Economics")</f>
        <v>Journal of Cultural Economics</v>
      </c>
      <c r="F1194" s="1" t="str">
        <f ca="1">IFERROR(__xludf.DUMMYFUNCTION("""COMPUTED_VALUE"""),"1573-6997")</f>
        <v>1573-6997</v>
      </c>
      <c r="G1194" s="1" t="str">
        <f ca="1">IFERROR(__xludf.DUMMYFUNCTION("""COMPUTED_VALUE"""),"0885-2545")</f>
        <v>0885-2545</v>
      </c>
      <c r="H1194" s="27" t="str">
        <f ca="1">IFERROR(__xludf.DUMMYFUNCTION("""COMPUTED_VALUE"""),"https://link.springer.com/journal/10824")</f>
        <v>https://link.springer.com/journal/10824</v>
      </c>
      <c r="I1194" s="1" t="str">
        <f ca="1">IFERROR(__xludf.DUMMYFUNCTION("""COMPUTED_VALUE"""),"Springer")</f>
        <v>Springer</v>
      </c>
      <c r="J1194" s="1">
        <f ca="1">IFERROR(__xludf.DUMMYFUNCTION("""COMPUTED_VALUE"""),2000)</f>
        <v>2000</v>
      </c>
      <c r="K1194" s="1" t="str">
        <f ca="1">IFERROR(__xludf.DUMMYFUNCTION("""COMPUTED_VALUE"""),"Economics and Finance")</f>
        <v>Economics and Finance</v>
      </c>
      <c r="L1194" s="1" t="str">
        <f ca="1">IFERROR(__xludf.DUMMYFUNCTION("""COMPUTED_VALUE"""),"〇")</f>
        <v>〇</v>
      </c>
      <c r="M1194" s="1" t="str">
        <f ca="1">IFERROR(__xludf.DUMMYFUNCTION("""COMPUTED_VALUE"""),"〇")</f>
        <v>〇</v>
      </c>
      <c r="N1194" s="1"/>
      <c r="O1194" s="1"/>
      <c r="P1194" s="1"/>
    </row>
    <row r="1195" spans="1:16" ht="14.25" customHeight="1" x14ac:dyDescent="0.25">
      <c r="A1195" s="1"/>
      <c r="B1195" s="1">
        <f ca="1"/>
        <v>1183</v>
      </c>
      <c r="C1195" s="1">
        <f ca="1">IFERROR(__xludf.DUMMYFUNCTION("""COMPUTED_VALUE"""),2023)</f>
        <v>2023</v>
      </c>
      <c r="D1195" s="1">
        <f ca="1">IFERROR(__xludf.DUMMYFUNCTION("""COMPUTED_VALUE"""),42488)</f>
        <v>42488</v>
      </c>
      <c r="E1195" s="1" t="str">
        <f ca="1">IFERROR(__xludf.DUMMYFUNCTION("""COMPUTED_VALUE"""),"Journal of Data, Information and Management")</f>
        <v>Journal of Data, Information and Management</v>
      </c>
      <c r="F1195" s="1" t="str">
        <f ca="1">IFERROR(__xludf.DUMMYFUNCTION("""COMPUTED_VALUE"""),"2524-6364")</f>
        <v>2524-6364</v>
      </c>
      <c r="G1195" s="1" t="str">
        <f ca="1">IFERROR(__xludf.DUMMYFUNCTION("""COMPUTED_VALUE"""),"2524-6356")</f>
        <v>2524-6356</v>
      </c>
      <c r="H1195" s="27" t="str">
        <f ca="1">IFERROR(__xludf.DUMMYFUNCTION("""COMPUTED_VALUE"""),"https://link.springer.com/journal/42488")</f>
        <v>https://link.springer.com/journal/42488</v>
      </c>
      <c r="I1195" s="1" t="str">
        <f ca="1">IFERROR(__xludf.DUMMYFUNCTION("""COMPUTED_VALUE"""),"Springer")</f>
        <v>Springer</v>
      </c>
      <c r="J1195" s="1">
        <f ca="1">IFERROR(__xludf.DUMMYFUNCTION("""COMPUTED_VALUE"""),2019)</f>
        <v>2019</v>
      </c>
      <c r="K1195" s="1" t="str">
        <f ca="1">IFERROR(__xludf.DUMMYFUNCTION("""COMPUTED_VALUE"""),"Engineering")</f>
        <v>Engineering</v>
      </c>
      <c r="L1195" s="1" t="str">
        <f ca="1">IFERROR(__xludf.DUMMYFUNCTION("""COMPUTED_VALUE"""),"〇")</f>
        <v>〇</v>
      </c>
      <c r="M1195" s="1"/>
      <c r="N1195" s="1" t="str">
        <f ca="1">IFERROR(__xludf.DUMMYFUNCTION("""COMPUTED_VALUE"""),"SNS19")</f>
        <v>SNS19</v>
      </c>
      <c r="O1195" s="1"/>
      <c r="P1195" s="1"/>
    </row>
    <row r="1196" spans="1:16" ht="14.25" customHeight="1" x14ac:dyDescent="0.25">
      <c r="A1196" s="1"/>
      <c r="B1196" s="1">
        <f ca="1"/>
        <v>1184</v>
      </c>
      <c r="C1196" s="1">
        <f ca="1">IFERROR(__xludf.DUMMYFUNCTION("""COMPUTED_VALUE"""),2023)</f>
        <v>2023</v>
      </c>
      <c r="D1196" s="1">
        <f ca="1">IFERROR(__xludf.DUMMYFUNCTION("""COMPUTED_VALUE"""),40865)</f>
        <v>40865</v>
      </c>
      <c r="E1196" s="1" t="str">
        <f ca="1">IFERROR(__xludf.DUMMYFUNCTION("""COMPUTED_VALUE"""),"Journal of Developmental and Life-Course Criminology")</f>
        <v>Journal of Developmental and Life-Course Criminology</v>
      </c>
      <c r="F1196" s="1" t="str">
        <f ca="1">IFERROR(__xludf.DUMMYFUNCTION("""COMPUTED_VALUE"""),"2199-465X")</f>
        <v>2199-465X</v>
      </c>
      <c r="G1196" s="1" t="str">
        <f ca="1">IFERROR(__xludf.DUMMYFUNCTION("""COMPUTED_VALUE"""),"2199-4641")</f>
        <v>2199-4641</v>
      </c>
      <c r="H1196" s="27" t="str">
        <f ca="1">IFERROR(__xludf.DUMMYFUNCTION("""COMPUTED_VALUE"""),"https://link.springer.com/journal/40865")</f>
        <v>https://link.springer.com/journal/40865</v>
      </c>
      <c r="I1196" s="1" t="str">
        <f ca="1">IFERROR(__xludf.DUMMYFUNCTION("""COMPUTED_VALUE"""),"Springer")</f>
        <v>Springer</v>
      </c>
      <c r="J1196" s="1">
        <f ca="1">IFERROR(__xludf.DUMMYFUNCTION("""COMPUTED_VALUE"""),2015)</f>
        <v>2015</v>
      </c>
      <c r="K1196" s="1" t="str">
        <f ca="1">IFERROR(__xludf.DUMMYFUNCTION("""COMPUTED_VALUE"""),"Law and Criminology")</f>
        <v>Law and Criminology</v>
      </c>
      <c r="L1196" s="1" t="str">
        <f ca="1">IFERROR(__xludf.DUMMYFUNCTION("""COMPUTED_VALUE"""),"〇")</f>
        <v>〇</v>
      </c>
      <c r="M1196" s="1"/>
      <c r="N1196" s="1" t="str">
        <f ca="1">IFERROR(__xludf.DUMMYFUNCTION("""COMPUTED_VALUE"""),"SNS15")</f>
        <v>SNS15</v>
      </c>
      <c r="O1196" s="1"/>
      <c r="P1196" s="1"/>
    </row>
    <row r="1197" spans="1:16" ht="14.25" customHeight="1" x14ac:dyDescent="0.25">
      <c r="A1197" s="1"/>
      <c r="B1197" s="1">
        <f ca="1"/>
        <v>1185</v>
      </c>
      <c r="C1197" s="1">
        <f ca="1">IFERROR(__xludf.DUMMYFUNCTION("""COMPUTED_VALUE"""),2023)</f>
        <v>2023</v>
      </c>
      <c r="D1197" s="1">
        <f ca="1">IFERROR(__xludf.DUMMYFUNCTION("""COMPUTED_VALUE"""),10882)</f>
        <v>10882</v>
      </c>
      <c r="E1197" s="1" t="str">
        <f ca="1">IFERROR(__xludf.DUMMYFUNCTION("""COMPUTED_VALUE"""),"Journal of Developmental and Physical Disabilities")</f>
        <v>Journal of Developmental and Physical Disabilities</v>
      </c>
      <c r="F1197" s="1" t="str">
        <f ca="1">IFERROR(__xludf.DUMMYFUNCTION("""COMPUTED_VALUE"""),"1573-3580")</f>
        <v>1573-3580</v>
      </c>
      <c r="G1197" s="1" t="str">
        <f ca="1">IFERROR(__xludf.DUMMYFUNCTION("""COMPUTED_VALUE"""),"1056-263X")</f>
        <v>1056-263X</v>
      </c>
      <c r="H1197" s="27" t="str">
        <f ca="1">IFERROR(__xludf.DUMMYFUNCTION("""COMPUTED_VALUE"""),"https://link.springer.com/journal/10882")</f>
        <v>https://link.springer.com/journal/10882</v>
      </c>
      <c r="I1197" s="1" t="str">
        <f ca="1">IFERROR(__xludf.DUMMYFUNCTION("""COMPUTED_VALUE"""),"Springer")</f>
        <v>Springer</v>
      </c>
      <c r="J1197" s="1">
        <f ca="1">IFERROR(__xludf.DUMMYFUNCTION("""COMPUTED_VALUE"""),2000)</f>
        <v>2000</v>
      </c>
      <c r="K1197" s="1" t="str">
        <f ca="1">IFERROR(__xludf.DUMMYFUNCTION("""COMPUTED_VALUE"""),"Behavioral Science and Psychology")</f>
        <v>Behavioral Science and Psychology</v>
      </c>
      <c r="L1197" s="1" t="str">
        <f ca="1">IFERROR(__xludf.DUMMYFUNCTION("""COMPUTED_VALUE"""),"〇")</f>
        <v>〇</v>
      </c>
      <c r="M1197" s="1" t="str">
        <f ca="1">IFERROR(__xludf.DUMMYFUNCTION("""COMPUTED_VALUE"""),"〇")</f>
        <v>〇</v>
      </c>
      <c r="N1197" s="1"/>
      <c r="O1197" s="1"/>
      <c r="P1197" s="1"/>
    </row>
    <row r="1198" spans="1:16" ht="14.25" customHeight="1" x14ac:dyDescent="0.25">
      <c r="A1198" s="1"/>
      <c r="B1198" s="1">
        <f ca="1"/>
        <v>1186</v>
      </c>
      <c r="C1198" s="1">
        <f ca="1">IFERROR(__xludf.DUMMYFUNCTION("""COMPUTED_VALUE"""),2023)</f>
        <v>2023</v>
      </c>
      <c r="D1198" s="1">
        <f ca="1">IFERROR(__xludf.DUMMYFUNCTION("""COMPUTED_VALUE"""),42240)</f>
        <v>42240</v>
      </c>
      <c r="E1198" s="1" t="str">
        <f ca="1">IFERROR(__xludf.DUMMYFUNCTION("""COMPUTED_VALUE"""),"Journal of Dharma Studies")</f>
        <v>Journal of Dharma Studies</v>
      </c>
      <c r="F1198" s="1" t="str">
        <f ca="1">IFERROR(__xludf.DUMMYFUNCTION("""COMPUTED_VALUE"""),"2522-0934")</f>
        <v>2522-0934</v>
      </c>
      <c r="G1198" s="1" t="str">
        <f ca="1">IFERROR(__xludf.DUMMYFUNCTION("""COMPUTED_VALUE"""),"2522-0926")</f>
        <v>2522-0926</v>
      </c>
      <c r="H1198" s="27" t="str">
        <f ca="1">IFERROR(__xludf.DUMMYFUNCTION("""COMPUTED_VALUE"""),"https://link.springer.com/journal/42240")</f>
        <v>https://link.springer.com/journal/42240</v>
      </c>
      <c r="I1198" s="1" t="str">
        <f ca="1">IFERROR(__xludf.DUMMYFUNCTION("""COMPUTED_VALUE"""),"Springer")</f>
        <v>Springer</v>
      </c>
      <c r="J1198" s="1">
        <f ca="1">IFERROR(__xludf.DUMMYFUNCTION("""COMPUTED_VALUE"""),2018)</f>
        <v>2018</v>
      </c>
      <c r="K1198" s="1" t="str">
        <f ca="1">IFERROR(__xludf.DUMMYFUNCTION("""COMPUTED_VALUE"""),"Religion and Philosophy")</f>
        <v>Religion and Philosophy</v>
      </c>
      <c r="L1198" s="1" t="str">
        <f ca="1">IFERROR(__xludf.DUMMYFUNCTION("""COMPUTED_VALUE"""),"〇")</f>
        <v>〇</v>
      </c>
      <c r="M1198" s="1"/>
      <c r="N1198" s="1" t="str">
        <f ca="1">IFERROR(__xludf.DUMMYFUNCTION("""COMPUTED_VALUE"""),"SNS18")</f>
        <v>SNS18</v>
      </c>
      <c r="O1198" s="1"/>
      <c r="P1198" s="1"/>
    </row>
    <row r="1199" spans="1:16" ht="14.25" customHeight="1" x14ac:dyDescent="0.25">
      <c r="A1199" s="1"/>
      <c r="B1199" s="1">
        <f ca="1"/>
        <v>1187</v>
      </c>
      <c r="C1199" s="1">
        <f ca="1">IFERROR(__xludf.DUMMYFUNCTION("""COMPUTED_VALUE"""),2023)</f>
        <v>2023</v>
      </c>
      <c r="D1199" s="1">
        <f ca="1">IFERROR(__xludf.DUMMYFUNCTION("""COMPUTED_VALUE"""),40200)</f>
        <v>40200</v>
      </c>
      <c r="E1199" s="1" t="str">
        <f ca="1">IFERROR(__xludf.DUMMYFUNCTION("""COMPUTED_VALUE"""),"Journal of Diabetes &amp; Metabolic Disorders")</f>
        <v>Journal of Diabetes &amp; Metabolic Disorders</v>
      </c>
      <c r="F1199" s="1" t="str">
        <f ca="1">IFERROR(__xludf.DUMMYFUNCTION("""COMPUTED_VALUE"""),"2251-6581")</f>
        <v>2251-6581</v>
      </c>
      <c r="G1199" s="1"/>
      <c r="H1199" s="27" t="str">
        <f ca="1">IFERROR(__xludf.DUMMYFUNCTION("""COMPUTED_VALUE"""),"https://link.springer.com/journal/40200")</f>
        <v>https://link.springer.com/journal/40200</v>
      </c>
      <c r="I1199" s="1" t="str">
        <f ca="1">IFERROR(__xludf.DUMMYFUNCTION("""COMPUTED_VALUE"""),"Springer")</f>
        <v>Springer</v>
      </c>
      <c r="J1199" s="1">
        <f ca="1">IFERROR(__xludf.DUMMYFUNCTION("""COMPUTED_VALUE"""),2012)</f>
        <v>2012</v>
      </c>
      <c r="K1199" s="1" t="str">
        <f ca="1">IFERROR(__xludf.DUMMYFUNCTION("""COMPUTED_VALUE"""),"Medicine")</f>
        <v>Medicine</v>
      </c>
      <c r="L1199" s="1"/>
      <c r="M1199" s="1"/>
      <c r="N1199" s="1"/>
      <c r="O1199" s="1"/>
      <c r="P1199" s="1"/>
    </row>
    <row r="1200" spans="1:16" ht="14.25" customHeight="1" x14ac:dyDescent="0.25">
      <c r="A1200" s="1"/>
      <c r="B1200" s="1">
        <f ca="1"/>
        <v>1188</v>
      </c>
      <c r="C1200" s="1">
        <f ca="1">IFERROR(__xludf.DUMMYFUNCTION("""COMPUTED_VALUE"""),2023)</f>
        <v>2023</v>
      </c>
      <c r="D1200" s="1">
        <f ca="1">IFERROR(__xludf.DUMMYFUNCTION("""COMPUTED_VALUE"""),10278)</f>
        <v>10278</v>
      </c>
      <c r="E1200" s="1" t="str">
        <f ca="1">IFERROR(__xludf.DUMMYFUNCTION("""COMPUTED_VALUE"""),"Journal of Digital Imaging")</f>
        <v>Journal of Digital Imaging</v>
      </c>
      <c r="F1200" s="1" t="str">
        <f ca="1">IFERROR(__xludf.DUMMYFUNCTION("""COMPUTED_VALUE"""),"1618-727X")</f>
        <v>1618-727X</v>
      </c>
      <c r="G1200" s="1"/>
      <c r="H1200" s="27" t="str">
        <f ca="1">IFERROR(__xludf.DUMMYFUNCTION("""COMPUTED_VALUE"""),"https://link.springer.com/journal/10278")</f>
        <v>https://link.springer.com/journal/10278</v>
      </c>
      <c r="I1200" s="1" t="str">
        <f ca="1">IFERROR(__xludf.DUMMYFUNCTION("""COMPUTED_VALUE"""),"Springer")</f>
        <v>Springer</v>
      </c>
      <c r="J1200" s="1">
        <f ca="1">IFERROR(__xludf.DUMMYFUNCTION("""COMPUTED_VALUE"""),2000)</f>
        <v>2000</v>
      </c>
      <c r="K1200" s="1" t="str">
        <f ca="1">IFERROR(__xludf.DUMMYFUNCTION("""COMPUTED_VALUE"""),"Medicine")</f>
        <v>Medicine</v>
      </c>
      <c r="L1200" s="1"/>
      <c r="M1200" s="1" t="str">
        <f ca="1">IFERROR(__xludf.DUMMYFUNCTION("""COMPUTED_VALUE"""),"〇")</f>
        <v>〇</v>
      </c>
      <c r="N1200" s="1"/>
      <c r="O1200" s="1"/>
      <c r="P1200" s="1"/>
    </row>
    <row r="1201" spans="1:16" ht="14.25" customHeight="1" x14ac:dyDescent="0.25">
      <c r="A1201" s="1"/>
      <c r="B1201" s="1">
        <f ca="1"/>
        <v>1189</v>
      </c>
      <c r="C1201" s="1">
        <f ca="1">IFERROR(__xludf.DUMMYFUNCTION("""COMPUTED_VALUE"""),2023)</f>
        <v>2023</v>
      </c>
      <c r="D1201" s="1">
        <f ca="1">IFERROR(__xludf.DUMMYFUNCTION("""COMPUTED_VALUE"""),40870)</f>
        <v>40870</v>
      </c>
      <c r="E1201" s="1" t="str">
        <f ca="1">IFERROR(__xludf.DUMMYFUNCTION("""COMPUTED_VALUE"""),"Journal of Dynamic Behavior of Materials")</f>
        <v>Journal of Dynamic Behavior of Materials</v>
      </c>
      <c r="F1201" s="1" t="str">
        <f ca="1">IFERROR(__xludf.DUMMYFUNCTION("""COMPUTED_VALUE"""),"2199-7454")</f>
        <v>2199-7454</v>
      </c>
      <c r="G1201" s="1" t="str">
        <f ca="1">IFERROR(__xludf.DUMMYFUNCTION("""COMPUTED_VALUE"""),"2199-7446")</f>
        <v>2199-7446</v>
      </c>
      <c r="H1201" s="27" t="str">
        <f ca="1">IFERROR(__xludf.DUMMYFUNCTION("""COMPUTED_VALUE"""),"https://link.springer.com/journal/40870")</f>
        <v>https://link.springer.com/journal/40870</v>
      </c>
      <c r="I1201" s="1" t="str">
        <f ca="1">IFERROR(__xludf.DUMMYFUNCTION("""COMPUTED_VALUE"""),"Springer")</f>
        <v>Springer</v>
      </c>
      <c r="J1201" s="1">
        <f ca="1">IFERROR(__xludf.DUMMYFUNCTION("""COMPUTED_VALUE"""),2015)</f>
        <v>2015</v>
      </c>
      <c r="K1201" s="1" t="str">
        <f ca="1">IFERROR(__xludf.DUMMYFUNCTION("""COMPUTED_VALUE"""),"Chemistry and Materials Science")</f>
        <v>Chemistry and Materials Science</v>
      </c>
      <c r="L1201" s="1" t="str">
        <f ca="1">IFERROR(__xludf.DUMMYFUNCTION("""COMPUTED_VALUE"""),"〇")</f>
        <v>〇</v>
      </c>
      <c r="M1201" s="1"/>
      <c r="N1201" s="1" t="str">
        <f ca="1">IFERROR(__xludf.DUMMYFUNCTION("""COMPUTED_VALUE"""),"SNS15")</f>
        <v>SNS15</v>
      </c>
      <c r="O1201" s="1"/>
      <c r="P1201" s="1"/>
    </row>
    <row r="1202" spans="1:16" ht="14.25" customHeight="1" x14ac:dyDescent="0.25">
      <c r="A1202" s="1"/>
      <c r="B1202" s="1">
        <f ca="1"/>
        <v>1190</v>
      </c>
      <c r="C1202" s="1">
        <f ca="1">IFERROR(__xludf.DUMMYFUNCTION("""COMPUTED_VALUE"""),2023)</f>
        <v>2023</v>
      </c>
      <c r="D1202" s="1">
        <f ca="1">IFERROR(__xludf.DUMMYFUNCTION("""COMPUTED_VALUE"""),10883)</f>
        <v>10883</v>
      </c>
      <c r="E1202" s="1" t="str">
        <f ca="1">IFERROR(__xludf.DUMMYFUNCTION("""COMPUTED_VALUE"""),"Journal of Dynamical and Control Systems")</f>
        <v>Journal of Dynamical and Control Systems</v>
      </c>
      <c r="F1202" s="1" t="str">
        <f ca="1">IFERROR(__xludf.DUMMYFUNCTION("""COMPUTED_VALUE"""),"1573-8698")</f>
        <v>1573-8698</v>
      </c>
      <c r="G1202" s="1" t="str">
        <f ca="1">IFERROR(__xludf.DUMMYFUNCTION("""COMPUTED_VALUE"""),"1079-2724")</f>
        <v>1079-2724</v>
      </c>
      <c r="H1202" s="27" t="str">
        <f ca="1">IFERROR(__xludf.DUMMYFUNCTION("""COMPUTED_VALUE"""),"https://link.springer.com/journal/10883")</f>
        <v>https://link.springer.com/journal/10883</v>
      </c>
      <c r="I1202" s="1" t="str">
        <f ca="1">IFERROR(__xludf.DUMMYFUNCTION("""COMPUTED_VALUE"""),"Springer")</f>
        <v>Springer</v>
      </c>
      <c r="J1202" s="1">
        <f ca="1">IFERROR(__xludf.DUMMYFUNCTION("""COMPUTED_VALUE"""),2000)</f>
        <v>2000</v>
      </c>
      <c r="K1202" s="1" t="str">
        <f ca="1">IFERROR(__xludf.DUMMYFUNCTION("""COMPUTED_VALUE"""),"Mathematics and Statistics")</f>
        <v>Mathematics and Statistics</v>
      </c>
      <c r="L1202" s="1" t="str">
        <f ca="1">IFERROR(__xludf.DUMMYFUNCTION("""COMPUTED_VALUE"""),"〇")</f>
        <v>〇</v>
      </c>
      <c r="M1202" s="1" t="str">
        <f ca="1">IFERROR(__xludf.DUMMYFUNCTION("""COMPUTED_VALUE"""),"〇")</f>
        <v>〇</v>
      </c>
      <c r="N1202" s="1"/>
      <c r="O1202" s="1"/>
      <c r="P1202" s="1"/>
    </row>
    <row r="1203" spans="1:16" ht="14.25" customHeight="1" x14ac:dyDescent="0.25">
      <c r="A1203" s="1"/>
      <c r="B1203" s="1">
        <f ca="1"/>
        <v>1191</v>
      </c>
      <c r="C1203" s="1">
        <f ca="1">IFERROR(__xludf.DUMMYFUNCTION("""COMPUTED_VALUE"""),2023)</f>
        <v>2023</v>
      </c>
      <c r="D1203" s="1">
        <f ca="1">IFERROR(__xludf.DUMMYFUNCTION("""COMPUTED_VALUE"""),10884)</f>
        <v>10884</v>
      </c>
      <c r="E1203" s="1" t="str">
        <f ca="1">IFERROR(__xludf.DUMMYFUNCTION("""COMPUTED_VALUE"""),"Journal of Dynamics and Differential Equations")</f>
        <v>Journal of Dynamics and Differential Equations</v>
      </c>
      <c r="F1203" s="1" t="str">
        <f ca="1">IFERROR(__xludf.DUMMYFUNCTION("""COMPUTED_VALUE"""),"1572-9222")</f>
        <v>1572-9222</v>
      </c>
      <c r="G1203" s="1" t="str">
        <f ca="1">IFERROR(__xludf.DUMMYFUNCTION("""COMPUTED_VALUE"""),"1040-7294")</f>
        <v>1040-7294</v>
      </c>
      <c r="H1203" s="27" t="str">
        <f ca="1">IFERROR(__xludf.DUMMYFUNCTION("""COMPUTED_VALUE"""),"https://link.springer.com/journal/10884")</f>
        <v>https://link.springer.com/journal/10884</v>
      </c>
      <c r="I1203" s="1" t="str">
        <f ca="1">IFERROR(__xludf.DUMMYFUNCTION("""COMPUTED_VALUE"""),"Springer")</f>
        <v>Springer</v>
      </c>
      <c r="J1203" s="1">
        <f ca="1">IFERROR(__xludf.DUMMYFUNCTION("""COMPUTED_VALUE"""),2000)</f>
        <v>2000</v>
      </c>
      <c r="K1203" s="1" t="str">
        <f ca="1">IFERROR(__xludf.DUMMYFUNCTION("""COMPUTED_VALUE"""),"Mathematics and Statistics")</f>
        <v>Mathematics and Statistics</v>
      </c>
      <c r="L1203" s="1" t="str">
        <f ca="1">IFERROR(__xludf.DUMMYFUNCTION("""COMPUTED_VALUE"""),"〇")</f>
        <v>〇</v>
      </c>
      <c r="M1203" s="1" t="str">
        <f ca="1">IFERROR(__xludf.DUMMYFUNCTION("""COMPUTED_VALUE"""),"〇")</f>
        <v>〇</v>
      </c>
      <c r="N1203" s="1"/>
      <c r="O1203" s="1"/>
      <c r="P1203" s="1"/>
    </row>
    <row r="1204" spans="1:16" ht="14.25" customHeight="1" x14ac:dyDescent="0.25">
      <c r="A1204" s="1"/>
      <c r="B1204" s="1">
        <f ca="1"/>
        <v>1192</v>
      </c>
      <c r="C1204" s="1">
        <f ca="1">IFERROR(__xludf.DUMMYFUNCTION("""COMPUTED_VALUE"""),2023)</f>
        <v>2023</v>
      </c>
      <c r="D1204" s="1">
        <f ca="1">IFERROR(__xludf.DUMMYFUNCTION("""COMPUTED_VALUE"""),12583)</f>
        <v>12583</v>
      </c>
      <c r="E1204" s="1" t="str">
        <f ca="1">IFERROR(__xludf.DUMMYFUNCTION("""COMPUTED_VALUE"""),"Journal of Earth Science")</f>
        <v>Journal of Earth Science</v>
      </c>
      <c r="F1204" s="1" t="str">
        <f ca="1">IFERROR(__xludf.DUMMYFUNCTION("""COMPUTED_VALUE"""),"1867-111X")</f>
        <v>1867-111X</v>
      </c>
      <c r="G1204" s="1" t="str">
        <f ca="1">IFERROR(__xludf.DUMMYFUNCTION("""COMPUTED_VALUE"""),"1674-487X")</f>
        <v>1674-487X</v>
      </c>
      <c r="H1204" s="27" t="str">
        <f ca="1">IFERROR(__xludf.DUMMYFUNCTION("""COMPUTED_VALUE"""),"https://link.springer.com/journal/12583")</f>
        <v>https://link.springer.com/journal/12583</v>
      </c>
      <c r="I1204" s="1" t="str">
        <f ca="1">IFERROR(__xludf.DUMMYFUNCTION("""COMPUTED_VALUE"""),"China University of Geosciences, co-published with Springer")</f>
        <v>China University of Geosciences, co-published with Springer</v>
      </c>
      <c r="J1204" s="1">
        <f ca="1">IFERROR(__xludf.DUMMYFUNCTION("""COMPUTED_VALUE"""),2009)</f>
        <v>2009</v>
      </c>
      <c r="K1204" s="1" t="str">
        <f ca="1">IFERROR(__xludf.DUMMYFUNCTION("""COMPUTED_VALUE"""),"Earth and Environmental Science")</f>
        <v>Earth and Environmental Science</v>
      </c>
      <c r="L1204" s="1" t="str">
        <f ca="1">IFERROR(__xludf.DUMMYFUNCTION("""COMPUTED_VALUE"""),"〇")</f>
        <v>〇</v>
      </c>
      <c r="M1204" s="1"/>
      <c r="N1204" s="1" t="str">
        <f ca="1">IFERROR(__xludf.DUMMYFUNCTION("""COMPUTED_VALUE"""),"TO9")</f>
        <v>TO9</v>
      </c>
      <c r="O1204" s="1"/>
      <c r="P1204" s="1"/>
    </row>
    <row r="1205" spans="1:16" ht="14.25" customHeight="1" x14ac:dyDescent="0.25">
      <c r="A1205" s="1"/>
      <c r="B1205" s="1">
        <f ca="1"/>
        <v>1193</v>
      </c>
      <c r="C1205" s="1">
        <f ca="1">IFERROR(__xludf.DUMMYFUNCTION("""COMPUTED_VALUE"""),2023)</f>
        <v>2023</v>
      </c>
      <c r="D1205" s="1">
        <f ca="1">IFERROR(__xludf.DUMMYFUNCTION("""COMPUTED_VALUE"""),12040)</f>
        <v>12040</v>
      </c>
      <c r="E1205" s="1" t="str">
        <f ca="1">IFERROR(__xludf.DUMMYFUNCTION("""COMPUTED_VALUE"""),"Journal of Earth System Science")</f>
        <v>Journal of Earth System Science</v>
      </c>
      <c r="F1205" s="1" t="str">
        <f ca="1">IFERROR(__xludf.DUMMYFUNCTION("""COMPUTED_VALUE"""),"0973-774X")</f>
        <v>0973-774X</v>
      </c>
      <c r="G1205" s="1"/>
      <c r="H1205" s="27" t="str">
        <f ca="1">IFERROR(__xludf.DUMMYFUNCTION("""COMPUTED_VALUE"""),"https://link.springer.com/journal/12040")</f>
        <v>https://link.springer.com/journal/12040</v>
      </c>
      <c r="I1205" s="1" t="str">
        <f ca="1">IFERROR(__xludf.DUMMYFUNCTION("""COMPUTED_VALUE"""),"Springer")</f>
        <v>Springer</v>
      </c>
      <c r="J1205" s="1">
        <f ca="1">IFERROR(__xludf.DUMMYFUNCTION("""COMPUTED_VALUE"""),2000)</f>
        <v>2000</v>
      </c>
      <c r="K1205" s="1" t="str">
        <f ca="1">IFERROR(__xludf.DUMMYFUNCTION("""COMPUTED_VALUE"""),"Earth and Environmental Science")</f>
        <v>Earth and Environmental Science</v>
      </c>
      <c r="L1205" s="1"/>
      <c r="M1205" s="1" t="str">
        <f ca="1">IFERROR(__xludf.DUMMYFUNCTION("""COMPUTED_VALUE"""),"〇")</f>
        <v>〇</v>
      </c>
      <c r="N1205" s="1" t="str">
        <f ca="1">IFERROR(__xludf.DUMMYFUNCTION("""COMPUTED_VALUE"""),"SNS7")</f>
        <v>SNS7</v>
      </c>
      <c r="O1205" s="1"/>
      <c r="P1205" s="1"/>
    </row>
    <row r="1206" spans="1:16" ht="14.25" customHeight="1" x14ac:dyDescent="0.25">
      <c r="A1206" s="1"/>
      <c r="B1206" s="1">
        <f ca="1"/>
        <v>1194</v>
      </c>
      <c r="C1206" s="1">
        <f ca="1">IFERROR(__xludf.DUMMYFUNCTION("""COMPUTED_VALUE"""),2023)</f>
        <v>2023</v>
      </c>
      <c r="D1206" s="1">
        <f ca="1">IFERROR(__xludf.DUMMYFUNCTION("""COMPUTED_VALUE"""),10831)</f>
        <v>10831</v>
      </c>
      <c r="E1206" s="1" t="str">
        <f ca="1">IFERROR(__xludf.DUMMYFUNCTION("""COMPUTED_VALUE"""),"Journal of East Asian Linguistics")</f>
        <v>Journal of East Asian Linguistics</v>
      </c>
      <c r="F1206" s="1" t="str">
        <f ca="1">IFERROR(__xludf.DUMMYFUNCTION("""COMPUTED_VALUE"""),"1572-8560")</f>
        <v>1572-8560</v>
      </c>
      <c r="G1206" s="1" t="str">
        <f ca="1">IFERROR(__xludf.DUMMYFUNCTION("""COMPUTED_VALUE"""),"0925-8558")</f>
        <v>0925-8558</v>
      </c>
      <c r="H1206" s="27" t="str">
        <f ca="1">IFERROR(__xludf.DUMMYFUNCTION("""COMPUTED_VALUE"""),"https://link.springer.com/journal/10831")</f>
        <v>https://link.springer.com/journal/10831</v>
      </c>
      <c r="I1206" s="1" t="str">
        <f ca="1">IFERROR(__xludf.DUMMYFUNCTION("""COMPUTED_VALUE"""),"Springer")</f>
        <v>Springer</v>
      </c>
      <c r="J1206" s="1">
        <f ca="1">IFERROR(__xludf.DUMMYFUNCTION("""COMPUTED_VALUE"""),2000)</f>
        <v>2000</v>
      </c>
      <c r="K1206" s="1" t="str">
        <f ca="1">IFERROR(__xludf.DUMMYFUNCTION("""COMPUTED_VALUE"""),"Social Sciences")</f>
        <v>Social Sciences</v>
      </c>
      <c r="L1206" s="1" t="str">
        <f ca="1">IFERROR(__xludf.DUMMYFUNCTION("""COMPUTED_VALUE"""),"〇")</f>
        <v>〇</v>
      </c>
      <c r="M1206" s="1" t="str">
        <f ca="1">IFERROR(__xludf.DUMMYFUNCTION("""COMPUTED_VALUE"""),"〇")</f>
        <v>〇</v>
      </c>
      <c r="N1206" s="1"/>
      <c r="O1206" s="1"/>
      <c r="P1206" s="1"/>
    </row>
    <row r="1207" spans="1:16" ht="14.25" customHeight="1" x14ac:dyDescent="0.25">
      <c r="A1207" s="1"/>
      <c r="B1207" s="1">
        <f ca="1"/>
        <v>1195</v>
      </c>
      <c r="C1207" s="1">
        <f ca="1">IFERROR(__xludf.DUMMYFUNCTION("""COMPUTED_VALUE"""),2023)</f>
        <v>2023</v>
      </c>
      <c r="D1207" s="1">
        <f ca="1">IFERROR(__xludf.DUMMYFUNCTION("""COMPUTED_VALUE"""),12574)</f>
        <v>12574</v>
      </c>
      <c r="E1207" s="1" t="str">
        <f ca="1">IFERROR(__xludf.DUMMYFUNCTION("""COMPUTED_VALUE"""),"Journal of Echocardiography")</f>
        <v>Journal of Echocardiography</v>
      </c>
      <c r="F1207" s="1" t="str">
        <f ca="1">IFERROR(__xludf.DUMMYFUNCTION("""COMPUTED_VALUE"""),"1880-344X")</f>
        <v>1880-344X</v>
      </c>
      <c r="G1207" s="1" t="str">
        <f ca="1">IFERROR(__xludf.DUMMYFUNCTION("""COMPUTED_VALUE"""),"1349-0222")</f>
        <v>1349-0222</v>
      </c>
      <c r="H1207" s="27" t="str">
        <f ca="1">IFERROR(__xludf.DUMMYFUNCTION("""COMPUTED_VALUE"""),"https://link.springer.com/journal/12574")</f>
        <v>https://link.springer.com/journal/12574</v>
      </c>
      <c r="I1207" s="1" t="str">
        <f ca="1">IFERROR(__xludf.DUMMYFUNCTION("""COMPUTED_VALUE"""),"Springer")</f>
        <v>Springer</v>
      </c>
      <c r="J1207" s="1">
        <f ca="1">IFERROR(__xludf.DUMMYFUNCTION("""COMPUTED_VALUE"""),2009)</f>
        <v>2009</v>
      </c>
      <c r="K1207" s="1" t="str">
        <f ca="1">IFERROR(__xludf.DUMMYFUNCTION("""COMPUTED_VALUE"""),"Medicine")</f>
        <v>Medicine</v>
      </c>
      <c r="L1207" s="1" t="str">
        <f ca="1">IFERROR(__xludf.DUMMYFUNCTION("""COMPUTED_VALUE"""),"〇")</f>
        <v>〇</v>
      </c>
      <c r="M1207" s="1" t="str">
        <f ca="1">IFERROR(__xludf.DUMMYFUNCTION("""COMPUTED_VALUE"""),"〇")</f>
        <v>〇</v>
      </c>
      <c r="N1207" s="1" t="str">
        <f ca="1">IFERROR(__xludf.DUMMYFUNCTION("""COMPUTED_VALUE"""),"TO9")</f>
        <v>TO9</v>
      </c>
      <c r="O1207" s="1"/>
      <c r="P1207" s="1"/>
    </row>
    <row r="1208" spans="1:16" ht="14.25" customHeight="1" x14ac:dyDescent="0.25">
      <c r="A1208" s="1"/>
      <c r="B1208" s="1">
        <f ca="1"/>
        <v>1196</v>
      </c>
      <c r="C1208" s="1">
        <f ca="1">IFERROR(__xludf.DUMMYFUNCTION("""COMPUTED_VALUE"""),2023)</f>
        <v>2023</v>
      </c>
      <c r="D1208" s="1">
        <f ca="1">IFERROR(__xludf.DUMMYFUNCTION("""COMPUTED_VALUE"""),10887)</f>
        <v>10887</v>
      </c>
      <c r="E1208" s="1" t="str">
        <f ca="1">IFERROR(__xludf.DUMMYFUNCTION("""COMPUTED_VALUE"""),"Journal of Economic Growth")</f>
        <v>Journal of Economic Growth</v>
      </c>
      <c r="F1208" s="1" t="str">
        <f ca="1">IFERROR(__xludf.DUMMYFUNCTION("""COMPUTED_VALUE"""),"1573-7020")</f>
        <v>1573-7020</v>
      </c>
      <c r="G1208" s="1" t="str">
        <f ca="1">IFERROR(__xludf.DUMMYFUNCTION("""COMPUTED_VALUE"""),"1381-4338")</f>
        <v>1381-4338</v>
      </c>
      <c r="H1208" s="27" t="str">
        <f ca="1">IFERROR(__xludf.DUMMYFUNCTION("""COMPUTED_VALUE"""),"https://link.springer.com/journal/10887")</f>
        <v>https://link.springer.com/journal/10887</v>
      </c>
      <c r="I1208" s="1" t="str">
        <f ca="1">IFERROR(__xludf.DUMMYFUNCTION("""COMPUTED_VALUE"""),"Springer")</f>
        <v>Springer</v>
      </c>
      <c r="J1208" s="1">
        <f ca="1">IFERROR(__xludf.DUMMYFUNCTION("""COMPUTED_VALUE"""),2000)</f>
        <v>2000</v>
      </c>
      <c r="K1208" s="1" t="str">
        <f ca="1">IFERROR(__xludf.DUMMYFUNCTION("""COMPUTED_VALUE"""),"Economics and Finance")</f>
        <v>Economics and Finance</v>
      </c>
      <c r="L1208" s="1" t="str">
        <f ca="1">IFERROR(__xludf.DUMMYFUNCTION("""COMPUTED_VALUE"""),"〇")</f>
        <v>〇</v>
      </c>
      <c r="M1208" s="1" t="str">
        <f ca="1">IFERROR(__xludf.DUMMYFUNCTION("""COMPUTED_VALUE"""),"〇")</f>
        <v>〇</v>
      </c>
      <c r="N1208" s="1"/>
      <c r="O1208" s="1"/>
      <c r="P1208" s="1"/>
    </row>
    <row r="1209" spans="1:16" ht="14.25" customHeight="1" x14ac:dyDescent="0.25">
      <c r="A1209" s="1"/>
      <c r="B1209" s="1">
        <f ca="1"/>
        <v>1197</v>
      </c>
      <c r="C1209" s="1">
        <f ca="1">IFERROR(__xludf.DUMMYFUNCTION("""COMPUTED_VALUE"""),2023)</f>
        <v>2023</v>
      </c>
      <c r="D1209" s="1">
        <f ca="1">IFERROR(__xludf.DUMMYFUNCTION("""COMPUTED_VALUE"""),11403)</f>
        <v>11403</v>
      </c>
      <c r="E1209" s="1" t="str">
        <f ca="1">IFERROR(__xludf.DUMMYFUNCTION("""COMPUTED_VALUE"""),"Journal of Economic Interaction and Coordination")</f>
        <v>Journal of Economic Interaction and Coordination</v>
      </c>
      <c r="F1209" s="1" t="str">
        <f ca="1">IFERROR(__xludf.DUMMYFUNCTION("""COMPUTED_VALUE"""),"1860-7128")</f>
        <v>1860-7128</v>
      </c>
      <c r="G1209" s="1" t="str">
        <f ca="1">IFERROR(__xludf.DUMMYFUNCTION("""COMPUTED_VALUE"""),"1860-711X")</f>
        <v>1860-711X</v>
      </c>
      <c r="H1209" s="27" t="str">
        <f ca="1">IFERROR(__xludf.DUMMYFUNCTION("""COMPUTED_VALUE"""),"https://link.springer.com/journal/11403")</f>
        <v>https://link.springer.com/journal/11403</v>
      </c>
      <c r="I1209" s="1" t="str">
        <f ca="1">IFERROR(__xludf.DUMMYFUNCTION("""COMPUTED_VALUE"""),"Springer")</f>
        <v>Springer</v>
      </c>
      <c r="J1209" s="1">
        <f ca="1">IFERROR(__xludf.DUMMYFUNCTION("""COMPUTED_VALUE"""),2006)</f>
        <v>2006</v>
      </c>
      <c r="K1209" s="1" t="str">
        <f ca="1">IFERROR(__xludf.DUMMYFUNCTION("""COMPUTED_VALUE"""),"Economics and Finance")</f>
        <v>Economics and Finance</v>
      </c>
      <c r="L1209" s="1" t="str">
        <f ca="1">IFERROR(__xludf.DUMMYFUNCTION("""COMPUTED_VALUE"""),"〇")</f>
        <v>〇</v>
      </c>
      <c r="M1209" s="1" t="str">
        <f ca="1">IFERROR(__xludf.DUMMYFUNCTION("""COMPUTED_VALUE"""),"〇")</f>
        <v>〇</v>
      </c>
      <c r="N1209" s="1"/>
      <c r="O1209" s="1"/>
      <c r="P1209" s="1"/>
    </row>
    <row r="1210" spans="1:16" ht="14.25" customHeight="1" x14ac:dyDescent="0.25">
      <c r="A1210" s="1"/>
      <c r="B1210" s="1">
        <f ca="1"/>
        <v>1198</v>
      </c>
      <c r="C1210" s="1">
        <f ca="1">IFERROR(__xludf.DUMMYFUNCTION("""COMPUTED_VALUE"""),2023)</f>
        <v>2023</v>
      </c>
      <c r="D1210" s="1">
        <f ca="1">IFERROR(__xludf.DUMMYFUNCTION("""COMPUTED_VALUE"""),712)</f>
        <v>712</v>
      </c>
      <c r="E1210" s="1" t="str">
        <f ca="1">IFERROR(__xludf.DUMMYFUNCTION("""COMPUTED_VALUE"""),"Journal of Economics")</f>
        <v>Journal of Economics</v>
      </c>
      <c r="F1210" s="1" t="str">
        <f ca="1">IFERROR(__xludf.DUMMYFUNCTION("""COMPUTED_VALUE"""),"1617-7134")</f>
        <v>1617-7134</v>
      </c>
      <c r="G1210" s="1" t="str">
        <f ca="1">IFERROR(__xludf.DUMMYFUNCTION("""COMPUTED_VALUE"""),"0931-8658")</f>
        <v>0931-8658</v>
      </c>
      <c r="H1210" s="27" t="str">
        <f ca="1">IFERROR(__xludf.DUMMYFUNCTION("""COMPUTED_VALUE"""),"https://link.springer.com/journal/712")</f>
        <v>https://link.springer.com/journal/712</v>
      </c>
      <c r="I1210" s="1" t="str">
        <f ca="1">IFERROR(__xludf.DUMMYFUNCTION("""COMPUTED_VALUE"""),"Springer")</f>
        <v>Springer</v>
      </c>
      <c r="J1210" s="1">
        <f ca="1">IFERROR(__xludf.DUMMYFUNCTION("""COMPUTED_VALUE"""),2000)</f>
        <v>2000</v>
      </c>
      <c r="K1210" s="1" t="str">
        <f ca="1">IFERROR(__xludf.DUMMYFUNCTION("""COMPUTED_VALUE"""),"Economics and Finance")</f>
        <v>Economics and Finance</v>
      </c>
      <c r="L1210" s="1" t="str">
        <f ca="1">IFERROR(__xludf.DUMMYFUNCTION("""COMPUTED_VALUE"""),"〇")</f>
        <v>〇</v>
      </c>
      <c r="M1210" s="1" t="str">
        <f ca="1">IFERROR(__xludf.DUMMYFUNCTION("""COMPUTED_VALUE"""),"〇")</f>
        <v>〇</v>
      </c>
      <c r="N1210" s="1"/>
      <c r="O1210" s="1"/>
      <c r="P1210" s="1"/>
    </row>
    <row r="1211" spans="1:16" ht="14.25" customHeight="1" x14ac:dyDescent="0.25">
      <c r="A1211" s="1"/>
      <c r="B1211" s="1">
        <f ca="1"/>
        <v>1199</v>
      </c>
      <c r="C1211" s="1">
        <f ca="1">IFERROR(__xludf.DUMMYFUNCTION("""COMPUTED_VALUE"""),2023)</f>
        <v>2023</v>
      </c>
      <c r="D1211" s="1">
        <f ca="1">IFERROR(__xludf.DUMMYFUNCTION("""COMPUTED_VALUE"""),12197)</f>
        <v>12197</v>
      </c>
      <c r="E1211" s="1" t="str">
        <f ca="1">IFERROR(__xludf.DUMMYFUNCTION("""COMPUTED_VALUE"""),"Journal of Economics and Finance")</f>
        <v>Journal of Economics and Finance</v>
      </c>
      <c r="F1211" s="1" t="str">
        <f ca="1">IFERROR(__xludf.DUMMYFUNCTION("""COMPUTED_VALUE"""),"1938-9744")</f>
        <v>1938-9744</v>
      </c>
      <c r="G1211" s="1" t="str">
        <f ca="1">IFERROR(__xludf.DUMMYFUNCTION("""COMPUTED_VALUE"""),"1055-0925")</f>
        <v>1055-0925</v>
      </c>
      <c r="H1211" s="27" t="str">
        <f ca="1">IFERROR(__xludf.DUMMYFUNCTION("""COMPUTED_VALUE"""),"https://link.springer.com/journal/12197")</f>
        <v>https://link.springer.com/journal/12197</v>
      </c>
      <c r="I1211" s="1" t="str">
        <f ca="1">IFERROR(__xludf.DUMMYFUNCTION("""COMPUTED_VALUE"""),"Springer")</f>
        <v>Springer</v>
      </c>
      <c r="J1211" s="1">
        <f ca="1">IFERROR(__xludf.DUMMYFUNCTION("""COMPUTED_VALUE"""),2000)</f>
        <v>2000</v>
      </c>
      <c r="K1211" s="1" t="str">
        <f ca="1">IFERROR(__xludf.DUMMYFUNCTION("""COMPUTED_VALUE"""),"Economics and Finance")</f>
        <v>Economics and Finance</v>
      </c>
      <c r="L1211" s="1" t="str">
        <f ca="1">IFERROR(__xludf.DUMMYFUNCTION("""COMPUTED_VALUE"""),"〇")</f>
        <v>〇</v>
      </c>
      <c r="M1211" s="1" t="str">
        <f ca="1">IFERROR(__xludf.DUMMYFUNCTION("""COMPUTED_VALUE"""),"〇")</f>
        <v>〇</v>
      </c>
      <c r="N1211" s="1" t="str">
        <f ca="1">IFERROR(__xludf.DUMMYFUNCTION("""COMPUTED_VALUE"""),"TO8")</f>
        <v>TO8</v>
      </c>
      <c r="O1211" s="1"/>
      <c r="P1211" s="1"/>
    </row>
    <row r="1212" spans="1:16" ht="14.25" customHeight="1" x14ac:dyDescent="0.25">
      <c r="A1212" s="1"/>
      <c r="B1212" s="1">
        <f ca="1"/>
        <v>1200</v>
      </c>
      <c r="C1212" s="1">
        <f ca="1">IFERROR(__xludf.DUMMYFUNCTION("""COMPUTED_VALUE"""),2023)</f>
        <v>2023</v>
      </c>
      <c r="D1212" s="1">
        <f ca="1">IFERROR(__xludf.DUMMYFUNCTION("""COMPUTED_VALUE"""),41996)</f>
        <v>41996</v>
      </c>
      <c r="E1212" s="1" t="str">
        <f ca="1">IFERROR(__xludf.DUMMYFUNCTION("""COMPUTED_VALUE"""),"Journal of Economics, Race, and Policy")</f>
        <v>Journal of Economics, Race, and Policy</v>
      </c>
      <c r="F1212" s="1" t="str">
        <f ca="1">IFERROR(__xludf.DUMMYFUNCTION("""COMPUTED_VALUE"""),"2520-842X")</f>
        <v>2520-842X</v>
      </c>
      <c r="G1212" s="1" t="str">
        <f ca="1">IFERROR(__xludf.DUMMYFUNCTION("""COMPUTED_VALUE"""),"2520-8411")</f>
        <v>2520-8411</v>
      </c>
      <c r="H1212" s="27" t="str">
        <f ca="1">IFERROR(__xludf.DUMMYFUNCTION("""COMPUTED_VALUE"""),"https://link.springer.com/journal/41996")</f>
        <v>https://link.springer.com/journal/41996</v>
      </c>
      <c r="I1212" s="1" t="str">
        <f ca="1">IFERROR(__xludf.DUMMYFUNCTION("""COMPUTED_VALUE"""),"Springer")</f>
        <v>Springer</v>
      </c>
      <c r="J1212" s="1">
        <f ca="1">IFERROR(__xludf.DUMMYFUNCTION("""COMPUTED_VALUE"""),2018)</f>
        <v>2018</v>
      </c>
      <c r="K1212" s="1" t="str">
        <f ca="1">IFERROR(__xludf.DUMMYFUNCTION("""COMPUTED_VALUE"""),"Economics and Finance")</f>
        <v>Economics and Finance</v>
      </c>
      <c r="L1212" s="1" t="str">
        <f ca="1">IFERROR(__xludf.DUMMYFUNCTION("""COMPUTED_VALUE"""),"〇")</f>
        <v>〇</v>
      </c>
      <c r="M1212" s="1"/>
      <c r="N1212" s="1" t="str">
        <f ca="1">IFERROR(__xludf.DUMMYFUNCTION("""COMPUTED_VALUE"""),"SNS18")</f>
        <v>SNS18</v>
      </c>
      <c r="O1212" s="1"/>
      <c r="P1212" s="1"/>
    </row>
    <row r="1213" spans="1:16" ht="14.25" customHeight="1" x14ac:dyDescent="0.25">
      <c r="A1213" s="1"/>
      <c r="B1213" s="1">
        <f ca="1"/>
        <v>1201</v>
      </c>
      <c r="C1213" s="1">
        <f ca="1">IFERROR(__xludf.DUMMYFUNCTION("""COMPUTED_VALUE"""),2023)</f>
        <v>2023</v>
      </c>
      <c r="D1213" s="1">
        <f ca="1">IFERROR(__xludf.DUMMYFUNCTION("""COMPUTED_VALUE"""),10833)</f>
        <v>10833</v>
      </c>
      <c r="E1213" s="1" t="str">
        <f ca="1">IFERROR(__xludf.DUMMYFUNCTION("""COMPUTED_VALUE"""),"Journal of Educational Change")</f>
        <v>Journal of Educational Change</v>
      </c>
      <c r="F1213" s="1" t="str">
        <f ca="1">IFERROR(__xludf.DUMMYFUNCTION("""COMPUTED_VALUE"""),"1573-1812")</f>
        <v>1573-1812</v>
      </c>
      <c r="G1213" s="1" t="str">
        <f ca="1">IFERROR(__xludf.DUMMYFUNCTION("""COMPUTED_VALUE"""),"1389-2843")</f>
        <v>1389-2843</v>
      </c>
      <c r="H1213" s="27" t="str">
        <f ca="1">IFERROR(__xludf.DUMMYFUNCTION("""COMPUTED_VALUE"""),"https://link.springer.com/journal/10833")</f>
        <v>https://link.springer.com/journal/10833</v>
      </c>
      <c r="I1213" s="1" t="str">
        <f ca="1">IFERROR(__xludf.DUMMYFUNCTION("""COMPUTED_VALUE"""),"Springer")</f>
        <v>Springer</v>
      </c>
      <c r="J1213" s="1">
        <f ca="1">IFERROR(__xludf.DUMMYFUNCTION("""COMPUTED_VALUE"""),2000)</f>
        <v>2000</v>
      </c>
      <c r="K1213" s="1" t="str">
        <f ca="1">IFERROR(__xludf.DUMMYFUNCTION("""COMPUTED_VALUE"""),"Education")</f>
        <v>Education</v>
      </c>
      <c r="L1213" s="1" t="str">
        <f ca="1">IFERROR(__xludf.DUMMYFUNCTION("""COMPUTED_VALUE"""),"〇")</f>
        <v>〇</v>
      </c>
      <c r="M1213" s="1" t="str">
        <f ca="1">IFERROR(__xludf.DUMMYFUNCTION("""COMPUTED_VALUE"""),"〇")</f>
        <v>〇</v>
      </c>
      <c r="N1213" s="1"/>
      <c r="O1213" s="1"/>
      <c r="P1213" s="1"/>
    </row>
    <row r="1214" spans="1:16" ht="14.25" customHeight="1" x14ac:dyDescent="0.25">
      <c r="A1214" s="1"/>
      <c r="B1214" s="1">
        <f ca="1"/>
        <v>1202</v>
      </c>
      <c r="C1214" s="1">
        <f ca="1">IFERROR(__xludf.DUMMYFUNCTION("""COMPUTED_VALUE"""),2023)</f>
        <v>2023</v>
      </c>
      <c r="D1214" s="1">
        <f ca="1">IFERROR(__xludf.DUMMYFUNCTION("""COMPUTED_VALUE"""),10659)</f>
        <v>10659</v>
      </c>
      <c r="E1214" s="1" t="str">
        <f ca="1">IFERROR(__xludf.DUMMYFUNCTION("""COMPUTED_VALUE"""),"Journal of Elasticity")</f>
        <v>Journal of Elasticity</v>
      </c>
      <c r="F1214" s="1" t="str">
        <f ca="1">IFERROR(__xludf.DUMMYFUNCTION("""COMPUTED_VALUE"""),"1573-2681")</f>
        <v>1573-2681</v>
      </c>
      <c r="G1214" s="1" t="str">
        <f ca="1">IFERROR(__xludf.DUMMYFUNCTION("""COMPUTED_VALUE"""),"0374-3535")</f>
        <v>0374-3535</v>
      </c>
      <c r="H1214" s="27" t="str">
        <f ca="1">IFERROR(__xludf.DUMMYFUNCTION("""COMPUTED_VALUE"""),"https://link.springer.com/journal/10659")</f>
        <v>https://link.springer.com/journal/10659</v>
      </c>
      <c r="I1214" s="1" t="str">
        <f ca="1">IFERROR(__xludf.DUMMYFUNCTION("""COMPUTED_VALUE"""),"Springer")</f>
        <v>Springer</v>
      </c>
      <c r="J1214" s="1">
        <f ca="1">IFERROR(__xludf.DUMMYFUNCTION("""COMPUTED_VALUE"""),2000)</f>
        <v>2000</v>
      </c>
      <c r="K1214" s="1" t="str">
        <f ca="1">IFERROR(__xludf.DUMMYFUNCTION("""COMPUTED_VALUE"""),"Engineering")</f>
        <v>Engineering</v>
      </c>
      <c r="L1214" s="1" t="str">
        <f ca="1">IFERROR(__xludf.DUMMYFUNCTION("""COMPUTED_VALUE"""),"〇")</f>
        <v>〇</v>
      </c>
      <c r="M1214" s="1" t="str">
        <f ca="1">IFERROR(__xludf.DUMMYFUNCTION("""COMPUTED_VALUE"""),"〇")</f>
        <v>〇</v>
      </c>
      <c r="N1214" s="1"/>
      <c r="O1214" s="1"/>
      <c r="P1214" s="1"/>
    </row>
    <row r="1215" spans="1:16" ht="14.25" customHeight="1" x14ac:dyDescent="0.25">
      <c r="A1215" s="1"/>
      <c r="B1215" s="1">
        <f ca="1"/>
        <v>1203</v>
      </c>
      <c r="C1215" s="1">
        <f ca="1">IFERROR(__xludf.DUMMYFUNCTION("""COMPUTED_VALUE"""),2023)</f>
        <v>2023</v>
      </c>
      <c r="D1215" s="1">
        <f ca="1">IFERROR(__xludf.DUMMYFUNCTION("""COMPUTED_VALUE"""),42835)</f>
        <v>42835</v>
      </c>
      <c r="E1215" s="1" t="str">
        <f ca="1">IFERROR(__xludf.DUMMYFUNCTION("""COMPUTED_VALUE"""),"Journal of Electrical Engineering &amp; Technology")</f>
        <v>Journal of Electrical Engineering &amp; Technology</v>
      </c>
      <c r="F1215" s="1" t="str">
        <f ca="1">IFERROR(__xludf.DUMMYFUNCTION("""COMPUTED_VALUE"""),"2093-7423")</f>
        <v>2093-7423</v>
      </c>
      <c r="G1215" s="1" t="str">
        <f ca="1">IFERROR(__xludf.DUMMYFUNCTION("""COMPUTED_VALUE"""),"1975-0102")</f>
        <v>1975-0102</v>
      </c>
      <c r="H1215" s="27" t="str">
        <f ca="1">IFERROR(__xludf.DUMMYFUNCTION("""COMPUTED_VALUE"""),"https://link.springer.com/journal/42835")</f>
        <v>https://link.springer.com/journal/42835</v>
      </c>
      <c r="I1215" s="1" t="str">
        <f ca="1">IFERROR(__xludf.DUMMYFUNCTION("""COMPUTED_VALUE"""),"Springer")</f>
        <v>Springer</v>
      </c>
      <c r="J1215" s="1">
        <f ca="1">IFERROR(__xludf.DUMMYFUNCTION("""COMPUTED_VALUE"""),2019)</f>
        <v>2019</v>
      </c>
      <c r="K1215" s="1" t="str">
        <f ca="1">IFERROR(__xludf.DUMMYFUNCTION("""COMPUTED_VALUE"""),"Engineering")</f>
        <v>Engineering</v>
      </c>
      <c r="L1215" s="1" t="str">
        <f ca="1">IFERROR(__xludf.DUMMYFUNCTION("""COMPUTED_VALUE"""),"〇")</f>
        <v>〇</v>
      </c>
      <c r="M1215" s="1"/>
      <c r="N1215" s="1" t="str">
        <f ca="1">IFERROR(__xludf.DUMMYFUNCTION("""COMPUTED_VALUE"""),"TO19")</f>
        <v>TO19</v>
      </c>
      <c r="O1215" s="1"/>
      <c r="P1215" s="1"/>
    </row>
    <row r="1216" spans="1:16" ht="14.25" customHeight="1" x14ac:dyDescent="0.25">
      <c r="A1216" s="1"/>
      <c r="B1216" s="1">
        <f ca="1"/>
        <v>1204</v>
      </c>
      <c r="C1216" s="1">
        <f ca="1">IFERROR(__xludf.DUMMYFUNCTION("""COMPUTED_VALUE"""),2023)</f>
        <v>2023</v>
      </c>
      <c r="D1216" s="1">
        <f ca="1">IFERROR(__xludf.DUMMYFUNCTION("""COMPUTED_VALUE"""),10832)</f>
        <v>10832</v>
      </c>
      <c r="E1216" s="1" t="str">
        <f ca="1">IFERROR(__xludf.DUMMYFUNCTION("""COMPUTED_VALUE"""),"Journal of Electroceramics")</f>
        <v>Journal of Electroceramics</v>
      </c>
      <c r="F1216" s="1" t="str">
        <f ca="1">IFERROR(__xludf.DUMMYFUNCTION("""COMPUTED_VALUE"""),"1573-8663")</f>
        <v>1573-8663</v>
      </c>
      <c r="G1216" s="1" t="str">
        <f ca="1">IFERROR(__xludf.DUMMYFUNCTION("""COMPUTED_VALUE"""),"1385-3449")</f>
        <v>1385-3449</v>
      </c>
      <c r="H1216" s="27" t="str">
        <f ca="1">IFERROR(__xludf.DUMMYFUNCTION("""COMPUTED_VALUE"""),"https://link.springer.com/journal/10832")</f>
        <v>https://link.springer.com/journal/10832</v>
      </c>
      <c r="I1216" s="1" t="str">
        <f ca="1">IFERROR(__xludf.DUMMYFUNCTION("""COMPUTED_VALUE"""),"Springer")</f>
        <v>Springer</v>
      </c>
      <c r="J1216" s="1">
        <f ca="1">IFERROR(__xludf.DUMMYFUNCTION("""COMPUTED_VALUE"""),2000)</f>
        <v>2000</v>
      </c>
      <c r="K1216" s="1" t="str">
        <f ca="1">IFERROR(__xludf.DUMMYFUNCTION("""COMPUTED_VALUE"""),"Chemistry and Materials Science")</f>
        <v>Chemistry and Materials Science</v>
      </c>
      <c r="L1216" s="1" t="str">
        <f ca="1">IFERROR(__xludf.DUMMYFUNCTION("""COMPUTED_VALUE"""),"〇")</f>
        <v>〇</v>
      </c>
      <c r="M1216" s="1" t="str">
        <f ca="1">IFERROR(__xludf.DUMMYFUNCTION("""COMPUTED_VALUE"""),"〇")</f>
        <v>〇</v>
      </c>
      <c r="N1216" s="1"/>
      <c r="O1216" s="1"/>
      <c r="P1216" s="1"/>
    </row>
    <row r="1217" spans="1:16" ht="14.25" customHeight="1" x14ac:dyDescent="0.25">
      <c r="A1217" s="1"/>
      <c r="B1217" s="1">
        <f ca="1"/>
        <v>1205</v>
      </c>
      <c r="C1217" s="1">
        <f ca="1">IFERROR(__xludf.DUMMYFUNCTION("""COMPUTED_VALUE"""),2023)</f>
        <v>2023</v>
      </c>
      <c r="D1217" s="1">
        <f ca="1">IFERROR(__xludf.DUMMYFUNCTION("""COMPUTED_VALUE"""),11664)</f>
        <v>11664</v>
      </c>
      <c r="E1217" s="1" t="str">
        <f ca="1">IFERROR(__xludf.DUMMYFUNCTION("""COMPUTED_VALUE"""),"Journal of Electronic Materials")</f>
        <v>Journal of Electronic Materials</v>
      </c>
      <c r="F1217" s="1" t="str">
        <f ca="1">IFERROR(__xludf.DUMMYFUNCTION("""COMPUTED_VALUE"""),"1543-186X")</f>
        <v>1543-186X</v>
      </c>
      <c r="G1217" s="1" t="str">
        <f ca="1">IFERROR(__xludf.DUMMYFUNCTION("""COMPUTED_VALUE"""),"0361-5235")</f>
        <v>0361-5235</v>
      </c>
      <c r="H1217" s="27" t="str">
        <f ca="1">IFERROR(__xludf.DUMMYFUNCTION("""COMPUTED_VALUE"""),"https://link.springer.com/journal/11664")</f>
        <v>https://link.springer.com/journal/11664</v>
      </c>
      <c r="I1217" s="1" t="str">
        <f ca="1">IFERROR(__xludf.DUMMYFUNCTION("""COMPUTED_VALUE"""),"Springer")</f>
        <v>Springer</v>
      </c>
      <c r="J1217" s="1">
        <f ca="1">IFERROR(__xludf.DUMMYFUNCTION("""COMPUTED_VALUE"""),2000)</f>
        <v>2000</v>
      </c>
      <c r="K1217" s="1" t="str">
        <f ca="1">IFERROR(__xludf.DUMMYFUNCTION("""COMPUTED_VALUE"""),"Chemistry and Materials Science")</f>
        <v>Chemistry and Materials Science</v>
      </c>
      <c r="L1217" s="1" t="str">
        <f ca="1">IFERROR(__xludf.DUMMYFUNCTION("""COMPUTED_VALUE"""),"〇")</f>
        <v>〇</v>
      </c>
      <c r="M1217" s="1" t="str">
        <f ca="1">IFERROR(__xludf.DUMMYFUNCTION("""COMPUTED_VALUE"""),"〇")</f>
        <v>〇</v>
      </c>
      <c r="N1217" s="1" t="str">
        <f ca="1">IFERROR(__xludf.DUMMYFUNCTION("""COMPUTED_VALUE"""),"TO7")</f>
        <v>TO7</v>
      </c>
      <c r="O1217" s="1"/>
      <c r="P1217" s="1"/>
    </row>
    <row r="1218" spans="1:16" ht="14.25" customHeight="1" x14ac:dyDescent="0.25">
      <c r="A1218" s="1"/>
      <c r="B1218" s="1">
        <f ca="1"/>
        <v>1206</v>
      </c>
      <c r="C1218" s="1">
        <f ca="1">IFERROR(__xludf.DUMMYFUNCTION("""COMPUTED_VALUE"""),2023)</f>
        <v>2023</v>
      </c>
      <c r="D1218" s="1">
        <f ca="1">IFERROR(__xludf.DUMMYFUNCTION("""COMPUTED_VALUE"""),10836)</f>
        <v>10836</v>
      </c>
      <c r="E1218" s="1" t="str">
        <f ca="1">IFERROR(__xludf.DUMMYFUNCTION("""COMPUTED_VALUE"""),"Journal of Electronic Testing")</f>
        <v>Journal of Electronic Testing</v>
      </c>
      <c r="F1218" s="1" t="str">
        <f ca="1">IFERROR(__xludf.DUMMYFUNCTION("""COMPUTED_VALUE"""),"1573-0727")</f>
        <v>1573-0727</v>
      </c>
      <c r="G1218" s="1" t="str">
        <f ca="1">IFERROR(__xludf.DUMMYFUNCTION("""COMPUTED_VALUE"""),"0923-8174")</f>
        <v>0923-8174</v>
      </c>
      <c r="H1218" s="27" t="str">
        <f ca="1">IFERROR(__xludf.DUMMYFUNCTION("""COMPUTED_VALUE"""),"https://link.springer.com/journal/10836")</f>
        <v>https://link.springer.com/journal/10836</v>
      </c>
      <c r="I1218" s="1" t="str">
        <f ca="1">IFERROR(__xludf.DUMMYFUNCTION("""COMPUTED_VALUE"""),"Springer")</f>
        <v>Springer</v>
      </c>
      <c r="J1218" s="1">
        <f ca="1">IFERROR(__xludf.DUMMYFUNCTION("""COMPUTED_VALUE"""),2000)</f>
        <v>2000</v>
      </c>
      <c r="K1218" s="1" t="str">
        <f ca="1">IFERROR(__xludf.DUMMYFUNCTION("""COMPUTED_VALUE"""),"Engineering")</f>
        <v>Engineering</v>
      </c>
      <c r="L1218" s="1" t="str">
        <f ca="1">IFERROR(__xludf.DUMMYFUNCTION("""COMPUTED_VALUE"""),"〇")</f>
        <v>〇</v>
      </c>
      <c r="M1218" s="1" t="str">
        <f ca="1">IFERROR(__xludf.DUMMYFUNCTION("""COMPUTED_VALUE"""),"〇")</f>
        <v>〇</v>
      </c>
      <c r="N1218" s="1"/>
      <c r="O1218" s="1"/>
      <c r="P1218" s="1"/>
    </row>
    <row r="1219" spans="1:16" ht="14.25" customHeight="1" x14ac:dyDescent="0.25">
      <c r="A1219" s="1"/>
      <c r="B1219" s="1">
        <f ca="1"/>
        <v>1207</v>
      </c>
      <c r="C1219" s="1">
        <f ca="1">IFERROR(__xludf.DUMMYFUNCTION("""COMPUTED_VALUE"""),2023)</f>
        <v>2023</v>
      </c>
      <c r="D1219" s="1">
        <f ca="1">IFERROR(__xludf.DUMMYFUNCTION("""COMPUTED_VALUE"""),41808)</f>
        <v>41808</v>
      </c>
      <c r="E1219" s="1" t="str">
        <f ca="1">IFERROR(__xludf.DUMMYFUNCTION("""COMPUTED_VALUE"""),"Journal of Elliptic and Parabolic Equations")</f>
        <v>Journal of Elliptic and Parabolic Equations</v>
      </c>
      <c r="F1219" s="1" t="str">
        <f ca="1">IFERROR(__xludf.DUMMYFUNCTION("""COMPUTED_VALUE"""),"2296-9039")</f>
        <v>2296-9039</v>
      </c>
      <c r="G1219" s="1" t="str">
        <f ca="1">IFERROR(__xludf.DUMMYFUNCTION("""COMPUTED_VALUE"""),"2296-9020")</f>
        <v>2296-9020</v>
      </c>
      <c r="H1219" s="27" t="str">
        <f ca="1">IFERROR(__xludf.DUMMYFUNCTION("""COMPUTED_VALUE"""),"https://link.springer.com/journal/41808")</f>
        <v>https://link.springer.com/journal/41808</v>
      </c>
      <c r="I1219" s="1" t="str">
        <f ca="1">IFERROR(__xludf.DUMMYFUNCTION("""COMPUTED_VALUE"""),"Birkhäuser")</f>
        <v>Birkhäuser</v>
      </c>
      <c r="J1219" s="1">
        <f ca="1">IFERROR(__xludf.DUMMYFUNCTION("""COMPUTED_VALUE"""),2015)</f>
        <v>2015</v>
      </c>
      <c r="K1219" s="1" t="str">
        <f ca="1">IFERROR(__xludf.DUMMYFUNCTION("""COMPUTED_VALUE"""),"Mathematics and Statistics")</f>
        <v>Mathematics and Statistics</v>
      </c>
      <c r="L1219" s="1" t="str">
        <f ca="1">IFERROR(__xludf.DUMMYFUNCTION("""COMPUTED_VALUE"""),"〇")</f>
        <v>〇</v>
      </c>
      <c r="M1219" s="1"/>
      <c r="N1219" s="1" t="str">
        <f ca="1">IFERROR(__xludf.DUMMYFUNCTION("""COMPUTED_VALUE"""),"TO17")</f>
        <v>TO17</v>
      </c>
      <c r="O1219" s="1"/>
      <c r="P1219" s="1"/>
    </row>
    <row r="1220" spans="1:16" ht="14.25" customHeight="1" x14ac:dyDescent="0.25">
      <c r="A1220" s="1"/>
      <c r="B1220" s="1">
        <f ca="1"/>
        <v>1208</v>
      </c>
      <c r="C1220" s="1">
        <f ca="1">IFERROR(__xludf.DUMMYFUNCTION("""COMPUTED_VALUE"""),2023)</f>
        <v>2023</v>
      </c>
      <c r="D1220" s="1">
        <f ca="1">IFERROR(__xludf.DUMMYFUNCTION("""COMPUTED_VALUE"""),40618)</f>
        <v>40618</v>
      </c>
      <c r="E1220" s="1" t="str">
        <f ca="1">IFERROR(__xludf.DUMMYFUNCTION("""COMPUTED_VALUE"""),"Journal of Endocrinological Investigation")</f>
        <v>Journal of Endocrinological Investigation</v>
      </c>
      <c r="F1220" s="1" t="str">
        <f ca="1">IFERROR(__xludf.DUMMYFUNCTION("""COMPUTED_VALUE"""),"1720-8386")</f>
        <v>1720-8386</v>
      </c>
      <c r="G1220" s="1"/>
      <c r="H1220" s="27" t="str">
        <f ca="1">IFERROR(__xludf.DUMMYFUNCTION("""COMPUTED_VALUE"""),"https://link.springer.com/journal/40618")</f>
        <v>https://link.springer.com/journal/40618</v>
      </c>
      <c r="I1220" s="1" t="str">
        <f ca="1">IFERROR(__xludf.DUMMYFUNCTION("""COMPUTED_VALUE"""),"Springer")</f>
        <v>Springer</v>
      </c>
      <c r="J1220" s="1">
        <f ca="1">IFERROR(__xludf.DUMMYFUNCTION("""COMPUTED_VALUE"""),2000)</f>
        <v>2000</v>
      </c>
      <c r="K1220" s="1" t="str">
        <f ca="1">IFERROR(__xludf.DUMMYFUNCTION("""COMPUTED_VALUE"""),"Medicine")</f>
        <v>Medicine</v>
      </c>
      <c r="L1220" s="1"/>
      <c r="M1220" s="1"/>
      <c r="N1220" s="1" t="str">
        <f ca="1">IFERROR(__xludf.DUMMYFUNCTION("""COMPUTED_VALUE"""),"TO14")</f>
        <v>TO14</v>
      </c>
      <c r="O1220" s="1"/>
      <c r="P1220" s="1"/>
    </row>
    <row r="1221" spans="1:16" ht="14.25" customHeight="1" x14ac:dyDescent="0.25">
      <c r="A1221" s="1"/>
      <c r="B1221" s="1">
        <f ca="1"/>
        <v>1209</v>
      </c>
      <c r="C1221" s="1">
        <f ca="1">IFERROR(__xludf.DUMMYFUNCTION("""COMPUTED_VALUE"""),2023)</f>
        <v>2023</v>
      </c>
      <c r="D1221" s="1">
        <f ca="1">IFERROR(__xludf.DUMMYFUNCTION("""COMPUTED_VALUE"""),10665)</f>
        <v>10665</v>
      </c>
      <c r="E1221" s="1" t="str">
        <f ca="1">IFERROR(__xludf.DUMMYFUNCTION("""COMPUTED_VALUE"""),"Journal of Engineering Mathematics")</f>
        <v>Journal of Engineering Mathematics</v>
      </c>
      <c r="F1221" s="1" t="str">
        <f ca="1">IFERROR(__xludf.DUMMYFUNCTION("""COMPUTED_VALUE"""),"1573-2703")</f>
        <v>1573-2703</v>
      </c>
      <c r="G1221" s="1" t="str">
        <f ca="1">IFERROR(__xludf.DUMMYFUNCTION("""COMPUTED_VALUE"""),"0022-0833")</f>
        <v>0022-0833</v>
      </c>
      <c r="H1221" s="27" t="str">
        <f ca="1">IFERROR(__xludf.DUMMYFUNCTION("""COMPUTED_VALUE"""),"https://link.springer.com/journal/10665")</f>
        <v>https://link.springer.com/journal/10665</v>
      </c>
      <c r="I1221" s="1" t="str">
        <f ca="1">IFERROR(__xludf.DUMMYFUNCTION("""COMPUTED_VALUE"""),"Springer")</f>
        <v>Springer</v>
      </c>
      <c r="J1221" s="1">
        <f ca="1">IFERROR(__xludf.DUMMYFUNCTION("""COMPUTED_VALUE"""),2000)</f>
        <v>2000</v>
      </c>
      <c r="K1221" s="1" t="str">
        <f ca="1">IFERROR(__xludf.DUMMYFUNCTION("""COMPUTED_VALUE"""),"Mathematics and Statistics")</f>
        <v>Mathematics and Statistics</v>
      </c>
      <c r="L1221" s="1" t="str">
        <f ca="1">IFERROR(__xludf.DUMMYFUNCTION("""COMPUTED_VALUE"""),"〇")</f>
        <v>〇</v>
      </c>
      <c r="M1221" s="1" t="str">
        <f ca="1">IFERROR(__xludf.DUMMYFUNCTION("""COMPUTED_VALUE"""),"〇")</f>
        <v>〇</v>
      </c>
      <c r="N1221" s="1"/>
      <c r="O1221" s="1"/>
      <c r="P1221" s="1"/>
    </row>
    <row r="1222" spans="1:16" ht="14.25" customHeight="1" x14ac:dyDescent="0.25">
      <c r="A1222" s="1"/>
      <c r="B1222" s="1">
        <f ca="1"/>
        <v>1210</v>
      </c>
      <c r="C1222" s="1">
        <f ca="1">IFERROR(__xludf.DUMMYFUNCTION("""COMPUTED_VALUE"""),2023)</f>
        <v>2023</v>
      </c>
      <c r="D1222" s="1">
        <f ca="1">IFERROR(__xludf.DUMMYFUNCTION("""COMPUTED_VALUE"""),10891)</f>
        <v>10891</v>
      </c>
      <c r="E1222" s="1" t="str">
        <f ca="1">IFERROR(__xludf.DUMMYFUNCTION("""COMPUTED_VALUE"""),"Journal of Engineering Physics and Thermophysics")</f>
        <v>Journal of Engineering Physics and Thermophysics</v>
      </c>
      <c r="F1222" s="1" t="str">
        <f ca="1">IFERROR(__xludf.DUMMYFUNCTION("""COMPUTED_VALUE"""),"1573-871X")</f>
        <v>1573-871X</v>
      </c>
      <c r="G1222" s="1" t="str">
        <f ca="1">IFERROR(__xludf.DUMMYFUNCTION("""COMPUTED_VALUE"""),"1062-0125")</f>
        <v>1062-0125</v>
      </c>
      <c r="H1222" s="27" t="str">
        <f ca="1">IFERROR(__xludf.DUMMYFUNCTION("""COMPUTED_VALUE"""),"https://link.springer.com/journal/10891")</f>
        <v>https://link.springer.com/journal/10891</v>
      </c>
      <c r="I1222" s="1" t="str">
        <f ca="1">IFERROR(__xludf.DUMMYFUNCTION("""COMPUTED_VALUE"""),"Springer")</f>
        <v>Springer</v>
      </c>
      <c r="J1222" s="1">
        <f ca="1">IFERROR(__xludf.DUMMYFUNCTION("""COMPUTED_VALUE"""),2000)</f>
        <v>2000</v>
      </c>
      <c r="K1222" s="1" t="str">
        <f ca="1">IFERROR(__xludf.DUMMYFUNCTION("""COMPUTED_VALUE"""),"Engineering")</f>
        <v>Engineering</v>
      </c>
      <c r="L1222" s="1" t="str">
        <f ca="1">IFERROR(__xludf.DUMMYFUNCTION("""COMPUTED_VALUE"""),"〇")</f>
        <v>〇</v>
      </c>
      <c r="M1222" s="1" t="str">
        <f ca="1">IFERROR(__xludf.DUMMYFUNCTION("""COMPUTED_VALUE"""),"〇")</f>
        <v>〇</v>
      </c>
      <c r="N1222" s="1"/>
      <c r="O1222" s="1"/>
      <c r="P1222" s="1"/>
    </row>
    <row r="1223" spans="1:16" ht="14.25" customHeight="1" x14ac:dyDescent="0.25">
      <c r="A1223" s="1"/>
      <c r="B1223" s="1">
        <f ca="1"/>
        <v>1211</v>
      </c>
      <c r="C1223" s="1">
        <f ca="1">IFERROR(__xludf.DUMMYFUNCTION("""COMPUTED_VALUE"""),2023)</f>
        <v>2023</v>
      </c>
      <c r="D1223" s="1">
        <f ca="1">IFERROR(__xludf.DUMMYFUNCTION("""COMPUTED_VALUE"""),11823)</f>
        <v>11823</v>
      </c>
      <c r="E1223" s="1" t="str">
        <f ca="1">IFERROR(__xludf.DUMMYFUNCTION("""COMPUTED_VALUE"""),"Journal of Engineering Thermophysics")</f>
        <v>Journal of Engineering Thermophysics</v>
      </c>
      <c r="F1223" s="1" t="str">
        <f ca="1">IFERROR(__xludf.DUMMYFUNCTION("""COMPUTED_VALUE"""),"1990-5432")</f>
        <v>1990-5432</v>
      </c>
      <c r="G1223" s="1" t="str">
        <f ca="1">IFERROR(__xludf.DUMMYFUNCTION("""COMPUTED_VALUE"""),"1810-2328")</f>
        <v>1810-2328</v>
      </c>
      <c r="H1223" s="27" t="str">
        <f ca="1">IFERROR(__xludf.DUMMYFUNCTION("""COMPUTED_VALUE"""),"https://link.springer.com/journal/11823")</f>
        <v>https://link.springer.com/journal/11823</v>
      </c>
      <c r="I1223" s="1" t="str">
        <f ca="1">IFERROR(__xludf.DUMMYFUNCTION("""COMPUTED_VALUE"""),"Pleiades Publishing")</f>
        <v>Pleiades Publishing</v>
      </c>
      <c r="J1223" s="1">
        <f ca="1">IFERROR(__xludf.DUMMYFUNCTION("""COMPUTED_VALUE"""),2007)</f>
        <v>2007</v>
      </c>
      <c r="K1223" s="1" t="str">
        <f ca="1">IFERROR(__xludf.DUMMYFUNCTION("""COMPUTED_VALUE"""),"Physics and Astronomy")</f>
        <v>Physics and Astronomy</v>
      </c>
      <c r="L1223" s="1" t="str">
        <f ca="1">IFERROR(__xludf.DUMMYFUNCTION("""COMPUTED_VALUE"""),"〇")</f>
        <v>〇</v>
      </c>
      <c r="M1223" s="1" t="str">
        <f ca="1">IFERROR(__xludf.DUMMYFUNCTION("""COMPUTED_VALUE"""),"〇")</f>
        <v>〇</v>
      </c>
      <c r="N1223" s="1" t="str">
        <f ca="1">IFERROR(__xludf.DUMMYFUNCTION("""COMPUTED_VALUE"""),"TO7")</f>
        <v>TO7</v>
      </c>
      <c r="O1223" s="1"/>
      <c r="P1223" s="1"/>
    </row>
    <row r="1224" spans="1:16" ht="14.25" customHeight="1" x14ac:dyDescent="0.25">
      <c r="A1224" s="1"/>
      <c r="B1224" s="1">
        <f ca="1"/>
        <v>1212</v>
      </c>
      <c r="C1224" s="1">
        <f ca="1">IFERROR(__xludf.DUMMYFUNCTION("""COMPUTED_VALUE"""),2023)</f>
        <v>2023</v>
      </c>
      <c r="D1224" s="1">
        <f ca="1">IFERROR(__xludf.DUMMYFUNCTION("""COMPUTED_VALUE"""),40201)</f>
        <v>40201</v>
      </c>
      <c r="E1224" s="1" t="str">
        <f ca="1">IFERROR(__xludf.DUMMYFUNCTION("""COMPUTED_VALUE"""),"Journal of Environmental Health Science and Engineering")</f>
        <v>Journal of Environmental Health Science and Engineering</v>
      </c>
      <c r="F1224" s="1" t="str">
        <f ca="1">IFERROR(__xludf.DUMMYFUNCTION("""COMPUTED_VALUE"""),"2052-336X")</f>
        <v>2052-336X</v>
      </c>
      <c r="G1224" s="1"/>
      <c r="H1224" s="27" t="str">
        <f ca="1">IFERROR(__xludf.DUMMYFUNCTION("""COMPUTED_VALUE"""),"https://link.springer.com/journal/40201")</f>
        <v>https://link.springer.com/journal/40201</v>
      </c>
      <c r="I1224" s="1" t="str">
        <f ca="1">IFERROR(__xludf.DUMMYFUNCTION("""COMPUTED_VALUE"""),"Springer")</f>
        <v>Springer</v>
      </c>
      <c r="J1224" s="1">
        <f ca="1">IFERROR(__xludf.DUMMYFUNCTION("""COMPUTED_VALUE"""),2012)</f>
        <v>2012</v>
      </c>
      <c r="K1224" s="1" t="str">
        <f ca="1">IFERROR(__xludf.DUMMYFUNCTION("""COMPUTED_VALUE"""),"Earth and Environmental Science")</f>
        <v>Earth and Environmental Science</v>
      </c>
      <c r="L1224" s="1"/>
      <c r="M1224" s="1"/>
      <c r="N1224" s="1"/>
      <c r="O1224" s="1"/>
      <c r="P1224" s="1"/>
    </row>
    <row r="1225" spans="1:16" ht="14.25" customHeight="1" x14ac:dyDescent="0.25">
      <c r="A1225" s="1"/>
      <c r="B1225" s="1">
        <f ca="1"/>
        <v>1213</v>
      </c>
      <c r="C1225" s="1">
        <f ca="1">IFERROR(__xludf.DUMMYFUNCTION("""COMPUTED_VALUE"""),2023)</f>
        <v>2023</v>
      </c>
      <c r="D1225" s="1">
        <f ca="1">IFERROR(__xludf.DUMMYFUNCTION("""COMPUTED_VALUE"""),13412)</f>
        <v>13412</v>
      </c>
      <c r="E1225" s="1" t="str">
        <f ca="1">IFERROR(__xludf.DUMMYFUNCTION("""COMPUTED_VALUE"""),"Journal of Environmental Studies and Sciences")</f>
        <v>Journal of Environmental Studies and Sciences</v>
      </c>
      <c r="F1225" s="1" t="str">
        <f ca="1">IFERROR(__xludf.DUMMYFUNCTION("""COMPUTED_VALUE"""),"2190-6491")</f>
        <v>2190-6491</v>
      </c>
      <c r="G1225" s="1" t="str">
        <f ca="1">IFERROR(__xludf.DUMMYFUNCTION("""COMPUTED_VALUE"""),"2190-6483")</f>
        <v>2190-6483</v>
      </c>
      <c r="H1225" s="27" t="str">
        <f ca="1">IFERROR(__xludf.DUMMYFUNCTION("""COMPUTED_VALUE"""),"https://link.springer.com/journal/13412")</f>
        <v>https://link.springer.com/journal/13412</v>
      </c>
      <c r="I1225" s="1" t="str">
        <f ca="1">IFERROR(__xludf.DUMMYFUNCTION("""COMPUTED_VALUE"""),"Springer")</f>
        <v>Springer</v>
      </c>
      <c r="J1225" s="1">
        <f ca="1">IFERROR(__xludf.DUMMYFUNCTION("""COMPUTED_VALUE"""),2011)</f>
        <v>2011</v>
      </c>
      <c r="K1225" s="1" t="str">
        <f ca="1">IFERROR(__xludf.DUMMYFUNCTION("""COMPUTED_VALUE"""),"Earth and Environmental Science")</f>
        <v>Earth and Environmental Science</v>
      </c>
      <c r="L1225" s="1" t="str">
        <f ca="1">IFERROR(__xludf.DUMMYFUNCTION("""COMPUTED_VALUE"""),"〇")</f>
        <v>〇</v>
      </c>
      <c r="M1225" s="1"/>
      <c r="N1225" s="1" t="str">
        <f ca="1">IFERROR(__xludf.DUMMYFUNCTION("""COMPUTED_VALUE"""),"SNS11")</f>
        <v>SNS11</v>
      </c>
      <c r="O1225" s="1"/>
      <c r="P1225" s="1"/>
    </row>
    <row r="1226" spans="1:16" ht="14.25" customHeight="1" x14ac:dyDescent="0.25">
      <c r="A1226" s="1"/>
      <c r="B1226" s="1">
        <f ca="1"/>
        <v>1214</v>
      </c>
      <c r="C1226" s="1">
        <f ca="1">IFERROR(__xludf.DUMMYFUNCTION("""COMPUTED_VALUE"""),2023)</f>
        <v>2023</v>
      </c>
      <c r="D1226" s="1">
        <f ca="1">IFERROR(__xludf.DUMMYFUNCTION("""COMPUTED_VALUE"""),10164)</f>
        <v>10164</v>
      </c>
      <c r="E1226" s="1" t="str">
        <f ca="1">IFERROR(__xludf.DUMMYFUNCTION("""COMPUTED_VALUE"""),"Journal of Ethology")</f>
        <v>Journal of Ethology</v>
      </c>
      <c r="F1226" s="1" t="str">
        <f ca="1">IFERROR(__xludf.DUMMYFUNCTION("""COMPUTED_VALUE"""),"1439-5444")</f>
        <v>1439-5444</v>
      </c>
      <c r="G1226" s="1" t="str">
        <f ca="1">IFERROR(__xludf.DUMMYFUNCTION("""COMPUTED_VALUE"""),"0289-0771")</f>
        <v>0289-0771</v>
      </c>
      <c r="H1226" s="27" t="str">
        <f ca="1">IFERROR(__xludf.DUMMYFUNCTION("""COMPUTED_VALUE"""),"https://link.springer.com/journal/10164")</f>
        <v>https://link.springer.com/journal/10164</v>
      </c>
      <c r="I1226" s="1" t="str">
        <f ca="1">IFERROR(__xludf.DUMMYFUNCTION("""COMPUTED_VALUE"""),"Springer")</f>
        <v>Springer</v>
      </c>
      <c r="J1226" s="1">
        <f ca="1">IFERROR(__xludf.DUMMYFUNCTION("""COMPUTED_VALUE"""),2000)</f>
        <v>2000</v>
      </c>
      <c r="K1226" s="1" t="str">
        <f ca="1">IFERROR(__xludf.DUMMYFUNCTION("""COMPUTED_VALUE"""),"Biomedical and Life Sciences")</f>
        <v>Biomedical and Life Sciences</v>
      </c>
      <c r="L1226" s="1" t="str">
        <f ca="1">IFERROR(__xludf.DUMMYFUNCTION("""COMPUTED_VALUE"""),"〇")</f>
        <v>〇</v>
      </c>
      <c r="M1226" s="1" t="str">
        <f ca="1">IFERROR(__xludf.DUMMYFUNCTION("""COMPUTED_VALUE"""),"〇")</f>
        <v>〇</v>
      </c>
      <c r="N1226" s="1"/>
      <c r="O1226" s="1"/>
      <c r="P1226" s="1"/>
    </row>
    <row r="1227" spans="1:16" ht="14.25" customHeight="1" x14ac:dyDescent="0.25">
      <c r="A1227" s="1"/>
      <c r="B1227" s="1">
        <f ca="1"/>
        <v>1215</v>
      </c>
      <c r="C1227" s="1">
        <f ca="1">IFERROR(__xludf.DUMMYFUNCTION("""COMPUTED_VALUE"""),2023)</f>
        <v>2023</v>
      </c>
      <c r="D1227" s="1">
        <f ca="1">IFERROR(__xludf.DUMMYFUNCTION("""COMPUTED_VALUE"""),28)</f>
        <v>28</v>
      </c>
      <c r="E1227" s="1" t="str">
        <f ca="1">IFERROR(__xludf.DUMMYFUNCTION("""COMPUTED_VALUE"""),"Journal of Evolution Equations")</f>
        <v>Journal of Evolution Equations</v>
      </c>
      <c r="F1227" s="1" t="str">
        <f ca="1">IFERROR(__xludf.DUMMYFUNCTION("""COMPUTED_VALUE"""),"1424-3202")</f>
        <v>1424-3202</v>
      </c>
      <c r="G1227" s="1" t="str">
        <f ca="1">IFERROR(__xludf.DUMMYFUNCTION("""COMPUTED_VALUE"""),"1424-3199")</f>
        <v>1424-3199</v>
      </c>
      <c r="H1227" s="27" t="str">
        <f ca="1">IFERROR(__xludf.DUMMYFUNCTION("""COMPUTED_VALUE"""),"https://link.springer.com/journal/28")</f>
        <v>https://link.springer.com/journal/28</v>
      </c>
      <c r="I1227" s="1" t="str">
        <f ca="1">IFERROR(__xludf.DUMMYFUNCTION("""COMPUTED_VALUE"""),"Birkhäuser")</f>
        <v>Birkhäuser</v>
      </c>
      <c r="J1227" s="1">
        <f ca="1">IFERROR(__xludf.DUMMYFUNCTION("""COMPUTED_VALUE"""),2001)</f>
        <v>2001</v>
      </c>
      <c r="K1227" s="1" t="str">
        <f ca="1">IFERROR(__xludf.DUMMYFUNCTION("""COMPUTED_VALUE"""),"Mathematics and Statistics")</f>
        <v>Mathematics and Statistics</v>
      </c>
      <c r="L1227" s="1" t="str">
        <f ca="1">IFERROR(__xludf.DUMMYFUNCTION("""COMPUTED_VALUE"""),"〇")</f>
        <v>〇</v>
      </c>
      <c r="M1227" s="1" t="str">
        <f ca="1">IFERROR(__xludf.DUMMYFUNCTION("""COMPUTED_VALUE"""),"〇")</f>
        <v>〇</v>
      </c>
      <c r="N1227" s="1"/>
      <c r="O1227" s="1"/>
      <c r="P1227" s="1"/>
    </row>
    <row r="1228" spans="1:16" ht="14.25" customHeight="1" x14ac:dyDescent="0.25">
      <c r="A1228" s="1"/>
      <c r="B1228" s="1">
        <f ca="1"/>
        <v>1216</v>
      </c>
      <c r="C1228" s="1">
        <f ca="1">IFERROR(__xludf.DUMMYFUNCTION("""COMPUTED_VALUE"""),2023)</f>
        <v>2023</v>
      </c>
      <c r="D1228" s="1">
        <f ca="1">IFERROR(__xludf.DUMMYFUNCTION("""COMPUTED_VALUE"""),10893)</f>
        <v>10893</v>
      </c>
      <c r="E1228" s="1" t="str">
        <f ca="1">IFERROR(__xludf.DUMMYFUNCTION("""COMPUTED_VALUE"""),"Journal of Evolutionary Biochemistry and Physiology")</f>
        <v>Journal of Evolutionary Biochemistry and Physiology</v>
      </c>
      <c r="F1228" s="1" t="str">
        <f ca="1">IFERROR(__xludf.DUMMYFUNCTION("""COMPUTED_VALUE"""),"1608-3202")</f>
        <v>1608-3202</v>
      </c>
      <c r="G1228" s="1" t="str">
        <f ca="1">IFERROR(__xludf.DUMMYFUNCTION("""COMPUTED_VALUE"""),"0022-0930")</f>
        <v>0022-0930</v>
      </c>
      <c r="H1228" s="27" t="str">
        <f ca="1">IFERROR(__xludf.DUMMYFUNCTION("""COMPUTED_VALUE"""),"https://link.springer.com/journal/10893")</f>
        <v>https://link.springer.com/journal/10893</v>
      </c>
      <c r="I1228" s="1" t="str">
        <f ca="1">IFERROR(__xludf.DUMMYFUNCTION("""COMPUTED_VALUE"""),"Pleiades Publishing")</f>
        <v>Pleiades Publishing</v>
      </c>
      <c r="J1228" s="1">
        <f ca="1">IFERROR(__xludf.DUMMYFUNCTION("""COMPUTED_VALUE"""),2000)</f>
        <v>2000</v>
      </c>
      <c r="K1228" s="1" t="str">
        <f ca="1">IFERROR(__xludf.DUMMYFUNCTION("""COMPUTED_VALUE"""),"Biomedical and Life Sciences")</f>
        <v>Biomedical and Life Sciences</v>
      </c>
      <c r="L1228" s="1" t="str">
        <f ca="1">IFERROR(__xludf.DUMMYFUNCTION("""COMPUTED_VALUE"""),"〇")</f>
        <v>〇</v>
      </c>
      <c r="M1228" s="1" t="str">
        <f ca="1">IFERROR(__xludf.DUMMYFUNCTION("""COMPUTED_VALUE"""),"〇")</f>
        <v>〇</v>
      </c>
      <c r="N1228" s="1"/>
      <c r="O1228" s="1"/>
      <c r="P1228" s="1"/>
    </row>
    <row r="1229" spans="1:16" ht="14.25" customHeight="1" x14ac:dyDescent="0.25">
      <c r="A1229" s="1"/>
      <c r="B1229" s="1">
        <f ca="1"/>
        <v>1217</v>
      </c>
      <c r="C1229" s="1">
        <f ca="1">IFERROR(__xludf.DUMMYFUNCTION("""COMPUTED_VALUE"""),2023)</f>
        <v>2023</v>
      </c>
      <c r="D1229" s="1">
        <f ca="1">IFERROR(__xludf.DUMMYFUNCTION("""COMPUTED_VALUE"""),191)</f>
        <v>191</v>
      </c>
      <c r="E1229" s="1" t="str">
        <f ca="1">IFERROR(__xludf.DUMMYFUNCTION("""COMPUTED_VALUE"""),"Journal of Evolutionary Economics")</f>
        <v>Journal of Evolutionary Economics</v>
      </c>
      <c r="F1229" s="1" t="str">
        <f ca="1">IFERROR(__xludf.DUMMYFUNCTION("""COMPUTED_VALUE"""),"1432-1386")</f>
        <v>1432-1386</v>
      </c>
      <c r="G1229" s="1" t="str">
        <f ca="1">IFERROR(__xludf.DUMMYFUNCTION("""COMPUTED_VALUE"""),"0936-9937")</f>
        <v>0936-9937</v>
      </c>
      <c r="H1229" s="27" t="str">
        <f ca="1">IFERROR(__xludf.DUMMYFUNCTION("""COMPUTED_VALUE"""),"https://link.springer.com/journal/191")</f>
        <v>https://link.springer.com/journal/191</v>
      </c>
      <c r="I1229" s="1" t="str">
        <f ca="1">IFERROR(__xludf.DUMMYFUNCTION("""COMPUTED_VALUE"""),"Springer")</f>
        <v>Springer</v>
      </c>
      <c r="J1229" s="1">
        <f ca="1">IFERROR(__xludf.DUMMYFUNCTION("""COMPUTED_VALUE"""),2000)</f>
        <v>2000</v>
      </c>
      <c r="K1229" s="1" t="str">
        <f ca="1">IFERROR(__xludf.DUMMYFUNCTION("""COMPUTED_VALUE"""),"Economics and Finance")</f>
        <v>Economics and Finance</v>
      </c>
      <c r="L1229" s="1" t="str">
        <f ca="1">IFERROR(__xludf.DUMMYFUNCTION("""COMPUTED_VALUE"""),"〇")</f>
        <v>〇</v>
      </c>
      <c r="M1229" s="1" t="str">
        <f ca="1">IFERROR(__xludf.DUMMYFUNCTION("""COMPUTED_VALUE"""),"〇")</f>
        <v>〇</v>
      </c>
      <c r="N1229" s="1"/>
      <c r="O1229" s="1"/>
      <c r="P1229" s="1"/>
    </row>
    <row r="1230" spans="1:16" ht="14.25" customHeight="1" x14ac:dyDescent="0.25">
      <c r="A1230" s="1"/>
      <c r="B1230" s="1">
        <f ca="1"/>
        <v>1218</v>
      </c>
      <c r="C1230" s="1">
        <f ca="1">IFERROR(__xludf.DUMMYFUNCTION("""COMPUTED_VALUE"""),2023)</f>
        <v>2023</v>
      </c>
      <c r="D1230" s="1">
        <f ca="1">IFERROR(__xludf.DUMMYFUNCTION("""COMPUTED_VALUE"""),11447)</f>
        <v>11447</v>
      </c>
      <c r="E1230" s="1" t="str">
        <f ca="1">IFERROR(__xludf.DUMMYFUNCTION("""COMPUTED_VALUE"""),"Journal of Experimental and Theoretical Physics")</f>
        <v>Journal of Experimental and Theoretical Physics</v>
      </c>
      <c r="F1230" s="1" t="str">
        <f ca="1">IFERROR(__xludf.DUMMYFUNCTION("""COMPUTED_VALUE"""),"1090-6509")</f>
        <v>1090-6509</v>
      </c>
      <c r="G1230" s="1" t="str">
        <f ca="1">IFERROR(__xludf.DUMMYFUNCTION("""COMPUTED_VALUE"""),"1063-7761")</f>
        <v>1063-7761</v>
      </c>
      <c r="H1230" s="27" t="str">
        <f ca="1">IFERROR(__xludf.DUMMYFUNCTION("""COMPUTED_VALUE"""),"https://link.springer.com/journal/11447")</f>
        <v>https://link.springer.com/journal/11447</v>
      </c>
      <c r="I1230" s="1" t="str">
        <f ca="1">IFERROR(__xludf.DUMMYFUNCTION("""COMPUTED_VALUE"""),"Pleiades Publishing")</f>
        <v>Pleiades Publishing</v>
      </c>
      <c r="J1230" s="1">
        <f ca="1">IFERROR(__xludf.DUMMYFUNCTION("""COMPUTED_VALUE"""),2000)</f>
        <v>2000</v>
      </c>
      <c r="K1230" s="1" t="str">
        <f ca="1">IFERROR(__xludf.DUMMYFUNCTION("""COMPUTED_VALUE"""),"Physics and Astronomy")</f>
        <v>Physics and Astronomy</v>
      </c>
      <c r="L1230" s="1" t="str">
        <f ca="1">IFERROR(__xludf.DUMMYFUNCTION("""COMPUTED_VALUE"""),"〇")</f>
        <v>〇</v>
      </c>
      <c r="M1230" s="1" t="str">
        <f ca="1">IFERROR(__xludf.DUMMYFUNCTION("""COMPUTED_VALUE"""),"〇")</f>
        <v>〇</v>
      </c>
      <c r="N1230" s="1"/>
      <c r="O1230" s="1"/>
      <c r="P1230" s="1"/>
    </row>
    <row r="1231" spans="1:16" ht="14.25" customHeight="1" x14ac:dyDescent="0.25">
      <c r="A1231" s="1"/>
      <c r="B1231" s="1">
        <f ca="1"/>
        <v>1219</v>
      </c>
      <c r="C1231" s="1">
        <f ca="1">IFERROR(__xludf.DUMMYFUNCTION("""COMPUTED_VALUE"""),2023)</f>
        <v>2023</v>
      </c>
      <c r="D1231" s="1">
        <f ca="1">IFERROR(__xludf.DUMMYFUNCTION("""COMPUTED_VALUE"""),11292)</f>
        <v>11292</v>
      </c>
      <c r="E1231" s="1" t="str">
        <f ca="1">IFERROR(__xludf.DUMMYFUNCTION("""COMPUTED_VALUE"""),"Journal of Experimental Criminology")</f>
        <v>Journal of Experimental Criminology</v>
      </c>
      <c r="F1231" s="1" t="str">
        <f ca="1">IFERROR(__xludf.DUMMYFUNCTION("""COMPUTED_VALUE"""),"1572-8315")</f>
        <v>1572-8315</v>
      </c>
      <c r="G1231" s="1" t="str">
        <f ca="1">IFERROR(__xludf.DUMMYFUNCTION("""COMPUTED_VALUE"""),"1573-3750")</f>
        <v>1573-3750</v>
      </c>
      <c r="H1231" s="27" t="str">
        <f ca="1">IFERROR(__xludf.DUMMYFUNCTION("""COMPUTED_VALUE"""),"https://link.springer.com/journal/11292")</f>
        <v>https://link.springer.com/journal/11292</v>
      </c>
      <c r="I1231" s="1" t="str">
        <f ca="1">IFERROR(__xludf.DUMMYFUNCTION("""COMPUTED_VALUE"""),"Springer")</f>
        <v>Springer</v>
      </c>
      <c r="J1231" s="1">
        <f ca="1">IFERROR(__xludf.DUMMYFUNCTION("""COMPUTED_VALUE"""),2005)</f>
        <v>2005</v>
      </c>
      <c r="K1231" s="1" t="str">
        <f ca="1">IFERROR(__xludf.DUMMYFUNCTION("""COMPUTED_VALUE"""),"Law and Criminology")</f>
        <v>Law and Criminology</v>
      </c>
      <c r="L1231" s="1" t="str">
        <f ca="1">IFERROR(__xludf.DUMMYFUNCTION("""COMPUTED_VALUE"""),"〇")</f>
        <v>〇</v>
      </c>
      <c r="M1231" s="1" t="str">
        <f ca="1">IFERROR(__xludf.DUMMYFUNCTION("""COMPUTED_VALUE"""),"〇")</f>
        <v>〇</v>
      </c>
      <c r="N1231" s="1"/>
      <c r="O1231" s="1"/>
      <c r="P1231" s="1"/>
    </row>
    <row r="1232" spans="1:16" ht="14.25" customHeight="1" x14ac:dyDescent="0.25">
      <c r="A1232" s="1"/>
      <c r="B1232" s="1">
        <f ca="1"/>
        <v>1220</v>
      </c>
      <c r="C1232" s="1">
        <f ca="1">IFERROR(__xludf.DUMMYFUNCTION("""COMPUTED_VALUE"""),2023)</f>
        <v>2023</v>
      </c>
      <c r="D1232" s="1">
        <f ca="1">IFERROR(__xludf.DUMMYFUNCTION("""COMPUTED_VALUE"""),11668)</f>
        <v>11668</v>
      </c>
      <c r="E1232" s="1" t="str">
        <f ca="1">IFERROR(__xludf.DUMMYFUNCTION("""COMPUTED_VALUE"""),"Journal of Failure Analysis and Prevention")</f>
        <v>Journal of Failure Analysis and Prevention</v>
      </c>
      <c r="F1232" s="1" t="str">
        <f ca="1">IFERROR(__xludf.DUMMYFUNCTION("""COMPUTED_VALUE"""),"1864-1245")</f>
        <v>1864-1245</v>
      </c>
      <c r="G1232" s="1" t="str">
        <f ca="1">IFERROR(__xludf.DUMMYFUNCTION("""COMPUTED_VALUE"""),"1547-7029")</f>
        <v>1547-7029</v>
      </c>
      <c r="H1232" s="27" t="str">
        <f ca="1">IFERROR(__xludf.DUMMYFUNCTION("""COMPUTED_VALUE"""),"https://link.springer.com/journal/11668")</f>
        <v>https://link.springer.com/journal/11668</v>
      </c>
      <c r="I1232" s="1" t="str">
        <f ca="1">IFERROR(__xludf.DUMMYFUNCTION("""COMPUTED_VALUE"""),"Springer")</f>
        <v>Springer</v>
      </c>
      <c r="J1232" s="1">
        <f ca="1">IFERROR(__xludf.DUMMYFUNCTION("""COMPUTED_VALUE"""),2001)</f>
        <v>2001</v>
      </c>
      <c r="K1232" s="1" t="str">
        <f ca="1">IFERROR(__xludf.DUMMYFUNCTION("""COMPUTED_VALUE"""),"Chemistry and Materials Science")</f>
        <v>Chemistry and Materials Science</v>
      </c>
      <c r="L1232" s="1" t="str">
        <f ca="1">IFERROR(__xludf.DUMMYFUNCTION("""COMPUTED_VALUE"""),"〇")</f>
        <v>〇</v>
      </c>
      <c r="M1232" s="1" t="str">
        <f ca="1">IFERROR(__xludf.DUMMYFUNCTION("""COMPUTED_VALUE"""),"〇")</f>
        <v>〇</v>
      </c>
      <c r="N1232" s="1" t="str">
        <f ca="1">IFERROR(__xludf.DUMMYFUNCTION("""COMPUTED_VALUE"""),"TO7")</f>
        <v>TO7</v>
      </c>
      <c r="O1232" s="1"/>
      <c r="P1232" s="1"/>
    </row>
    <row r="1233" spans="1:16" ht="14.25" customHeight="1" x14ac:dyDescent="0.25">
      <c r="A1233" s="1"/>
      <c r="B1233" s="1">
        <f ca="1"/>
        <v>1221</v>
      </c>
      <c r="C1233" s="1">
        <f ca="1">IFERROR(__xludf.DUMMYFUNCTION("""COMPUTED_VALUE"""),2023)</f>
        <v>2023</v>
      </c>
      <c r="D1233" s="1">
        <f ca="1">IFERROR(__xludf.DUMMYFUNCTION("""COMPUTED_VALUE"""),10834)</f>
        <v>10834</v>
      </c>
      <c r="E1233" s="1" t="str">
        <f ca="1">IFERROR(__xludf.DUMMYFUNCTION("""COMPUTED_VALUE"""),"Journal of Family and Economic Issues")</f>
        <v>Journal of Family and Economic Issues</v>
      </c>
      <c r="F1233" s="1" t="str">
        <f ca="1">IFERROR(__xludf.DUMMYFUNCTION("""COMPUTED_VALUE"""),"1573-3475")</f>
        <v>1573-3475</v>
      </c>
      <c r="G1233" s="1" t="str">
        <f ca="1">IFERROR(__xludf.DUMMYFUNCTION("""COMPUTED_VALUE"""),"1058-0476")</f>
        <v>1058-0476</v>
      </c>
      <c r="H1233" s="27" t="str">
        <f ca="1">IFERROR(__xludf.DUMMYFUNCTION("""COMPUTED_VALUE"""),"https://link.springer.com/journal/10834")</f>
        <v>https://link.springer.com/journal/10834</v>
      </c>
      <c r="I1233" s="1" t="str">
        <f ca="1">IFERROR(__xludf.DUMMYFUNCTION("""COMPUTED_VALUE"""),"Springer")</f>
        <v>Springer</v>
      </c>
      <c r="J1233" s="1">
        <f ca="1">IFERROR(__xludf.DUMMYFUNCTION("""COMPUTED_VALUE"""),2000)</f>
        <v>2000</v>
      </c>
      <c r="K1233" s="1" t="str">
        <f ca="1">IFERROR(__xludf.DUMMYFUNCTION("""COMPUTED_VALUE"""),"Social Sciences")</f>
        <v>Social Sciences</v>
      </c>
      <c r="L1233" s="1" t="str">
        <f ca="1">IFERROR(__xludf.DUMMYFUNCTION("""COMPUTED_VALUE"""),"〇")</f>
        <v>〇</v>
      </c>
      <c r="M1233" s="1" t="str">
        <f ca="1">IFERROR(__xludf.DUMMYFUNCTION("""COMPUTED_VALUE"""),"〇")</f>
        <v>〇</v>
      </c>
      <c r="N1233" s="1"/>
      <c r="O1233" s="1"/>
      <c r="P1233" s="1"/>
    </row>
    <row r="1234" spans="1:16" ht="14.25" customHeight="1" x14ac:dyDescent="0.25">
      <c r="A1234" s="1"/>
      <c r="B1234" s="1">
        <f ca="1"/>
        <v>1222</v>
      </c>
      <c r="C1234" s="1">
        <f ca="1">IFERROR(__xludf.DUMMYFUNCTION("""COMPUTED_VALUE"""),2023)</f>
        <v>2023</v>
      </c>
      <c r="D1234" s="1">
        <f ca="1">IFERROR(__xludf.DUMMYFUNCTION("""COMPUTED_VALUE"""),10896)</f>
        <v>10896</v>
      </c>
      <c r="E1234" s="1" t="str">
        <f ca="1">IFERROR(__xludf.DUMMYFUNCTION("""COMPUTED_VALUE"""),"Journal of Family Violence")</f>
        <v>Journal of Family Violence</v>
      </c>
      <c r="F1234" s="1" t="str">
        <f ca="1">IFERROR(__xludf.DUMMYFUNCTION("""COMPUTED_VALUE"""),"1573-2851")</f>
        <v>1573-2851</v>
      </c>
      <c r="G1234" s="1" t="str">
        <f ca="1">IFERROR(__xludf.DUMMYFUNCTION("""COMPUTED_VALUE"""),"0885-7482")</f>
        <v>0885-7482</v>
      </c>
      <c r="H1234" s="27" t="str">
        <f ca="1">IFERROR(__xludf.DUMMYFUNCTION("""COMPUTED_VALUE"""),"https://link.springer.com/journal/10896")</f>
        <v>https://link.springer.com/journal/10896</v>
      </c>
      <c r="I1234" s="1" t="str">
        <f ca="1">IFERROR(__xludf.DUMMYFUNCTION("""COMPUTED_VALUE"""),"Springer")</f>
        <v>Springer</v>
      </c>
      <c r="J1234" s="1">
        <f ca="1">IFERROR(__xludf.DUMMYFUNCTION("""COMPUTED_VALUE"""),2000)</f>
        <v>2000</v>
      </c>
      <c r="K1234" s="1" t="str">
        <f ca="1">IFERROR(__xludf.DUMMYFUNCTION("""COMPUTED_VALUE"""),"Medicine")</f>
        <v>Medicine</v>
      </c>
      <c r="L1234" s="1" t="str">
        <f ca="1">IFERROR(__xludf.DUMMYFUNCTION("""COMPUTED_VALUE"""),"〇")</f>
        <v>〇</v>
      </c>
      <c r="M1234" s="1" t="str">
        <f ca="1">IFERROR(__xludf.DUMMYFUNCTION("""COMPUTED_VALUE"""),"〇")</f>
        <v>〇</v>
      </c>
      <c r="N1234" s="1"/>
      <c r="O1234" s="1"/>
      <c r="P1234" s="1"/>
    </row>
    <row r="1235" spans="1:16" ht="14.25" customHeight="1" x14ac:dyDescent="0.25">
      <c r="A1235" s="1"/>
      <c r="B1235" s="1">
        <f ca="1"/>
        <v>1223</v>
      </c>
      <c r="C1235" s="1">
        <f ca="1">IFERROR(__xludf.DUMMYFUNCTION("""COMPUTED_VALUE"""),2023)</f>
        <v>2023</v>
      </c>
      <c r="D1235" s="1">
        <f ca="1">IFERROR(__xludf.DUMMYFUNCTION("""COMPUTED_VALUE"""),10693)</f>
        <v>10693</v>
      </c>
      <c r="E1235" s="1" t="str">
        <f ca="1">IFERROR(__xludf.DUMMYFUNCTION("""COMPUTED_VALUE"""),"Journal of Financial Services Research")</f>
        <v>Journal of Financial Services Research</v>
      </c>
      <c r="F1235" s="1" t="str">
        <f ca="1">IFERROR(__xludf.DUMMYFUNCTION("""COMPUTED_VALUE"""),"1573-0735")</f>
        <v>1573-0735</v>
      </c>
      <c r="G1235" s="1" t="str">
        <f ca="1">IFERROR(__xludf.DUMMYFUNCTION("""COMPUTED_VALUE"""),"0920-8550")</f>
        <v>0920-8550</v>
      </c>
      <c r="H1235" s="27" t="str">
        <f ca="1">IFERROR(__xludf.DUMMYFUNCTION("""COMPUTED_VALUE"""),"https://link.springer.com/journal/10693")</f>
        <v>https://link.springer.com/journal/10693</v>
      </c>
      <c r="I1235" s="1" t="str">
        <f ca="1">IFERROR(__xludf.DUMMYFUNCTION("""COMPUTED_VALUE"""),"Springer")</f>
        <v>Springer</v>
      </c>
      <c r="J1235" s="1">
        <f ca="1">IFERROR(__xludf.DUMMYFUNCTION("""COMPUTED_VALUE"""),2000)</f>
        <v>2000</v>
      </c>
      <c r="K1235" s="1" t="str">
        <f ca="1">IFERROR(__xludf.DUMMYFUNCTION("""COMPUTED_VALUE"""),"Economics and Finance")</f>
        <v>Economics and Finance</v>
      </c>
      <c r="L1235" s="1" t="str">
        <f ca="1">IFERROR(__xludf.DUMMYFUNCTION("""COMPUTED_VALUE"""),"〇")</f>
        <v>〇</v>
      </c>
      <c r="M1235" s="1" t="str">
        <f ca="1">IFERROR(__xludf.DUMMYFUNCTION("""COMPUTED_VALUE"""),"〇")</f>
        <v>〇</v>
      </c>
      <c r="N1235" s="1"/>
      <c r="O1235" s="1"/>
      <c r="P1235" s="1"/>
    </row>
    <row r="1236" spans="1:16" ht="14.25" customHeight="1" x14ac:dyDescent="0.25">
      <c r="A1236" s="1"/>
      <c r="B1236" s="1">
        <f ca="1"/>
        <v>1224</v>
      </c>
      <c r="C1236" s="1">
        <f ca="1">IFERROR(__xludf.DUMMYFUNCTION("""COMPUTED_VALUE"""),2023)</f>
        <v>2023</v>
      </c>
      <c r="D1236" s="1">
        <f ca="1">IFERROR(__xludf.DUMMYFUNCTION("""COMPUTED_VALUE"""),11784)</f>
        <v>11784</v>
      </c>
      <c r="E1236" s="1" t="str">
        <f ca="1">IFERROR(__xludf.DUMMYFUNCTION("""COMPUTED_VALUE"""),"Journal of Fixed Point Theory and Applications")</f>
        <v>Journal of Fixed Point Theory and Applications</v>
      </c>
      <c r="F1236" s="1" t="str">
        <f ca="1">IFERROR(__xludf.DUMMYFUNCTION("""COMPUTED_VALUE"""),"1661-7746")</f>
        <v>1661-7746</v>
      </c>
      <c r="G1236" s="1" t="str">
        <f ca="1">IFERROR(__xludf.DUMMYFUNCTION("""COMPUTED_VALUE"""),"1661-7738")</f>
        <v>1661-7738</v>
      </c>
      <c r="H1236" s="27" t="str">
        <f ca="1">IFERROR(__xludf.DUMMYFUNCTION("""COMPUTED_VALUE"""),"https://link.springer.com/journal/11784")</f>
        <v>https://link.springer.com/journal/11784</v>
      </c>
      <c r="I1236" s="1" t="str">
        <f ca="1">IFERROR(__xludf.DUMMYFUNCTION("""COMPUTED_VALUE"""),"Birkhäuser")</f>
        <v>Birkhäuser</v>
      </c>
      <c r="J1236" s="1">
        <f ca="1">IFERROR(__xludf.DUMMYFUNCTION("""COMPUTED_VALUE"""),2007)</f>
        <v>2007</v>
      </c>
      <c r="K1236" s="1" t="str">
        <f ca="1">IFERROR(__xludf.DUMMYFUNCTION("""COMPUTED_VALUE"""),"Mathematics and Statistics")</f>
        <v>Mathematics and Statistics</v>
      </c>
      <c r="L1236" s="1" t="str">
        <f ca="1">IFERROR(__xludf.DUMMYFUNCTION("""COMPUTED_VALUE"""),"〇")</f>
        <v>〇</v>
      </c>
      <c r="M1236" s="1" t="str">
        <f ca="1">IFERROR(__xludf.DUMMYFUNCTION("""COMPUTED_VALUE"""),"〇")</f>
        <v>〇</v>
      </c>
      <c r="N1236" s="1" t="str">
        <f ca="1">IFERROR(__xludf.DUMMYFUNCTION("""COMPUTED_VALUE"""),"SNS7")</f>
        <v>SNS7</v>
      </c>
      <c r="O1236" s="1"/>
      <c r="P1236" s="1"/>
    </row>
    <row r="1237" spans="1:16" ht="14.25" customHeight="1" x14ac:dyDescent="0.25">
      <c r="A1237" s="1"/>
      <c r="B1237" s="1">
        <f ca="1"/>
        <v>1225</v>
      </c>
      <c r="C1237" s="1">
        <f ca="1">IFERROR(__xludf.DUMMYFUNCTION("""COMPUTED_VALUE"""),2023)</f>
        <v>2023</v>
      </c>
      <c r="D1237" s="1">
        <f ca="1">IFERROR(__xludf.DUMMYFUNCTION("""COMPUTED_VALUE"""),41981)</f>
        <v>41981</v>
      </c>
      <c r="E1237" s="1" t="str">
        <f ca="1">IFERROR(__xludf.DUMMYFUNCTION("""COMPUTED_VALUE"""),"Journal of Flow Chemistry")</f>
        <v>Journal of Flow Chemistry</v>
      </c>
      <c r="F1237" s="1" t="str">
        <f ca="1">IFERROR(__xludf.DUMMYFUNCTION("""COMPUTED_VALUE"""),"2063-0212")</f>
        <v>2063-0212</v>
      </c>
      <c r="G1237" s="1" t="str">
        <f ca="1">IFERROR(__xludf.DUMMYFUNCTION("""COMPUTED_VALUE"""),"2062-249X")</f>
        <v>2062-249X</v>
      </c>
      <c r="H1237" s="27" t="str">
        <f ca="1">IFERROR(__xludf.DUMMYFUNCTION("""COMPUTED_VALUE"""),"https://link.springer.com/journal/41981")</f>
        <v>https://link.springer.com/journal/41981</v>
      </c>
      <c r="I1237" s="1" t="str">
        <f ca="1">IFERROR(__xludf.DUMMYFUNCTION("""COMPUTED_VALUE"""),"Akadémiai Kiadó, co-published with Springer")</f>
        <v>Akadémiai Kiadó, co-published with Springer</v>
      </c>
      <c r="J1237" s="1">
        <f ca="1">IFERROR(__xludf.DUMMYFUNCTION("""COMPUTED_VALUE"""),2011)</f>
        <v>2011</v>
      </c>
      <c r="K1237" s="1" t="str">
        <f ca="1">IFERROR(__xludf.DUMMYFUNCTION("""COMPUTED_VALUE"""),"Chemistry and Materials Science")</f>
        <v>Chemistry and Materials Science</v>
      </c>
      <c r="L1237" s="1" t="str">
        <f ca="1">IFERROR(__xludf.DUMMYFUNCTION("""COMPUTED_VALUE"""),"〇")</f>
        <v>〇</v>
      </c>
      <c r="M1237" s="1"/>
      <c r="N1237" s="1" t="str">
        <f ca="1">IFERROR(__xludf.DUMMYFUNCTION("""COMPUTED_VALUE"""),"TO18")</f>
        <v>TO18</v>
      </c>
      <c r="O1237" s="1"/>
      <c r="P1237" s="1"/>
    </row>
    <row r="1238" spans="1:16" ht="14.25" customHeight="1" x14ac:dyDescent="0.25">
      <c r="A1238" s="1"/>
      <c r="B1238" s="1">
        <f ca="1"/>
        <v>1226</v>
      </c>
      <c r="C1238" s="1">
        <f ca="1">IFERROR(__xludf.DUMMYFUNCTION("""COMPUTED_VALUE"""),2023)</f>
        <v>2023</v>
      </c>
      <c r="D1238" s="1">
        <f ca="1">IFERROR(__xludf.DUMMYFUNCTION("""COMPUTED_VALUE"""),10895)</f>
        <v>10895</v>
      </c>
      <c r="E1238" s="1" t="str">
        <f ca="1">IFERROR(__xludf.DUMMYFUNCTION("""COMPUTED_VALUE"""),"Journal of Fluorescence")</f>
        <v>Journal of Fluorescence</v>
      </c>
      <c r="F1238" s="1" t="str">
        <f ca="1">IFERROR(__xludf.DUMMYFUNCTION("""COMPUTED_VALUE"""),"1573-4994")</f>
        <v>1573-4994</v>
      </c>
      <c r="G1238" s="1" t="str">
        <f ca="1">IFERROR(__xludf.DUMMYFUNCTION("""COMPUTED_VALUE"""),"1053-0509")</f>
        <v>1053-0509</v>
      </c>
      <c r="H1238" s="27" t="str">
        <f ca="1">IFERROR(__xludf.DUMMYFUNCTION("""COMPUTED_VALUE"""),"https://link.springer.com/journal/10895")</f>
        <v>https://link.springer.com/journal/10895</v>
      </c>
      <c r="I1238" s="1" t="str">
        <f ca="1">IFERROR(__xludf.DUMMYFUNCTION("""COMPUTED_VALUE"""),"Springer")</f>
        <v>Springer</v>
      </c>
      <c r="J1238" s="1">
        <f ca="1">IFERROR(__xludf.DUMMYFUNCTION("""COMPUTED_VALUE"""),2000)</f>
        <v>2000</v>
      </c>
      <c r="K1238" s="1" t="str">
        <f ca="1">IFERROR(__xludf.DUMMYFUNCTION("""COMPUTED_VALUE"""),"Biomedical and Life Sciences")</f>
        <v>Biomedical and Life Sciences</v>
      </c>
      <c r="L1238" s="1" t="str">
        <f ca="1">IFERROR(__xludf.DUMMYFUNCTION("""COMPUTED_VALUE"""),"〇")</f>
        <v>〇</v>
      </c>
      <c r="M1238" s="1" t="str">
        <f ca="1">IFERROR(__xludf.DUMMYFUNCTION("""COMPUTED_VALUE"""),"〇")</f>
        <v>〇</v>
      </c>
      <c r="N1238" s="1"/>
      <c r="O1238" s="1"/>
      <c r="P1238" s="1"/>
    </row>
    <row r="1239" spans="1:16" ht="14.25" customHeight="1" x14ac:dyDescent="0.25">
      <c r="A1239" s="1"/>
      <c r="B1239" s="1">
        <f ca="1"/>
        <v>1227</v>
      </c>
      <c r="C1239" s="1">
        <f ca="1">IFERROR(__xludf.DUMMYFUNCTION("""COMPUTED_VALUE"""),2023)</f>
        <v>2023</v>
      </c>
      <c r="D1239" s="1">
        <f ca="1">IFERROR(__xludf.DUMMYFUNCTION("""COMPUTED_VALUE"""),11694)</f>
        <v>11694</v>
      </c>
      <c r="E1239" s="1" t="str">
        <f ca="1">IFERROR(__xludf.DUMMYFUNCTION("""COMPUTED_VALUE"""),"Journal of Food Measurement and Characterization")</f>
        <v>Journal of Food Measurement and Characterization</v>
      </c>
      <c r="F1239" s="1" t="str">
        <f ca="1">IFERROR(__xludf.DUMMYFUNCTION("""COMPUTED_VALUE"""),"2193-4134")</f>
        <v>2193-4134</v>
      </c>
      <c r="G1239" s="1"/>
      <c r="H1239" s="27" t="str">
        <f ca="1">IFERROR(__xludf.DUMMYFUNCTION("""COMPUTED_VALUE"""),"https://link.springer.com/journal/11694")</f>
        <v>https://link.springer.com/journal/11694</v>
      </c>
      <c r="I1239" s="1" t="str">
        <f ca="1">IFERROR(__xludf.DUMMYFUNCTION("""COMPUTED_VALUE"""),"Springer")</f>
        <v>Springer</v>
      </c>
      <c r="J1239" s="1">
        <f ca="1">IFERROR(__xludf.DUMMYFUNCTION("""COMPUTED_VALUE"""),2007)</f>
        <v>2007</v>
      </c>
      <c r="K1239" s="1" t="str">
        <f ca="1">IFERROR(__xludf.DUMMYFUNCTION("""COMPUTED_VALUE"""),"Chemistry and Materials Science")</f>
        <v>Chemistry and Materials Science</v>
      </c>
      <c r="L1239" s="1"/>
      <c r="M1239" s="1" t="str">
        <f ca="1">IFERROR(__xludf.DUMMYFUNCTION("""COMPUTED_VALUE"""),"〇")</f>
        <v>〇</v>
      </c>
      <c r="N1239" s="1"/>
      <c r="O1239" s="1"/>
      <c r="P1239" s="1"/>
    </row>
    <row r="1240" spans="1:16" ht="14.25" customHeight="1" x14ac:dyDescent="0.25">
      <c r="A1240" s="1"/>
      <c r="B1240" s="1">
        <f ca="1"/>
        <v>1228</v>
      </c>
      <c r="C1240" s="1">
        <f ca="1">IFERROR(__xludf.DUMMYFUNCTION("""COMPUTED_VALUE"""),2023)</f>
        <v>2023</v>
      </c>
      <c r="D1240" s="1">
        <f ca="1">IFERROR(__xludf.DUMMYFUNCTION("""COMPUTED_VALUE"""),13197)</f>
        <v>13197</v>
      </c>
      <c r="E1240" s="1" t="str">
        <f ca="1">IFERROR(__xludf.DUMMYFUNCTION("""COMPUTED_VALUE"""),"Journal of Food Science and Technology")</f>
        <v>Journal of Food Science and Technology</v>
      </c>
      <c r="F1240" s="1" t="str">
        <f ca="1">IFERROR(__xludf.DUMMYFUNCTION("""COMPUTED_VALUE"""),"0975-8402")</f>
        <v>0975-8402</v>
      </c>
      <c r="G1240" s="1" t="str">
        <f ca="1">IFERROR(__xludf.DUMMYFUNCTION("""COMPUTED_VALUE"""),"0022-1155")</f>
        <v>0022-1155</v>
      </c>
      <c r="H1240" s="27" t="str">
        <f ca="1">IFERROR(__xludf.DUMMYFUNCTION("""COMPUTED_VALUE"""),"https://link.springer.com/journal/13197")</f>
        <v>https://link.springer.com/journal/13197</v>
      </c>
      <c r="I1240" s="1" t="str">
        <f ca="1">IFERROR(__xludf.DUMMYFUNCTION("""COMPUTED_VALUE"""),"Springer")</f>
        <v>Springer</v>
      </c>
      <c r="J1240" s="1">
        <f ca="1">IFERROR(__xludf.DUMMYFUNCTION("""COMPUTED_VALUE"""),2010)</f>
        <v>2010</v>
      </c>
      <c r="K1240" s="1" t="str">
        <f ca="1">IFERROR(__xludf.DUMMYFUNCTION("""COMPUTED_VALUE"""),"Chemistry and Materials Science")</f>
        <v>Chemistry and Materials Science</v>
      </c>
      <c r="L1240" s="1" t="str">
        <f ca="1">IFERROR(__xludf.DUMMYFUNCTION("""COMPUTED_VALUE"""),"〇")</f>
        <v>〇</v>
      </c>
      <c r="M1240" s="1"/>
      <c r="N1240" s="1" t="str">
        <f ca="1">IFERROR(__xludf.DUMMYFUNCTION("""COMPUTED_VALUE"""),"TO10")</f>
        <v>TO10</v>
      </c>
      <c r="O1240" s="1"/>
      <c r="P1240" s="1"/>
    </row>
    <row r="1241" spans="1:16" ht="14.25" customHeight="1" x14ac:dyDescent="0.25">
      <c r="A1241" s="1"/>
      <c r="B1241" s="1">
        <f ca="1"/>
        <v>1229</v>
      </c>
      <c r="C1241" s="1">
        <f ca="1">IFERROR(__xludf.DUMMYFUNCTION("""COMPUTED_VALUE"""),2023)</f>
        <v>2023</v>
      </c>
      <c r="D1241" s="1">
        <f ca="1">IFERROR(__xludf.DUMMYFUNCTION("""COMPUTED_VALUE"""),11676)</f>
        <v>11676</v>
      </c>
      <c r="E1241" s="1" t="str">
        <f ca="1">IFERROR(__xludf.DUMMYFUNCTION("""COMPUTED_VALUE"""),"Journal of Forestry Research")</f>
        <v>Journal of Forestry Research</v>
      </c>
      <c r="F1241" s="1" t="str">
        <f ca="1">IFERROR(__xludf.DUMMYFUNCTION("""COMPUTED_VALUE"""),"1993-0607")</f>
        <v>1993-0607</v>
      </c>
      <c r="G1241" s="1" t="str">
        <f ca="1">IFERROR(__xludf.DUMMYFUNCTION("""COMPUTED_VALUE"""),"1007-662X")</f>
        <v>1007-662X</v>
      </c>
      <c r="H1241" s="27" t="str">
        <f ca="1">IFERROR(__xludf.DUMMYFUNCTION("""COMPUTED_VALUE"""),"https://link.springer.com/journal/11676")</f>
        <v>https://link.springer.com/journal/11676</v>
      </c>
      <c r="I1241" s="1" t="str">
        <f ca="1">IFERROR(__xludf.DUMMYFUNCTION("""COMPUTED_VALUE"""),"Northeast Forestry University, co-published with Springer")</f>
        <v>Northeast Forestry University, co-published with Springer</v>
      </c>
      <c r="J1241" s="1">
        <f ca="1">IFERROR(__xludf.DUMMYFUNCTION("""COMPUTED_VALUE"""),2000)</f>
        <v>2000</v>
      </c>
      <c r="K1241" s="1" t="str">
        <f ca="1">IFERROR(__xludf.DUMMYFUNCTION("""COMPUTED_VALUE"""),"Biomedical and Life Sciences")</f>
        <v>Biomedical and Life Sciences</v>
      </c>
      <c r="L1241" s="1" t="str">
        <f ca="1">IFERROR(__xludf.DUMMYFUNCTION("""COMPUTED_VALUE"""),"〇")</f>
        <v>〇</v>
      </c>
      <c r="M1241" s="1" t="str">
        <f ca="1">IFERROR(__xludf.DUMMYFUNCTION("""COMPUTED_VALUE"""),"〇")</f>
        <v>〇</v>
      </c>
      <c r="N1241" s="1" t="str">
        <f ca="1">IFERROR(__xludf.DUMMYFUNCTION("""COMPUTED_VALUE"""),"TO7")</f>
        <v>TO7</v>
      </c>
      <c r="O1241" s="1"/>
      <c r="P1241" s="1"/>
    </row>
    <row r="1242" spans="1:16" ht="14.25" customHeight="1" x14ac:dyDescent="0.25">
      <c r="A1242" s="1"/>
      <c r="B1242" s="1">
        <f ca="1"/>
        <v>1230</v>
      </c>
      <c r="C1242" s="1">
        <f ca="1">IFERROR(__xludf.DUMMYFUNCTION("""COMPUTED_VALUE"""),2023)</f>
        <v>2023</v>
      </c>
      <c r="D1242" s="1">
        <f ca="1">IFERROR(__xludf.DUMMYFUNCTION("""COMPUTED_VALUE"""),41686)</f>
        <v>41686</v>
      </c>
      <c r="E1242" s="1" t="str">
        <f ca="1">IFERROR(__xludf.DUMMYFUNCTION("""COMPUTED_VALUE"""),"Journal of Formative Design in Learning")</f>
        <v>Journal of Formative Design in Learning</v>
      </c>
      <c r="F1242" s="1" t="str">
        <f ca="1">IFERROR(__xludf.DUMMYFUNCTION("""COMPUTED_VALUE"""),"2509-8039")</f>
        <v>2509-8039</v>
      </c>
      <c r="G1242" s="1"/>
      <c r="H1242" s="27" t="str">
        <f ca="1">IFERROR(__xludf.DUMMYFUNCTION("""COMPUTED_VALUE"""),"https://link.springer.com/journal/41686")</f>
        <v>https://link.springer.com/journal/41686</v>
      </c>
      <c r="I1242" s="1" t="str">
        <f ca="1">IFERROR(__xludf.DUMMYFUNCTION("""COMPUTED_VALUE"""),"Springer")</f>
        <v>Springer</v>
      </c>
      <c r="J1242" s="1">
        <f ca="1">IFERROR(__xludf.DUMMYFUNCTION("""COMPUTED_VALUE"""),2017)</f>
        <v>2017</v>
      </c>
      <c r="K1242" s="1" t="str">
        <f ca="1">IFERROR(__xludf.DUMMYFUNCTION("""COMPUTED_VALUE"""),"Education")</f>
        <v>Education</v>
      </c>
      <c r="L1242" s="1"/>
      <c r="M1242" s="1"/>
      <c r="N1242" s="1" t="str">
        <f ca="1">IFERROR(__xludf.DUMMYFUNCTION("""COMPUTED_VALUE"""),"SNS17")</f>
        <v>SNS17</v>
      </c>
      <c r="O1242" s="1"/>
      <c r="P1242" s="1"/>
    </row>
    <row r="1243" spans="1:16" ht="14.25" customHeight="1" x14ac:dyDescent="0.25">
      <c r="A1243" s="1"/>
      <c r="B1243" s="1">
        <f ca="1"/>
        <v>1231</v>
      </c>
      <c r="C1243" s="1">
        <f ca="1">IFERROR(__xludf.DUMMYFUNCTION("""COMPUTED_VALUE"""),2023)</f>
        <v>2023</v>
      </c>
      <c r="D1243" s="1">
        <f ca="1">IFERROR(__xludf.DUMMYFUNCTION("""COMPUTED_VALUE"""),41)</f>
        <v>41</v>
      </c>
      <c r="E1243" s="1" t="str">
        <f ca="1">IFERROR(__xludf.DUMMYFUNCTION("""COMPUTED_VALUE"""),"Journal of Fourier Analysis and Applications")</f>
        <v>Journal of Fourier Analysis and Applications</v>
      </c>
      <c r="F1243" s="1" t="str">
        <f ca="1">IFERROR(__xludf.DUMMYFUNCTION("""COMPUTED_VALUE"""),"1531-5851")</f>
        <v>1531-5851</v>
      </c>
      <c r="G1243" s="1" t="str">
        <f ca="1">IFERROR(__xludf.DUMMYFUNCTION("""COMPUTED_VALUE"""),"1069-5869")</f>
        <v>1069-5869</v>
      </c>
      <c r="H1243" s="27" t="str">
        <f ca="1">IFERROR(__xludf.DUMMYFUNCTION("""COMPUTED_VALUE"""),"https://link.springer.com/journal/41")</f>
        <v>https://link.springer.com/journal/41</v>
      </c>
      <c r="I1243" s="1" t="str">
        <f ca="1">IFERROR(__xludf.DUMMYFUNCTION("""COMPUTED_VALUE"""),"Birkhäuser")</f>
        <v>Birkhäuser</v>
      </c>
      <c r="J1243" s="1">
        <f ca="1">IFERROR(__xludf.DUMMYFUNCTION("""COMPUTED_VALUE"""),2000)</f>
        <v>2000</v>
      </c>
      <c r="K1243" s="1" t="str">
        <f ca="1">IFERROR(__xludf.DUMMYFUNCTION("""COMPUTED_VALUE"""),"Mathematics and Statistics")</f>
        <v>Mathematics and Statistics</v>
      </c>
      <c r="L1243" s="1" t="str">
        <f ca="1">IFERROR(__xludf.DUMMYFUNCTION("""COMPUTED_VALUE"""),"〇")</f>
        <v>〇</v>
      </c>
      <c r="M1243" s="1" t="str">
        <f ca="1">IFERROR(__xludf.DUMMYFUNCTION("""COMPUTED_VALUE"""),"〇")</f>
        <v>〇</v>
      </c>
      <c r="N1243" s="1"/>
      <c r="O1243" s="1"/>
      <c r="P1243" s="1"/>
    </row>
    <row r="1244" spans="1:16" ht="14.25" customHeight="1" x14ac:dyDescent="0.25">
      <c r="A1244" s="1"/>
      <c r="B1244" s="1">
        <f ca="1"/>
        <v>1232</v>
      </c>
      <c r="C1244" s="1">
        <f ca="1">IFERROR(__xludf.DUMMYFUNCTION("""COMPUTED_VALUE"""),2023)</f>
        <v>2023</v>
      </c>
      <c r="D1244" s="1">
        <f ca="1">IFERROR(__xludf.DUMMYFUNCTION("""COMPUTED_VALUE"""),11959)</f>
        <v>11959</v>
      </c>
      <c r="E1244" s="1" t="str">
        <f ca="1">IFERROR(__xludf.DUMMYFUNCTION("""COMPUTED_VALUE"""),"Journal of Friction and Wear")</f>
        <v>Journal of Friction and Wear</v>
      </c>
      <c r="F1244" s="1" t="str">
        <f ca="1">IFERROR(__xludf.DUMMYFUNCTION("""COMPUTED_VALUE"""),"1934-9386")</f>
        <v>1934-9386</v>
      </c>
      <c r="G1244" s="1" t="str">
        <f ca="1">IFERROR(__xludf.DUMMYFUNCTION("""COMPUTED_VALUE"""),"1068-3666")</f>
        <v>1068-3666</v>
      </c>
      <c r="H1244" s="27" t="str">
        <f ca="1">IFERROR(__xludf.DUMMYFUNCTION("""COMPUTED_VALUE"""),"https://link.springer.com/journal/11959")</f>
        <v>https://link.springer.com/journal/11959</v>
      </c>
      <c r="I1244" s="1" t="str">
        <f ca="1">IFERROR(__xludf.DUMMYFUNCTION("""COMPUTED_VALUE"""),"Pleiades Publishing")</f>
        <v>Pleiades Publishing</v>
      </c>
      <c r="J1244" s="1">
        <f ca="1">IFERROR(__xludf.DUMMYFUNCTION("""COMPUTED_VALUE"""),2007)</f>
        <v>2007</v>
      </c>
      <c r="K1244" s="1" t="str">
        <f ca="1">IFERROR(__xludf.DUMMYFUNCTION("""COMPUTED_VALUE"""),"Physics and Astronomy")</f>
        <v>Physics and Astronomy</v>
      </c>
      <c r="L1244" s="1" t="str">
        <f ca="1">IFERROR(__xludf.DUMMYFUNCTION("""COMPUTED_VALUE"""),"〇")</f>
        <v>〇</v>
      </c>
      <c r="M1244" s="1" t="str">
        <f ca="1">IFERROR(__xludf.DUMMYFUNCTION("""COMPUTED_VALUE"""),"〇")</f>
        <v>〇</v>
      </c>
      <c r="N1244" s="1" t="str">
        <f ca="1">IFERROR(__xludf.DUMMYFUNCTION("""COMPUTED_VALUE"""),"TO7")</f>
        <v>TO7</v>
      </c>
      <c r="O1244" s="1"/>
      <c r="P1244" s="1"/>
    </row>
    <row r="1245" spans="1:16" ht="14.25" customHeight="1" x14ac:dyDescent="0.25">
      <c r="A1245" s="1"/>
      <c r="B1245" s="1">
        <f ca="1"/>
        <v>1233</v>
      </c>
      <c r="C1245" s="1">
        <f ca="1">IFERROR(__xludf.DUMMYFUNCTION("""COMPUTED_VALUE"""),2023)</f>
        <v>2023</v>
      </c>
      <c r="D1245" s="1">
        <f ca="1">IFERROR(__xludf.DUMMYFUNCTION("""COMPUTED_VALUE"""),10894)</f>
        <v>10894</v>
      </c>
      <c r="E1245" s="1" t="str">
        <f ca="1">IFERROR(__xludf.DUMMYFUNCTION("""COMPUTED_VALUE"""),"Journal of Fusion Energy")</f>
        <v>Journal of Fusion Energy</v>
      </c>
      <c r="F1245" s="1" t="str">
        <f ca="1">IFERROR(__xludf.DUMMYFUNCTION("""COMPUTED_VALUE"""),"1572-9591")</f>
        <v>1572-9591</v>
      </c>
      <c r="G1245" s="1"/>
      <c r="H1245" s="27" t="str">
        <f ca="1">IFERROR(__xludf.DUMMYFUNCTION("""COMPUTED_VALUE"""),"https://link.springer.com/journal/10894")</f>
        <v>https://link.springer.com/journal/10894</v>
      </c>
      <c r="I1245" s="1" t="str">
        <f ca="1">IFERROR(__xludf.DUMMYFUNCTION("""COMPUTED_VALUE"""),"Springer")</f>
        <v>Springer</v>
      </c>
      <c r="J1245" s="1">
        <f ca="1">IFERROR(__xludf.DUMMYFUNCTION("""COMPUTED_VALUE"""),2000)</f>
        <v>2000</v>
      </c>
      <c r="K1245" s="1" t="str">
        <f ca="1">IFERROR(__xludf.DUMMYFUNCTION("""COMPUTED_VALUE"""),"Physics and Astronomy")</f>
        <v>Physics and Astronomy</v>
      </c>
      <c r="L1245" s="1"/>
      <c r="M1245" s="1" t="str">
        <f ca="1">IFERROR(__xludf.DUMMYFUNCTION("""COMPUTED_VALUE"""),"〇")</f>
        <v>〇</v>
      </c>
      <c r="N1245" s="1"/>
      <c r="O1245" s="1"/>
      <c r="P1245" s="1"/>
    </row>
    <row r="1246" spans="1:16" ht="14.25" customHeight="1" x14ac:dyDescent="0.25">
      <c r="A1246" s="1"/>
      <c r="B1246" s="1">
        <f ca="1"/>
        <v>1234</v>
      </c>
      <c r="C1246" s="1">
        <f ca="1">IFERROR(__xludf.DUMMYFUNCTION("""COMPUTED_VALUE"""),2023)</f>
        <v>2023</v>
      </c>
      <c r="D1246" s="1">
        <f ca="1">IFERROR(__xludf.DUMMYFUNCTION("""COMPUTED_VALUE"""),10899)</f>
        <v>10899</v>
      </c>
      <c r="E1246" s="1" t="str">
        <f ca="1">IFERROR(__xludf.DUMMYFUNCTION("""COMPUTED_VALUE"""),"Journal of Gambling Studies")</f>
        <v>Journal of Gambling Studies</v>
      </c>
      <c r="F1246" s="1" t="str">
        <f ca="1">IFERROR(__xludf.DUMMYFUNCTION("""COMPUTED_VALUE"""),"1573-3602")</f>
        <v>1573-3602</v>
      </c>
      <c r="G1246" s="1"/>
      <c r="H1246" s="27" t="str">
        <f ca="1">IFERROR(__xludf.DUMMYFUNCTION("""COMPUTED_VALUE"""),"https://link.springer.com/journal/10899")</f>
        <v>https://link.springer.com/journal/10899</v>
      </c>
      <c r="I1246" s="1" t="str">
        <f ca="1">IFERROR(__xludf.DUMMYFUNCTION("""COMPUTED_VALUE"""),"Springer")</f>
        <v>Springer</v>
      </c>
      <c r="J1246" s="1">
        <f ca="1">IFERROR(__xludf.DUMMYFUNCTION("""COMPUTED_VALUE"""),2000)</f>
        <v>2000</v>
      </c>
      <c r="K1246" s="1" t="str">
        <f ca="1">IFERROR(__xludf.DUMMYFUNCTION("""COMPUTED_VALUE"""),"Medicine")</f>
        <v>Medicine</v>
      </c>
      <c r="L1246" s="1"/>
      <c r="M1246" s="1" t="str">
        <f ca="1">IFERROR(__xludf.DUMMYFUNCTION("""COMPUTED_VALUE"""),"〇")</f>
        <v>〇</v>
      </c>
      <c r="N1246" s="1"/>
      <c r="O1246" s="1"/>
      <c r="P1246" s="1"/>
    </row>
    <row r="1247" spans="1:16" ht="14.25" customHeight="1" x14ac:dyDescent="0.25">
      <c r="A1247" s="1"/>
      <c r="B1247" s="1">
        <f ca="1"/>
        <v>1235</v>
      </c>
      <c r="C1247" s="1">
        <f ca="1">IFERROR(__xludf.DUMMYFUNCTION("""COMPUTED_VALUE"""),2023)</f>
        <v>2023</v>
      </c>
      <c r="D1247" s="1">
        <f ca="1">IFERROR(__xludf.DUMMYFUNCTION("""COMPUTED_VALUE"""),535)</f>
        <v>535</v>
      </c>
      <c r="E1247" s="1" t="str">
        <f ca="1">IFERROR(__xludf.DUMMYFUNCTION("""COMPUTED_VALUE"""),"Journal of Gastroenterology")</f>
        <v>Journal of Gastroenterology</v>
      </c>
      <c r="F1247" s="1" t="str">
        <f ca="1">IFERROR(__xludf.DUMMYFUNCTION("""COMPUTED_VALUE"""),"1435-5922")</f>
        <v>1435-5922</v>
      </c>
      <c r="G1247" s="1" t="str">
        <f ca="1">IFERROR(__xludf.DUMMYFUNCTION("""COMPUTED_VALUE"""),"0944-1174")</f>
        <v>0944-1174</v>
      </c>
      <c r="H1247" s="27" t="str">
        <f ca="1">IFERROR(__xludf.DUMMYFUNCTION("""COMPUTED_VALUE"""),"https://link.springer.com/journal/535")</f>
        <v>https://link.springer.com/journal/535</v>
      </c>
      <c r="I1247" s="1" t="str">
        <f ca="1">IFERROR(__xludf.DUMMYFUNCTION("""COMPUTED_VALUE"""),"Springer")</f>
        <v>Springer</v>
      </c>
      <c r="J1247" s="1">
        <f ca="1">IFERROR(__xludf.DUMMYFUNCTION("""COMPUTED_VALUE"""),2000)</f>
        <v>2000</v>
      </c>
      <c r="K1247" s="1" t="str">
        <f ca="1">IFERROR(__xludf.DUMMYFUNCTION("""COMPUTED_VALUE"""),"Medicine")</f>
        <v>Medicine</v>
      </c>
      <c r="L1247" s="1" t="str">
        <f ca="1">IFERROR(__xludf.DUMMYFUNCTION("""COMPUTED_VALUE"""),"〇")</f>
        <v>〇</v>
      </c>
      <c r="M1247" s="1" t="str">
        <f ca="1">IFERROR(__xludf.DUMMYFUNCTION("""COMPUTED_VALUE"""),"〇")</f>
        <v>〇</v>
      </c>
      <c r="N1247" s="1"/>
      <c r="O1247" s="1"/>
      <c r="P1247" s="1"/>
    </row>
    <row r="1248" spans="1:16" ht="14.25" customHeight="1" x14ac:dyDescent="0.25">
      <c r="A1248" s="1"/>
      <c r="B1248" s="1">
        <f ca="1"/>
        <v>1236</v>
      </c>
      <c r="C1248" s="1">
        <f ca="1">IFERROR(__xludf.DUMMYFUNCTION("""COMPUTED_VALUE"""),2023)</f>
        <v>2023</v>
      </c>
      <c r="D1248" s="1">
        <f ca="1">IFERROR(__xludf.DUMMYFUNCTION("""COMPUTED_VALUE"""),12029)</f>
        <v>12029</v>
      </c>
      <c r="E1248" s="1" t="str">
        <f ca="1">IFERROR(__xludf.DUMMYFUNCTION("""COMPUTED_VALUE"""),"Journal of Gastrointestinal Cancer")</f>
        <v>Journal of Gastrointestinal Cancer</v>
      </c>
      <c r="F1248" s="1" t="str">
        <f ca="1">IFERROR(__xludf.DUMMYFUNCTION("""COMPUTED_VALUE"""),"1941-6636")</f>
        <v>1941-6636</v>
      </c>
      <c r="G1248" s="1"/>
      <c r="H1248" s="27" t="str">
        <f ca="1">IFERROR(__xludf.DUMMYFUNCTION("""COMPUTED_VALUE"""),"https://link.springer.com/journal/12029")</f>
        <v>https://link.springer.com/journal/12029</v>
      </c>
      <c r="I1248" s="1" t="str">
        <f ca="1">IFERROR(__xludf.DUMMYFUNCTION("""COMPUTED_VALUE"""),"Springer")</f>
        <v>Springer</v>
      </c>
      <c r="J1248" s="1">
        <f ca="1">IFERROR(__xludf.DUMMYFUNCTION("""COMPUTED_VALUE"""),2000)</f>
        <v>2000</v>
      </c>
      <c r="K1248" s="1" t="str">
        <f ca="1">IFERROR(__xludf.DUMMYFUNCTION("""COMPUTED_VALUE"""),"Medicine")</f>
        <v>Medicine</v>
      </c>
      <c r="L1248" s="1"/>
      <c r="M1248" s="1" t="str">
        <f ca="1">IFERROR(__xludf.DUMMYFUNCTION("""COMPUTED_VALUE"""),"〇")</f>
        <v>〇</v>
      </c>
      <c r="N1248" s="1" t="str">
        <f ca="1">IFERROR(__xludf.DUMMYFUNCTION("""COMPUTED_VALUE"""),"TO7")</f>
        <v>TO7</v>
      </c>
      <c r="O1248" s="1"/>
      <c r="P1248" s="1"/>
    </row>
    <row r="1249" spans="1:16" ht="14.25" customHeight="1" x14ac:dyDescent="0.25">
      <c r="A1249" s="1"/>
      <c r="B1249" s="1">
        <f ca="1"/>
        <v>1237</v>
      </c>
      <c r="C1249" s="1">
        <f ca="1">IFERROR(__xludf.DUMMYFUNCTION("""COMPUTED_VALUE"""),2023)</f>
        <v>2023</v>
      </c>
      <c r="D1249" s="1">
        <f ca="1">IFERROR(__xludf.DUMMYFUNCTION("""COMPUTED_VALUE"""),11605)</f>
        <v>11605</v>
      </c>
      <c r="E1249" s="1" t="str">
        <f ca="1">IFERROR(__xludf.DUMMYFUNCTION("""COMPUTED_VALUE"""),"Journal of Gastrointestinal Surgery")</f>
        <v>Journal of Gastrointestinal Surgery</v>
      </c>
      <c r="F1249" s="1" t="str">
        <f ca="1">IFERROR(__xludf.DUMMYFUNCTION("""COMPUTED_VALUE"""),"1873-4626")</f>
        <v>1873-4626</v>
      </c>
      <c r="G1249" s="1" t="str">
        <f ca="1">IFERROR(__xludf.DUMMYFUNCTION("""COMPUTED_VALUE"""),"1091-255X")</f>
        <v>1091-255X</v>
      </c>
      <c r="H1249" s="27" t="str">
        <f ca="1">IFERROR(__xludf.DUMMYFUNCTION("""COMPUTED_VALUE"""),"https://link.springer.com/journal/11605")</f>
        <v>https://link.springer.com/journal/11605</v>
      </c>
      <c r="I1249" s="1" t="str">
        <f ca="1">IFERROR(__xludf.DUMMYFUNCTION("""COMPUTED_VALUE"""),"Springer")</f>
        <v>Springer</v>
      </c>
      <c r="J1249" s="1">
        <f ca="1">IFERROR(__xludf.DUMMYFUNCTION("""COMPUTED_VALUE"""),2000)</f>
        <v>2000</v>
      </c>
      <c r="K1249" s="1" t="str">
        <f ca="1">IFERROR(__xludf.DUMMYFUNCTION("""COMPUTED_VALUE"""),"Medicine")</f>
        <v>Medicine</v>
      </c>
      <c r="L1249" s="1" t="str">
        <f ca="1">IFERROR(__xludf.DUMMYFUNCTION("""COMPUTED_VALUE"""),"〇")</f>
        <v>〇</v>
      </c>
      <c r="M1249" s="1" t="str">
        <f ca="1">IFERROR(__xludf.DUMMYFUNCTION("""COMPUTED_VALUE"""),"〇")</f>
        <v>〇</v>
      </c>
      <c r="N1249" s="1" t="str">
        <f ca="1">IFERROR(__xludf.DUMMYFUNCTION("""COMPUTED_VALUE"""),"TO7")</f>
        <v>TO7</v>
      </c>
      <c r="O1249" s="1"/>
      <c r="P1249" s="1"/>
    </row>
    <row r="1250" spans="1:16" ht="14.25" customHeight="1" x14ac:dyDescent="0.25">
      <c r="A1250" s="1"/>
      <c r="B1250" s="1">
        <f ca="1"/>
        <v>1238</v>
      </c>
      <c r="C1250" s="1">
        <f ca="1">IFERROR(__xludf.DUMMYFUNCTION("""COMPUTED_VALUE"""),2023)</f>
        <v>2023</v>
      </c>
      <c r="D1250" s="1">
        <f ca="1">IFERROR(__xludf.DUMMYFUNCTION("""COMPUTED_VALUE"""),11606)</f>
        <v>11606</v>
      </c>
      <c r="E1250" s="1" t="str">
        <f ca="1">IFERROR(__xludf.DUMMYFUNCTION("""COMPUTED_VALUE"""),"Journal of General Internal Medicine")</f>
        <v>Journal of General Internal Medicine</v>
      </c>
      <c r="F1250" s="1" t="str">
        <f ca="1">IFERROR(__xludf.DUMMYFUNCTION("""COMPUTED_VALUE"""),"1525-1497")</f>
        <v>1525-1497</v>
      </c>
      <c r="G1250" s="1" t="str">
        <f ca="1">IFERROR(__xludf.DUMMYFUNCTION("""COMPUTED_VALUE"""),"0884-8734")</f>
        <v>0884-8734</v>
      </c>
      <c r="H1250" s="27" t="str">
        <f ca="1">IFERROR(__xludf.DUMMYFUNCTION("""COMPUTED_VALUE"""),"https://link.springer.com/journal/11606")</f>
        <v>https://link.springer.com/journal/11606</v>
      </c>
      <c r="I1250" s="1" t="str">
        <f ca="1">IFERROR(__xludf.DUMMYFUNCTION("""COMPUTED_VALUE"""),"Springer")</f>
        <v>Springer</v>
      </c>
      <c r="J1250" s="1">
        <f ca="1">IFERROR(__xludf.DUMMYFUNCTION("""COMPUTED_VALUE"""),2000)</f>
        <v>2000</v>
      </c>
      <c r="K1250" s="1" t="str">
        <f ca="1">IFERROR(__xludf.DUMMYFUNCTION("""COMPUTED_VALUE"""),"Medicine")</f>
        <v>Medicine</v>
      </c>
      <c r="L1250" s="1" t="str">
        <f ca="1">IFERROR(__xludf.DUMMYFUNCTION("""COMPUTED_VALUE"""),"〇")</f>
        <v>〇</v>
      </c>
      <c r="M1250" s="1" t="str">
        <f ca="1">IFERROR(__xludf.DUMMYFUNCTION("""COMPUTED_VALUE"""),"〇")</f>
        <v>〇</v>
      </c>
      <c r="N1250" s="1" t="str">
        <f ca="1">IFERROR(__xludf.DUMMYFUNCTION("""COMPUTED_VALUE"""),"TO7")</f>
        <v>TO7</v>
      </c>
      <c r="O1250" s="1"/>
      <c r="P1250" s="1"/>
    </row>
    <row r="1251" spans="1:16" ht="14.25" customHeight="1" x14ac:dyDescent="0.25">
      <c r="A1251" s="1"/>
      <c r="B1251" s="1">
        <f ca="1"/>
        <v>1239</v>
      </c>
      <c r="C1251" s="1">
        <f ca="1">IFERROR(__xludf.DUMMYFUNCTION("""COMPUTED_VALUE"""),2023)</f>
        <v>2023</v>
      </c>
      <c r="D1251" s="1">
        <f ca="1">IFERROR(__xludf.DUMMYFUNCTION("""COMPUTED_VALUE"""),10327)</f>
        <v>10327</v>
      </c>
      <c r="E1251" s="1" t="str">
        <f ca="1">IFERROR(__xludf.DUMMYFUNCTION("""COMPUTED_VALUE"""),"Journal of General Plant Pathology")</f>
        <v>Journal of General Plant Pathology</v>
      </c>
      <c r="F1251" s="1" t="str">
        <f ca="1">IFERROR(__xludf.DUMMYFUNCTION("""COMPUTED_VALUE"""),"1610-739X")</f>
        <v>1610-739X</v>
      </c>
      <c r="G1251" s="1" t="str">
        <f ca="1">IFERROR(__xludf.DUMMYFUNCTION("""COMPUTED_VALUE"""),"1345-2630")</f>
        <v>1345-2630</v>
      </c>
      <c r="H1251" s="27" t="str">
        <f ca="1">IFERROR(__xludf.DUMMYFUNCTION("""COMPUTED_VALUE"""),"https://link.springer.com/journal/10327")</f>
        <v>https://link.springer.com/journal/10327</v>
      </c>
      <c r="I1251" s="1" t="str">
        <f ca="1">IFERROR(__xludf.DUMMYFUNCTION("""COMPUTED_VALUE"""),"Springer")</f>
        <v>Springer</v>
      </c>
      <c r="J1251" s="1">
        <f ca="1">IFERROR(__xludf.DUMMYFUNCTION("""COMPUTED_VALUE"""),2000)</f>
        <v>2000</v>
      </c>
      <c r="K1251" s="1" t="str">
        <f ca="1">IFERROR(__xludf.DUMMYFUNCTION("""COMPUTED_VALUE"""),"Biomedical and Life Sciences")</f>
        <v>Biomedical and Life Sciences</v>
      </c>
      <c r="L1251" s="1" t="str">
        <f ca="1">IFERROR(__xludf.DUMMYFUNCTION("""COMPUTED_VALUE"""),"〇")</f>
        <v>〇</v>
      </c>
      <c r="M1251" s="1"/>
      <c r="N1251" s="1"/>
      <c r="O1251" s="1"/>
      <c r="P1251" s="1"/>
    </row>
    <row r="1252" spans="1:16" ht="14.25" customHeight="1" x14ac:dyDescent="0.25">
      <c r="A1252" s="1"/>
      <c r="B1252" s="1">
        <f ca="1"/>
        <v>1240</v>
      </c>
      <c r="C1252" s="1">
        <f ca="1">IFERROR(__xludf.DUMMYFUNCTION("""COMPUTED_VALUE"""),2023)</f>
        <v>2023</v>
      </c>
      <c r="D1252" s="1">
        <f ca="1">IFERROR(__xludf.DUMMYFUNCTION("""COMPUTED_VALUE"""),12041)</f>
        <v>12041</v>
      </c>
      <c r="E1252" s="1" t="str">
        <f ca="1">IFERROR(__xludf.DUMMYFUNCTION("""COMPUTED_VALUE"""),"Journal of Genetics")</f>
        <v>Journal of Genetics</v>
      </c>
      <c r="F1252" s="1" t="str">
        <f ca="1">IFERROR(__xludf.DUMMYFUNCTION("""COMPUTED_VALUE"""),"0973-7731")</f>
        <v>0973-7731</v>
      </c>
      <c r="G1252" s="1"/>
      <c r="H1252" s="27" t="str">
        <f ca="1">IFERROR(__xludf.DUMMYFUNCTION("""COMPUTED_VALUE"""),"https://link.springer.com/journal/12041")</f>
        <v>https://link.springer.com/journal/12041</v>
      </c>
      <c r="I1252" s="1" t="str">
        <f ca="1">IFERROR(__xludf.DUMMYFUNCTION("""COMPUTED_VALUE"""),"Springer")</f>
        <v>Springer</v>
      </c>
      <c r="J1252" s="1">
        <f ca="1">IFERROR(__xludf.DUMMYFUNCTION("""COMPUTED_VALUE"""),2000)</f>
        <v>2000</v>
      </c>
      <c r="K1252" s="1" t="str">
        <f ca="1">IFERROR(__xludf.DUMMYFUNCTION("""COMPUTED_VALUE"""),"Biomedical and Life Sciences")</f>
        <v>Biomedical and Life Sciences</v>
      </c>
      <c r="L1252" s="1"/>
      <c r="M1252" s="1" t="str">
        <f ca="1">IFERROR(__xludf.DUMMYFUNCTION("""COMPUTED_VALUE"""),"〇")</f>
        <v>〇</v>
      </c>
      <c r="N1252" s="1" t="str">
        <f ca="1">IFERROR(__xludf.DUMMYFUNCTION("""COMPUTED_VALUE"""),"SNS7")</f>
        <v>SNS7</v>
      </c>
      <c r="O1252" s="1"/>
      <c r="P1252" s="1"/>
    </row>
    <row r="1253" spans="1:16" ht="14.25" customHeight="1" x14ac:dyDescent="0.25">
      <c r="A1253" s="1"/>
      <c r="B1253" s="1">
        <f ca="1"/>
        <v>1241</v>
      </c>
      <c r="C1253" s="1">
        <f ca="1">IFERROR(__xludf.DUMMYFUNCTION("""COMPUTED_VALUE"""),2023)</f>
        <v>2023</v>
      </c>
      <c r="D1253" s="1">
        <f ca="1">IFERROR(__xludf.DUMMYFUNCTION("""COMPUTED_VALUE"""),190)</f>
        <v>190</v>
      </c>
      <c r="E1253" s="1" t="str">
        <f ca="1">IFERROR(__xludf.DUMMYFUNCTION("""COMPUTED_VALUE"""),"Journal of Geodesy")</f>
        <v>Journal of Geodesy</v>
      </c>
      <c r="F1253" s="1" t="str">
        <f ca="1">IFERROR(__xludf.DUMMYFUNCTION("""COMPUTED_VALUE"""),"1432-1394")</f>
        <v>1432-1394</v>
      </c>
      <c r="G1253" s="1" t="str">
        <f ca="1">IFERROR(__xludf.DUMMYFUNCTION("""COMPUTED_VALUE"""),"0949-7714")</f>
        <v>0949-7714</v>
      </c>
      <c r="H1253" s="27" t="str">
        <f ca="1">IFERROR(__xludf.DUMMYFUNCTION("""COMPUTED_VALUE"""),"https://link.springer.com/journal/190")</f>
        <v>https://link.springer.com/journal/190</v>
      </c>
      <c r="I1253" s="1" t="str">
        <f ca="1">IFERROR(__xludf.DUMMYFUNCTION("""COMPUTED_VALUE"""),"Springer")</f>
        <v>Springer</v>
      </c>
      <c r="J1253" s="1">
        <f ca="1">IFERROR(__xludf.DUMMYFUNCTION("""COMPUTED_VALUE"""),2000)</f>
        <v>2000</v>
      </c>
      <c r="K1253" s="1" t="str">
        <f ca="1">IFERROR(__xludf.DUMMYFUNCTION("""COMPUTED_VALUE"""),"Earth and Environmental Science")</f>
        <v>Earth and Environmental Science</v>
      </c>
      <c r="L1253" s="1" t="str">
        <f ca="1">IFERROR(__xludf.DUMMYFUNCTION("""COMPUTED_VALUE"""),"〇")</f>
        <v>〇</v>
      </c>
      <c r="M1253" s="1" t="str">
        <f ca="1">IFERROR(__xludf.DUMMYFUNCTION("""COMPUTED_VALUE"""),"〇")</f>
        <v>〇</v>
      </c>
      <c r="N1253" s="1"/>
      <c r="O1253" s="1"/>
      <c r="P1253" s="1"/>
    </row>
    <row r="1254" spans="1:16" ht="14.25" customHeight="1" x14ac:dyDescent="0.25">
      <c r="A1254" s="1"/>
      <c r="B1254" s="1">
        <f ca="1"/>
        <v>1242</v>
      </c>
      <c r="C1254" s="1">
        <f ca="1">IFERROR(__xludf.DUMMYFUNCTION("""COMPUTED_VALUE"""),2023)</f>
        <v>2023</v>
      </c>
      <c r="D1254" s="1">
        <f ca="1">IFERROR(__xludf.DUMMYFUNCTION("""COMPUTED_VALUE"""),11442)</f>
        <v>11442</v>
      </c>
      <c r="E1254" s="1" t="str">
        <f ca="1">IFERROR(__xludf.DUMMYFUNCTION("""COMPUTED_VALUE"""),"Journal of Geographical Sciences")</f>
        <v>Journal of Geographical Sciences</v>
      </c>
      <c r="F1254" s="1" t="str">
        <f ca="1">IFERROR(__xludf.DUMMYFUNCTION("""COMPUTED_VALUE"""),"1861-9568")</f>
        <v>1861-9568</v>
      </c>
      <c r="G1254" s="1" t="str">
        <f ca="1">IFERROR(__xludf.DUMMYFUNCTION("""COMPUTED_VALUE"""),"1009-637X")</f>
        <v>1009-637X</v>
      </c>
      <c r="H1254" s="27" t="str">
        <f ca="1">IFERROR(__xludf.DUMMYFUNCTION("""COMPUTED_VALUE"""),"https://link.springer.com/journal/11442")</f>
        <v>https://link.springer.com/journal/11442</v>
      </c>
      <c r="I1254" s="1" t="str">
        <f ca="1">IFERROR(__xludf.DUMMYFUNCTION("""COMPUTED_VALUE"""),"Science Press, co-published with Springer")</f>
        <v>Science Press, co-published with Springer</v>
      </c>
      <c r="J1254" s="1">
        <f ca="1">IFERROR(__xludf.DUMMYFUNCTION("""COMPUTED_VALUE"""),2001)</f>
        <v>2001</v>
      </c>
      <c r="K1254" s="1" t="str">
        <f ca="1">IFERROR(__xludf.DUMMYFUNCTION("""COMPUTED_VALUE"""),"Earth and Environmental Science")</f>
        <v>Earth and Environmental Science</v>
      </c>
      <c r="L1254" s="1" t="str">
        <f ca="1">IFERROR(__xludf.DUMMYFUNCTION("""COMPUTED_VALUE"""),"〇")</f>
        <v>〇</v>
      </c>
      <c r="M1254" s="1" t="str">
        <f ca="1">IFERROR(__xludf.DUMMYFUNCTION("""COMPUTED_VALUE"""),"〇")</f>
        <v>〇</v>
      </c>
      <c r="N1254" s="1"/>
      <c r="O1254" s="1"/>
      <c r="P1254" s="1"/>
    </row>
    <row r="1255" spans="1:16" ht="14.25" customHeight="1" x14ac:dyDescent="0.25">
      <c r="A1255" s="1"/>
      <c r="B1255" s="1">
        <f ca="1"/>
        <v>1243</v>
      </c>
      <c r="C1255" s="1">
        <f ca="1">IFERROR(__xludf.DUMMYFUNCTION("""COMPUTED_VALUE"""),2023)</f>
        <v>2023</v>
      </c>
      <c r="D1255" s="1">
        <f ca="1">IFERROR(__xludf.DUMMYFUNCTION("""COMPUTED_VALUE"""),10109)</f>
        <v>10109</v>
      </c>
      <c r="E1255" s="1" t="str">
        <f ca="1">IFERROR(__xludf.DUMMYFUNCTION("""COMPUTED_VALUE"""),"Journal of Geographical Systems")</f>
        <v>Journal of Geographical Systems</v>
      </c>
      <c r="F1255" s="1" t="str">
        <f ca="1">IFERROR(__xludf.DUMMYFUNCTION("""COMPUTED_VALUE"""),"1435-5949")</f>
        <v>1435-5949</v>
      </c>
      <c r="G1255" s="1" t="str">
        <f ca="1">IFERROR(__xludf.DUMMYFUNCTION("""COMPUTED_VALUE"""),"1435-5930")</f>
        <v>1435-5930</v>
      </c>
      <c r="H1255" s="27" t="str">
        <f ca="1">IFERROR(__xludf.DUMMYFUNCTION("""COMPUTED_VALUE"""),"https://link.springer.com/journal/10109")</f>
        <v>https://link.springer.com/journal/10109</v>
      </c>
      <c r="I1255" s="1" t="str">
        <f ca="1">IFERROR(__xludf.DUMMYFUNCTION("""COMPUTED_VALUE"""),"Springer")</f>
        <v>Springer</v>
      </c>
      <c r="J1255" s="1">
        <f ca="1">IFERROR(__xludf.DUMMYFUNCTION("""COMPUTED_VALUE"""),2000)</f>
        <v>2000</v>
      </c>
      <c r="K1255" s="1" t="str">
        <f ca="1">IFERROR(__xludf.DUMMYFUNCTION("""COMPUTED_VALUE"""),"Economics and Finance")</f>
        <v>Economics and Finance</v>
      </c>
      <c r="L1255" s="1" t="str">
        <f ca="1">IFERROR(__xludf.DUMMYFUNCTION("""COMPUTED_VALUE"""),"〇")</f>
        <v>〇</v>
      </c>
      <c r="M1255" s="1" t="str">
        <f ca="1">IFERROR(__xludf.DUMMYFUNCTION("""COMPUTED_VALUE"""),"〇")</f>
        <v>〇</v>
      </c>
      <c r="N1255" s="1"/>
      <c r="O1255" s="1"/>
      <c r="P1255" s="1"/>
    </row>
    <row r="1256" spans="1:16" ht="14.25" customHeight="1" x14ac:dyDescent="0.25">
      <c r="A1256" s="1"/>
      <c r="B1256" s="1">
        <f ca="1"/>
        <v>1244</v>
      </c>
      <c r="C1256" s="1">
        <f ca="1">IFERROR(__xludf.DUMMYFUNCTION("""COMPUTED_VALUE"""),2023)</f>
        <v>2023</v>
      </c>
      <c r="D1256" s="1">
        <f ca="1">IFERROR(__xludf.DUMMYFUNCTION("""COMPUTED_VALUE"""),22)</f>
        <v>22</v>
      </c>
      <c r="E1256" s="1" t="str">
        <f ca="1">IFERROR(__xludf.DUMMYFUNCTION("""COMPUTED_VALUE"""),"Journal of Geometry")</f>
        <v>Journal of Geometry</v>
      </c>
      <c r="F1256" s="1" t="str">
        <f ca="1">IFERROR(__xludf.DUMMYFUNCTION("""COMPUTED_VALUE"""),"1420-8997")</f>
        <v>1420-8997</v>
      </c>
      <c r="G1256" s="1" t="str">
        <f ca="1">IFERROR(__xludf.DUMMYFUNCTION("""COMPUTED_VALUE"""),"0047-2468")</f>
        <v>0047-2468</v>
      </c>
      <c r="H1256" s="27" t="str">
        <f ca="1">IFERROR(__xludf.DUMMYFUNCTION("""COMPUTED_VALUE"""),"https://link.springer.com/journal/22")</f>
        <v>https://link.springer.com/journal/22</v>
      </c>
      <c r="I1256" s="1" t="str">
        <f ca="1">IFERROR(__xludf.DUMMYFUNCTION("""COMPUTED_VALUE"""),"Birkhäuser")</f>
        <v>Birkhäuser</v>
      </c>
      <c r="J1256" s="1">
        <f ca="1">IFERROR(__xludf.DUMMYFUNCTION("""COMPUTED_VALUE"""),2000)</f>
        <v>2000</v>
      </c>
      <c r="K1256" s="1" t="str">
        <f ca="1">IFERROR(__xludf.DUMMYFUNCTION("""COMPUTED_VALUE"""),"Mathematics and Statistics")</f>
        <v>Mathematics and Statistics</v>
      </c>
      <c r="L1256" s="1" t="str">
        <f ca="1">IFERROR(__xludf.DUMMYFUNCTION("""COMPUTED_VALUE"""),"〇")</f>
        <v>〇</v>
      </c>
      <c r="M1256" s="1" t="str">
        <f ca="1">IFERROR(__xludf.DUMMYFUNCTION("""COMPUTED_VALUE"""),"〇")</f>
        <v>〇</v>
      </c>
      <c r="N1256" s="1"/>
      <c r="O1256" s="1"/>
      <c r="P1256" s="1"/>
    </row>
    <row r="1257" spans="1:16" ht="14.25" customHeight="1" x14ac:dyDescent="0.25">
      <c r="A1257" s="1"/>
      <c r="B1257" s="1">
        <f ca="1"/>
        <v>1245</v>
      </c>
      <c r="C1257" s="1">
        <f ca="1">IFERROR(__xludf.DUMMYFUNCTION("""COMPUTED_VALUE"""),2023)</f>
        <v>2023</v>
      </c>
      <c r="D1257" s="1">
        <f ca="1">IFERROR(__xludf.DUMMYFUNCTION("""COMPUTED_VALUE"""),41651)</f>
        <v>41651</v>
      </c>
      <c r="E1257" s="1" t="str">
        <f ca="1">IFERROR(__xludf.DUMMYFUNCTION("""COMPUTED_VALUE"""),"Journal of Geovisualization and Spatial Analysis")</f>
        <v>Journal of Geovisualization and Spatial Analysis</v>
      </c>
      <c r="F1257" s="1" t="str">
        <f ca="1">IFERROR(__xludf.DUMMYFUNCTION("""COMPUTED_VALUE"""),"2509-8829")</f>
        <v>2509-8829</v>
      </c>
      <c r="G1257" s="1" t="str">
        <f ca="1">IFERROR(__xludf.DUMMYFUNCTION("""COMPUTED_VALUE"""),"2509-8810")</f>
        <v>2509-8810</v>
      </c>
      <c r="H1257" s="27" t="str">
        <f ca="1">IFERROR(__xludf.DUMMYFUNCTION("""COMPUTED_VALUE"""),"https://link.springer.com/journal/41651")</f>
        <v>https://link.springer.com/journal/41651</v>
      </c>
      <c r="I1257" s="1" t="str">
        <f ca="1">IFERROR(__xludf.DUMMYFUNCTION("""COMPUTED_VALUE"""),"Springer")</f>
        <v>Springer</v>
      </c>
      <c r="J1257" s="1">
        <f ca="1">IFERROR(__xludf.DUMMYFUNCTION("""COMPUTED_VALUE"""),2017)</f>
        <v>2017</v>
      </c>
      <c r="K1257" s="1" t="str">
        <f ca="1">IFERROR(__xludf.DUMMYFUNCTION("""COMPUTED_VALUE"""),"Earth and Environmental Science")</f>
        <v>Earth and Environmental Science</v>
      </c>
      <c r="L1257" s="1" t="str">
        <f ca="1">IFERROR(__xludf.DUMMYFUNCTION("""COMPUTED_VALUE"""),"〇")</f>
        <v>〇</v>
      </c>
      <c r="M1257" s="1"/>
      <c r="N1257" s="1" t="str">
        <f ca="1">IFERROR(__xludf.DUMMYFUNCTION("""COMPUTED_VALUE"""),"SNS17")</f>
        <v>SNS17</v>
      </c>
      <c r="O1257" s="1"/>
      <c r="P1257" s="1"/>
    </row>
    <row r="1258" spans="1:16" ht="14.25" customHeight="1" x14ac:dyDescent="0.25">
      <c r="A1258" s="1"/>
      <c r="B1258" s="1">
        <f ca="1"/>
        <v>1246</v>
      </c>
      <c r="C1258" s="1">
        <f ca="1">IFERROR(__xludf.DUMMYFUNCTION("""COMPUTED_VALUE"""),2023)</f>
        <v>2023</v>
      </c>
      <c r="D1258" s="1">
        <f ca="1">IFERROR(__xludf.DUMMYFUNCTION("""COMPUTED_VALUE"""),40497)</f>
        <v>40497</v>
      </c>
      <c r="E1258" s="1" t="str">
        <f ca="1">IFERROR(__xludf.DUMMYFUNCTION("""COMPUTED_VALUE"""),"Journal of Global Entrepreneurship Research")</f>
        <v>Journal of Global Entrepreneurship Research</v>
      </c>
      <c r="F1258" s="1" t="str">
        <f ca="1">IFERROR(__xludf.DUMMYFUNCTION("""COMPUTED_VALUE"""),"2251-7316")</f>
        <v>2251-7316</v>
      </c>
      <c r="G1258" s="1"/>
      <c r="H1258" s="27" t="str">
        <f ca="1">IFERROR(__xludf.DUMMYFUNCTION("""COMPUTED_VALUE"""),"https://link.springer.com/journal/40497")</f>
        <v>https://link.springer.com/journal/40497</v>
      </c>
      <c r="I1258" s="1" t="str">
        <f ca="1">IFERROR(__xludf.DUMMYFUNCTION("""COMPUTED_VALUE"""),"Springer")</f>
        <v>Springer</v>
      </c>
      <c r="J1258" s="1">
        <f ca="1">IFERROR(__xludf.DUMMYFUNCTION("""COMPUTED_VALUE"""),2014)</f>
        <v>2014</v>
      </c>
      <c r="K1258" s="1" t="str">
        <f ca="1">IFERROR(__xludf.DUMMYFUNCTION("""COMPUTED_VALUE"""),"Business and Management")</f>
        <v>Business and Management</v>
      </c>
      <c r="L1258" s="1"/>
      <c r="M1258" s="1"/>
      <c r="N1258" s="1"/>
      <c r="O1258" s="1"/>
      <c r="P1258" s="1"/>
    </row>
    <row r="1259" spans="1:16" ht="14.25" customHeight="1" x14ac:dyDescent="0.25">
      <c r="A1259" s="1"/>
      <c r="B1259" s="1">
        <f ca="1"/>
        <v>1247</v>
      </c>
      <c r="C1259" s="1">
        <f ca="1">IFERROR(__xludf.DUMMYFUNCTION("""COMPUTED_VALUE"""),2023)</f>
        <v>2023</v>
      </c>
      <c r="D1259" s="1">
        <f ca="1">IFERROR(__xludf.DUMMYFUNCTION("""COMPUTED_VALUE"""),10898)</f>
        <v>10898</v>
      </c>
      <c r="E1259" s="1" t="str">
        <f ca="1">IFERROR(__xludf.DUMMYFUNCTION("""COMPUTED_VALUE"""),"Journal of Global Optimization")</f>
        <v>Journal of Global Optimization</v>
      </c>
      <c r="F1259" s="1" t="str">
        <f ca="1">IFERROR(__xludf.DUMMYFUNCTION("""COMPUTED_VALUE"""),"1573-2916")</f>
        <v>1573-2916</v>
      </c>
      <c r="G1259" s="1" t="str">
        <f ca="1">IFERROR(__xludf.DUMMYFUNCTION("""COMPUTED_VALUE"""),"0925-5001")</f>
        <v>0925-5001</v>
      </c>
      <c r="H1259" s="27" t="str">
        <f ca="1">IFERROR(__xludf.DUMMYFUNCTION("""COMPUTED_VALUE"""),"https://link.springer.com/journal/10898")</f>
        <v>https://link.springer.com/journal/10898</v>
      </c>
      <c r="I1259" s="1" t="str">
        <f ca="1">IFERROR(__xludf.DUMMYFUNCTION("""COMPUTED_VALUE"""),"Springer")</f>
        <v>Springer</v>
      </c>
      <c r="J1259" s="1">
        <f ca="1">IFERROR(__xludf.DUMMYFUNCTION("""COMPUTED_VALUE"""),2000)</f>
        <v>2000</v>
      </c>
      <c r="K1259" s="1" t="str">
        <f ca="1">IFERROR(__xludf.DUMMYFUNCTION("""COMPUTED_VALUE"""),"Mathematics and Statistics")</f>
        <v>Mathematics and Statistics</v>
      </c>
      <c r="L1259" s="1" t="str">
        <f ca="1">IFERROR(__xludf.DUMMYFUNCTION("""COMPUTED_VALUE"""),"〇")</f>
        <v>〇</v>
      </c>
      <c r="M1259" s="1" t="str">
        <f ca="1">IFERROR(__xludf.DUMMYFUNCTION("""COMPUTED_VALUE"""),"〇")</f>
        <v>〇</v>
      </c>
      <c r="N1259" s="1"/>
      <c r="O1259" s="1"/>
      <c r="P1259" s="1"/>
    </row>
    <row r="1260" spans="1:16" ht="14.25" customHeight="1" x14ac:dyDescent="0.25">
      <c r="A1260" s="1"/>
      <c r="B1260" s="1">
        <f ca="1"/>
        <v>1248</v>
      </c>
      <c r="C1260" s="1">
        <f ca="1">IFERROR(__xludf.DUMMYFUNCTION("""COMPUTED_VALUE"""),2023)</f>
        <v>2023</v>
      </c>
      <c r="D1260" s="1">
        <f ca="1">IFERROR(__xludf.DUMMYFUNCTION("""COMPUTED_VALUE"""),10723)</f>
        <v>10723</v>
      </c>
      <c r="E1260" s="1" t="str">
        <f ca="1">IFERROR(__xludf.DUMMYFUNCTION("""COMPUTED_VALUE"""),"Journal of Grid Computing")</f>
        <v>Journal of Grid Computing</v>
      </c>
      <c r="F1260" s="1" t="str">
        <f ca="1">IFERROR(__xludf.DUMMYFUNCTION("""COMPUTED_VALUE"""),"1572-9184")</f>
        <v>1572-9184</v>
      </c>
      <c r="G1260" s="1" t="str">
        <f ca="1">IFERROR(__xludf.DUMMYFUNCTION("""COMPUTED_VALUE"""),"1570-7873")</f>
        <v>1570-7873</v>
      </c>
      <c r="H1260" s="27" t="str">
        <f ca="1">IFERROR(__xludf.DUMMYFUNCTION("""COMPUTED_VALUE"""),"https://link.springer.com/journal/10723")</f>
        <v>https://link.springer.com/journal/10723</v>
      </c>
      <c r="I1260" s="1" t="str">
        <f ca="1">IFERROR(__xludf.DUMMYFUNCTION("""COMPUTED_VALUE"""),"Springer")</f>
        <v>Springer</v>
      </c>
      <c r="J1260" s="1">
        <f ca="1">IFERROR(__xludf.DUMMYFUNCTION("""COMPUTED_VALUE"""),2003)</f>
        <v>2003</v>
      </c>
      <c r="K1260" s="1" t="str">
        <f ca="1">IFERROR(__xludf.DUMMYFUNCTION("""COMPUTED_VALUE"""),"Computer Science")</f>
        <v>Computer Science</v>
      </c>
      <c r="L1260" s="1" t="str">
        <f ca="1">IFERROR(__xludf.DUMMYFUNCTION("""COMPUTED_VALUE"""),"〇")</f>
        <v>〇</v>
      </c>
      <c r="M1260" s="1" t="str">
        <f ca="1">IFERROR(__xludf.DUMMYFUNCTION("""COMPUTED_VALUE"""),"〇")</f>
        <v>〇</v>
      </c>
      <c r="N1260" s="1"/>
      <c r="O1260" s="1"/>
      <c r="P1260" s="1"/>
    </row>
    <row r="1261" spans="1:16" ht="14.25" customHeight="1" x14ac:dyDescent="0.25">
      <c r="A1261" s="1"/>
      <c r="B1261" s="1">
        <f ca="1"/>
        <v>1249</v>
      </c>
      <c r="C1261" s="1">
        <f ca="1">IFERROR(__xludf.DUMMYFUNCTION("""COMPUTED_VALUE"""),2023)</f>
        <v>2023</v>
      </c>
      <c r="D1261" s="1">
        <f ca="1">IFERROR(__xludf.DUMMYFUNCTION("""COMPUTED_VALUE"""),10902)</f>
        <v>10902</v>
      </c>
      <c r="E1261" s="1" t="str">
        <f ca="1">IFERROR(__xludf.DUMMYFUNCTION("""COMPUTED_VALUE"""),"Journal of Happiness Studies")</f>
        <v>Journal of Happiness Studies</v>
      </c>
      <c r="F1261" s="1" t="str">
        <f ca="1">IFERROR(__xludf.DUMMYFUNCTION("""COMPUTED_VALUE"""),"1573-7780")</f>
        <v>1573-7780</v>
      </c>
      <c r="G1261" s="1" t="str">
        <f ca="1">IFERROR(__xludf.DUMMYFUNCTION("""COMPUTED_VALUE"""),"1389-4978")</f>
        <v>1389-4978</v>
      </c>
      <c r="H1261" s="27" t="str">
        <f ca="1">IFERROR(__xludf.DUMMYFUNCTION("""COMPUTED_VALUE"""),"https://link.springer.com/journal/10902")</f>
        <v>https://link.springer.com/journal/10902</v>
      </c>
      <c r="I1261" s="1" t="str">
        <f ca="1">IFERROR(__xludf.DUMMYFUNCTION("""COMPUTED_VALUE"""),"Springer")</f>
        <v>Springer</v>
      </c>
      <c r="J1261" s="1">
        <f ca="1">IFERROR(__xludf.DUMMYFUNCTION("""COMPUTED_VALUE"""),2000)</f>
        <v>2000</v>
      </c>
      <c r="K1261" s="1" t="str">
        <f ca="1">IFERROR(__xludf.DUMMYFUNCTION("""COMPUTED_VALUE"""),"Social Sciences")</f>
        <v>Social Sciences</v>
      </c>
      <c r="L1261" s="1" t="str">
        <f ca="1">IFERROR(__xludf.DUMMYFUNCTION("""COMPUTED_VALUE"""),"〇")</f>
        <v>〇</v>
      </c>
      <c r="M1261" s="1" t="str">
        <f ca="1">IFERROR(__xludf.DUMMYFUNCTION("""COMPUTED_VALUE"""),"〇")</f>
        <v>〇</v>
      </c>
      <c r="N1261" s="1"/>
      <c r="O1261" s="1"/>
      <c r="P1261" s="1"/>
    </row>
    <row r="1262" spans="1:16" ht="14.25" customHeight="1" x14ac:dyDescent="0.25">
      <c r="A1262" s="1"/>
      <c r="B1262" s="1">
        <f ca="1"/>
        <v>1250</v>
      </c>
      <c r="C1262" s="1">
        <f ca="1">IFERROR(__xludf.DUMMYFUNCTION("""COMPUTED_VALUE"""),2023)</f>
        <v>2023</v>
      </c>
      <c r="D1262" s="1">
        <f ca="1">IFERROR(__xludf.DUMMYFUNCTION("""COMPUTED_VALUE"""),41635)</f>
        <v>41635</v>
      </c>
      <c r="E1262" s="1" t="str">
        <f ca="1">IFERROR(__xludf.DUMMYFUNCTION("""COMPUTED_VALUE"""),"Journal of Hardware and Systems Security")</f>
        <v>Journal of Hardware and Systems Security</v>
      </c>
      <c r="F1262" s="1" t="str">
        <f ca="1">IFERROR(__xludf.DUMMYFUNCTION("""COMPUTED_VALUE"""),"2509-3436")</f>
        <v>2509-3436</v>
      </c>
      <c r="G1262" s="1" t="str">
        <f ca="1">IFERROR(__xludf.DUMMYFUNCTION("""COMPUTED_VALUE"""),"2509-3428")</f>
        <v>2509-3428</v>
      </c>
      <c r="H1262" s="27" t="str">
        <f ca="1">IFERROR(__xludf.DUMMYFUNCTION("""COMPUTED_VALUE"""),"https://link.springer.com/journal/41635")</f>
        <v>https://link.springer.com/journal/41635</v>
      </c>
      <c r="I1262" s="1" t="str">
        <f ca="1">IFERROR(__xludf.DUMMYFUNCTION("""COMPUTED_VALUE"""),"Springer")</f>
        <v>Springer</v>
      </c>
      <c r="J1262" s="1">
        <f ca="1">IFERROR(__xludf.DUMMYFUNCTION("""COMPUTED_VALUE"""),2017)</f>
        <v>2017</v>
      </c>
      <c r="K1262" s="1" t="str">
        <f ca="1">IFERROR(__xludf.DUMMYFUNCTION("""COMPUTED_VALUE"""),"Engineering")</f>
        <v>Engineering</v>
      </c>
      <c r="L1262" s="1" t="str">
        <f ca="1">IFERROR(__xludf.DUMMYFUNCTION("""COMPUTED_VALUE"""),"〇")</f>
        <v>〇</v>
      </c>
      <c r="M1262" s="1"/>
      <c r="N1262" s="1" t="str">
        <f ca="1">IFERROR(__xludf.DUMMYFUNCTION("""COMPUTED_VALUE"""),"SNS17")</f>
        <v>SNS17</v>
      </c>
      <c r="O1262" s="1"/>
      <c r="P1262" s="1"/>
    </row>
    <row r="1263" spans="1:16" ht="14.25" customHeight="1" x14ac:dyDescent="0.25">
      <c r="A1263" s="1"/>
      <c r="B1263" s="1">
        <f ca="1"/>
        <v>1251</v>
      </c>
      <c r="C1263" s="1">
        <f ca="1">IFERROR(__xludf.DUMMYFUNCTION("""COMPUTED_VALUE"""),2023)</f>
        <v>2023</v>
      </c>
      <c r="D1263" s="1">
        <f ca="1">IFERROR(__xludf.DUMMYFUNCTION("""COMPUTED_VALUE"""),42843)</f>
        <v>42843</v>
      </c>
      <c r="E1263" s="1" t="str">
        <f ca="1">IFERROR(__xludf.DUMMYFUNCTION("""COMPUTED_VALUE"""),"Journal of Health Service Psychology")</f>
        <v>Journal of Health Service Psychology</v>
      </c>
      <c r="F1263" s="1" t="str">
        <f ca="1">IFERROR(__xludf.DUMMYFUNCTION("""COMPUTED_VALUE"""),"2662-2653")</f>
        <v>2662-2653</v>
      </c>
      <c r="G1263" s="1"/>
      <c r="H1263" s="27" t="str">
        <f ca="1">IFERROR(__xludf.DUMMYFUNCTION("""COMPUTED_VALUE"""),"https://link.springer.com/journal/42843")</f>
        <v>https://link.springer.com/journal/42843</v>
      </c>
      <c r="I1263" s="1" t="str">
        <f ca="1">IFERROR(__xludf.DUMMYFUNCTION("""COMPUTED_VALUE"""),"Springer")</f>
        <v>Springer</v>
      </c>
      <c r="J1263" s="1">
        <f ca="1">IFERROR(__xludf.DUMMYFUNCTION("""COMPUTED_VALUE"""),2017)</f>
        <v>2017</v>
      </c>
      <c r="K1263" s="1" t="str">
        <f ca="1">IFERROR(__xludf.DUMMYFUNCTION("""COMPUTED_VALUE"""),"Medicine")</f>
        <v>Medicine</v>
      </c>
      <c r="L1263" s="1"/>
      <c r="M1263" s="1"/>
      <c r="N1263" s="1" t="str">
        <f ca="1">IFERROR(__xludf.DUMMYFUNCTION("""COMPUTED_VALUE"""),"TO20")</f>
        <v>TO20</v>
      </c>
      <c r="O1263" s="1"/>
      <c r="P1263" s="1"/>
    </row>
    <row r="1264" spans="1:16" ht="14.25" customHeight="1" x14ac:dyDescent="0.25">
      <c r="A1264" s="1"/>
      <c r="B1264" s="1">
        <f ca="1"/>
        <v>1252</v>
      </c>
      <c r="C1264" s="1">
        <f ca="1">IFERROR(__xludf.DUMMYFUNCTION("""COMPUTED_VALUE"""),2023)</f>
        <v>2023</v>
      </c>
      <c r="D1264" s="1">
        <f ca="1">IFERROR(__xludf.DUMMYFUNCTION("""COMPUTED_VALUE"""),41666)</f>
        <v>41666</v>
      </c>
      <c r="E1264" s="1" t="str">
        <f ca="1">IFERROR(__xludf.DUMMYFUNCTION("""COMPUTED_VALUE"""),"Journal of Healthcare Informatics Research")</f>
        <v>Journal of Healthcare Informatics Research</v>
      </c>
      <c r="F1264" s="1" t="str">
        <f ca="1">IFERROR(__xludf.DUMMYFUNCTION("""COMPUTED_VALUE"""),"2509-498X")</f>
        <v>2509-498X</v>
      </c>
      <c r="G1264" s="1" t="str">
        <f ca="1">IFERROR(__xludf.DUMMYFUNCTION("""COMPUTED_VALUE"""),"2509-4971")</f>
        <v>2509-4971</v>
      </c>
      <c r="H1264" s="27" t="str">
        <f ca="1">IFERROR(__xludf.DUMMYFUNCTION("""COMPUTED_VALUE"""),"https://link.springer.com/journal/41666")</f>
        <v>https://link.springer.com/journal/41666</v>
      </c>
      <c r="I1264" s="1" t="str">
        <f ca="1">IFERROR(__xludf.DUMMYFUNCTION("""COMPUTED_VALUE"""),"Springer")</f>
        <v>Springer</v>
      </c>
      <c r="J1264" s="1">
        <f ca="1">IFERROR(__xludf.DUMMYFUNCTION("""COMPUTED_VALUE"""),2017)</f>
        <v>2017</v>
      </c>
      <c r="K1264" s="1" t="str">
        <f ca="1">IFERROR(__xludf.DUMMYFUNCTION("""COMPUTED_VALUE"""),"Computer Science")</f>
        <v>Computer Science</v>
      </c>
      <c r="L1264" s="1" t="str">
        <f ca="1">IFERROR(__xludf.DUMMYFUNCTION("""COMPUTED_VALUE"""),"〇")</f>
        <v>〇</v>
      </c>
      <c r="M1264" s="1"/>
      <c r="N1264" s="1" t="str">
        <f ca="1">IFERROR(__xludf.DUMMYFUNCTION("""COMPUTED_VALUE"""),"SNS17")</f>
        <v>SNS17</v>
      </c>
      <c r="O1264" s="1"/>
      <c r="P1264" s="1"/>
    </row>
    <row r="1265" spans="1:16" ht="14.25" customHeight="1" x14ac:dyDescent="0.25">
      <c r="A1265" s="1"/>
      <c r="B1265" s="1">
        <f ca="1"/>
        <v>1253</v>
      </c>
      <c r="C1265" s="1">
        <f ca="1">IFERROR(__xludf.DUMMYFUNCTION("""COMPUTED_VALUE"""),2023)</f>
        <v>2023</v>
      </c>
      <c r="D1265" s="1">
        <f ca="1">IFERROR(__xludf.DUMMYFUNCTION("""COMPUTED_VALUE"""),12308)</f>
        <v>12308</v>
      </c>
      <c r="E1265" s="1" t="str">
        <f ca="1">IFERROR(__xludf.DUMMYFUNCTION("""COMPUTED_VALUE"""),"Journal of Hematopathology")</f>
        <v>Journal of Hematopathology</v>
      </c>
      <c r="F1265" s="1" t="str">
        <f ca="1">IFERROR(__xludf.DUMMYFUNCTION("""COMPUTED_VALUE"""),"1865-5785")</f>
        <v>1865-5785</v>
      </c>
      <c r="G1265" s="1"/>
      <c r="H1265" s="27" t="str">
        <f ca="1">IFERROR(__xludf.DUMMYFUNCTION("""COMPUTED_VALUE"""),"https://link.springer.com/journal/12308")</f>
        <v>https://link.springer.com/journal/12308</v>
      </c>
      <c r="I1265" s="1" t="str">
        <f ca="1">IFERROR(__xludf.DUMMYFUNCTION("""COMPUTED_VALUE"""),"Springer")</f>
        <v>Springer</v>
      </c>
      <c r="J1265" s="1">
        <f ca="1">IFERROR(__xludf.DUMMYFUNCTION("""COMPUTED_VALUE"""),2008)</f>
        <v>2008</v>
      </c>
      <c r="K1265" s="1" t="str">
        <f ca="1">IFERROR(__xludf.DUMMYFUNCTION("""COMPUTED_VALUE"""),"Medicine")</f>
        <v>Medicine</v>
      </c>
      <c r="L1265" s="1"/>
      <c r="M1265" s="1" t="str">
        <f ca="1">IFERROR(__xludf.DUMMYFUNCTION("""COMPUTED_VALUE"""),"〇")</f>
        <v>〇</v>
      </c>
      <c r="N1265" s="1" t="str">
        <f ca="1">IFERROR(__xludf.DUMMYFUNCTION("""COMPUTED_VALUE"""),"SNS8")</f>
        <v>SNS8</v>
      </c>
      <c r="O1265" s="1"/>
      <c r="P1265" s="1"/>
    </row>
    <row r="1266" spans="1:16" ht="14.25" customHeight="1" x14ac:dyDescent="0.25">
      <c r="A1266" s="1"/>
      <c r="B1266" s="1">
        <f ca="1"/>
        <v>1254</v>
      </c>
      <c r="C1266" s="1">
        <f ca="1">IFERROR(__xludf.DUMMYFUNCTION("""COMPUTED_VALUE"""),2023)</f>
        <v>2023</v>
      </c>
      <c r="D1266" s="1">
        <f ca="1">IFERROR(__xludf.DUMMYFUNCTION("""COMPUTED_VALUE"""),10732)</f>
        <v>10732</v>
      </c>
      <c r="E1266" s="1" t="str">
        <f ca="1">IFERROR(__xludf.DUMMYFUNCTION("""COMPUTED_VALUE"""),"Journal of Heuristics")</f>
        <v>Journal of Heuristics</v>
      </c>
      <c r="F1266" s="1" t="str">
        <f ca="1">IFERROR(__xludf.DUMMYFUNCTION("""COMPUTED_VALUE"""),"1572-9397")</f>
        <v>1572-9397</v>
      </c>
      <c r="G1266" s="1" t="str">
        <f ca="1">IFERROR(__xludf.DUMMYFUNCTION("""COMPUTED_VALUE"""),"1381-1231")</f>
        <v>1381-1231</v>
      </c>
      <c r="H1266" s="27" t="str">
        <f ca="1">IFERROR(__xludf.DUMMYFUNCTION("""COMPUTED_VALUE"""),"https://link.springer.com/journal/10732")</f>
        <v>https://link.springer.com/journal/10732</v>
      </c>
      <c r="I1266" s="1" t="str">
        <f ca="1">IFERROR(__xludf.DUMMYFUNCTION("""COMPUTED_VALUE"""),"Springer")</f>
        <v>Springer</v>
      </c>
      <c r="J1266" s="1">
        <f ca="1">IFERROR(__xludf.DUMMYFUNCTION("""COMPUTED_VALUE"""),2000)</f>
        <v>2000</v>
      </c>
      <c r="K1266" s="1" t="str">
        <f ca="1">IFERROR(__xludf.DUMMYFUNCTION("""COMPUTED_VALUE"""),"Mathematics and Statistics")</f>
        <v>Mathematics and Statistics</v>
      </c>
      <c r="L1266" s="1" t="str">
        <f ca="1">IFERROR(__xludf.DUMMYFUNCTION("""COMPUTED_VALUE"""),"〇")</f>
        <v>〇</v>
      </c>
      <c r="M1266" s="1" t="str">
        <f ca="1">IFERROR(__xludf.DUMMYFUNCTION("""COMPUTED_VALUE"""),"〇")</f>
        <v>〇</v>
      </c>
      <c r="N1266" s="1"/>
      <c r="O1266" s="1"/>
      <c r="P1266" s="1"/>
    </row>
    <row r="1267" spans="1:16" ht="14.25" customHeight="1" x14ac:dyDescent="0.25">
      <c r="A1267" s="1"/>
      <c r="B1267" s="1">
        <f ca="1"/>
        <v>1255</v>
      </c>
      <c r="C1267" s="1">
        <f ca="1">IFERROR(__xludf.DUMMYFUNCTION("""COMPUTED_VALUE"""),2023)</f>
        <v>2023</v>
      </c>
      <c r="D1267" s="1">
        <f ca="1">IFERROR(__xludf.DUMMYFUNCTION("""COMPUTED_VALUE"""),40062)</f>
        <v>40062</v>
      </c>
      <c r="E1267" s="1" t="str">
        <f ca="1">IFERROR(__xludf.DUMMYFUNCTION("""COMPUTED_VALUE"""),"Journal of Homotopy and Related Structures")</f>
        <v>Journal of Homotopy and Related Structures</v>
      </c>
      <c r="F1267" s="1" t="str">
        <f ca="1">IFERROR(__xludf.DUMMYFUNCTION("""COMPUTED_VALUE"""),"1512-2891")</f>
        <v>1512-2891</v>
      </c>
      <c r="G1267" s="1" t="str">
        <f ca="1">IFERROR(__xludf.DUMMYFUNCTION("""COMPUTED_VALUE"""),"2193-8407")</f>
        <v>2193-8407</v>
      </c>
      <c r="H1267" s="27" t="str">
        <f ca="1">IFERROR(__xludf.DUMMYFUNCTION("""COMPUTED_VALUE"""),"https://link.springer.com/journal/40062")</f>
        <v>https://link.springer.com/journal/40062</v>
      </c>
      <c r="I1267" s="1" t="str">
        <f ca="1">IFERROR(__xludf.DUMMYFUNCTION("""COMPUTED_VALUE"""),"Springer")</f>
        <v>Springer</v>
      </c>
      <c r="J1267" s="1">
        <f ca="1">IFERROR(__xludf.DUMMYFUNCTION("""COMPUTED_VALUE"""),2012)</f>
        <v>2012</v>
      </c>
      <c r="K1267" s="1" t="str">
        <f ca="1">IFERROR(__xludf.DUMMYFUNCTION("""COMPUTED_VALUE"""),"Mathematics and Statistics")</f>
        <v>Mathematics and Statistics</v>
      </c>
      <c r="L1267" s="1" t="str">
        <f ca="1">IFERROR(__xludf.DUMMYFUNCTION("""COMPUTED_VALUE"""),"〇")</f>
        <v>〇</v>
      </c>
      <c r="M1267" s="1"/>
      <c r="N1267" s="1" t="str">
        <f ca="1">IFERROR(__xludf.DUMMYFUNCTION("""COMPUTED_VALUE"""),"TO12")</f>
        <v>TO12</v>
      </c>
      <c r="O1267" s="1"/>
      <c r="P1267" s="1"/>
    </row>
    <row r="1268" spans="1:16" ht="14.25" customHeight="1" x14ac:dyDescent="0.25">
      <c r="A1268" s="1"/>
      <c r="B1268" s="1">
        <f ca="1"/>
        <v>1256</v>
      </c>
      <c r="C1268" s="1">
        <f ca="1">IFERROR(__xludf.DUMMYFUNCTION("""COMPUTED_VALUE"""),2023)</f>
        <v>2023</v>
      </c>
      <c r="D1268" s="1">
        <f ca="1">IFERROR(__xludf.DUMMYFUNCTION("""COMPUTED_VALUE"""),10901)</f>
        <v>10901</v>
      </c>
      <c r="E1268" s="1" t="str">
        <f ca="1">IFERROR(__xludf.DUMMYFUNCTION("""COMPUTED_VALUE"""),"Journal of Housing and the Built Environment")</f>
        <v>Journal of Housing and the Built Environment</v>
      </c>
      <c r="F1268" s="1" t="str">
        <f ca="1">IFERROR(__xludf.DUMMYFUNCTION("""COMPUTED_VALUE"""),"1573-7772")</f>
        <v>1573-7772</v>
      </c>
      <c r="G1268" s="1" t="str">
        <f ca="1">IFERROR(__xludf.DUMMYFUNCTION("""COMPUTED_VALUE"""),"1566-4910")</f>
        <v>1566-4910</v>
      </c>
      <c r="H1268" s="27" t="str">
        <f ca="1">IFERROR(__xludf.DUMMYFUNCTION("""COMPUTED_VALUE"""),"https://link.springer.com/journal/10901")</f>
        <v>https://link.springer.com/journal/10901</v>
      </c>
      <c r="I1268" s="1" t="str">
        <f ca="1">IFERROR(__xludf.DUMMYFUNCTION("""COMPUTED_VALUE"""),"Springer")</f>
        <v>Springer</v>
      </c>
      <c r="J1268" s="1">
        <f ca="1">IFERROR(__xludf.DUMMYFUNCTION("""COMPUTED_VALUE"""),2000)</f>
        <v>2000</v>
      </c>
      <c r="K1268" s="1" t="str">
        <f ca="1">IFERROR(__xludf.DUMMYFUNCTION("""COMPUTED_VALUE"""),"Social Sciences")</f>
        <v>Social Sciences</v>
      </c>
      <c r="L1268" s="1" t="str">
        <f ca="1">IFERROR(__xludf.DUMMYFUNCTION("""COMPUTED_VALUE"""),"〇")</f>
        <v>〇</v>
      </c>
      <c r="M1268" s="1" t="str">
        <f ca="1">IFERROR(__xludf.DUMMYFUNCTION("""COMPUTED_VALUE"""),"〇")</f>
        <v>〇</v>
      </c>
      <c r="N1268" s="1"/>
      <c r="O1268" s="1"/>
      <c r="P1268" s="1"/>
    </row>
    <row r="1269" spans="1:16" ht="14.25" customHeight="1" x14ac:dyDescent="0.25">
      <c r="A1269" s="1"/>
      <c r="B1269" s="1">
        <f ca="1"/>
        <v>1257</v>
      </c>
      <c r="C1269" s="1">
        <f ca="1">IFERROR(__xludf.DUMMYFUNCTION("""COMPUTED_VALUE"""),2023)</f>
        <v>2023</v>
      </c>
      <c r="D1269" s="1">
        <f ca="1">IFERROR(__xludf.DUMMYFUNCTION("""COMPUTED_VALUE"""),41134)</f>
        <v>41134</v>
      </c>
      <c r="E1269" s="1" t="str">
        <f ca="1">IFERROR(__xludf.DUMMYFUNCTION("""COMPUTED_VALUE"""),"Journal of Human Rights and Social Work")</f>
        <v>Journal of Human Rights and Social Work</v>
      </c>
      <c r="F1269" s="1" t="str">
        <f ca="1">IFERROR(__xludf.DUMMYFUNCTION("""COMPUTED_VALUE"""),"2365-1792")</f>
        <v>2365-1792</v>
      </c>
      <c r="G1269" s="1"/>
      <c r="H1269" s="27" t="str">
        <f ca="1">IFERROR(__xludf.DUMMYFUNCTION("""COMPUTED_VALUE"""),"https://link.springer.com/journal/41134")</f>
        <v>https://link.springer.com/journal/41134</v>
      </c>
      <c r="I1269" s="1" t="str">
        <f ca="1">IFERROR(__xludf.DUMMYFUNCTION("""COMPUTED_VALUE"""),"Springer")</f>
        <v>Springer</v>
      </c>
      <c r="J1269" s="1">
        <f ca="1">IFERROR(__xludf.DUMMYFUNCTION("""COMPUTED_VALUE"""),2016)</f>
        <v>2016</v>
      </c>
      <c r="K1269" s="1" t="str">
        <f ca="1">IFERROR(__xludf.DUMMYFUNCTION("""COMPUTED_VALUE"""),"Social Sciences")</f>
        <v>Social Sciences</v>
      </c>
      <c r="L1269" s="1"/>
      <c r="M1269" s="1"/>
      <c r="N1269" s="1" t="str">
        <f ca="1">IFERROR(__xludf.DUMMYFUNCTION("""COMPUTED_VALUE"""),"SNS16")</f>
        <v>SNS16</v>
      </c>
      <c r="O1269" s="1"/>
      <c r="P1269" s="1"/>
    </row>
    <row r="1270" spans="1:16" ht="14.25" customHeight="1" x14ac:dyDescent="0.25">
      <c r="A1270" s="1"/>
      <c r="B1270" s="1">
        <f ca="1"/>
        <v>1258</v>
      </c>
      <c r="C1270" s="1">
        <f ca="1">IFERROR(__xludf.DUMMYFUNCTION("""COMPUTED_VALUE"""),2023)</f>
        <v>2023</v>
      </c>
      <c r="D1270" s="1">
        <f ca="1">IFERROR(__xludf.DUMMYFUNCTION("""COMPUTED_VALUE"""),42241)</f>
        <v>42241</v>
      </c>
      <c r="E1270" s="1" t="str">
        <f ca="1">IFERROR(__xludf.DUMMYFUNCTION("""COMPUTED_VALUE"""),"Journal of Hydrodynamics")</f>
        <v>Journal of Hydrodynamics</v>
      </c>
      <c r="F1270" s="1" t="str">
        <f ca="1">IFERROR(__xludf.DUMMYFUNCTION("""COMPUTED_VALUE"""),"1878-0342")</f>
        <v>1878-0342</v>
      </c>
      <c r="G1270" s="1" t="str">
        <f ca="1">IFERROR(__xludf.DUMMYFUNCTION("""COMPUTED_VALUE"""),"1001-6058")</f>
        <v>1001-6058</v>
      </c>
      <c r="H1270" s="27" t="str">
        <f ca="1">IFERROR(__xludf.DUMMYFUNCTION("""COMPUTED_VALUE"""),"https://link.springer.com/journal/42241")</f>
        <v>https://link.springer.com/journal/42241</v>
      </c>
      <c r="I1270" s="1" t="str">
        <f ca="1">IFERROR(__xludf.DUMMYFUNCTION("""COMPUTED_VALUE"""),"Springer")</f>
        <v>Springer</v>
      </c>
      <c r="J1270" s="1">
        <f ca="1">IFERROR(__xludf.DUMMYFUNCTION("""COMPUTED_VALUE"""),2006)</f>
        <v>2006</v>
      </c>
      <c r="K1270" s="1" t="str">
        <f ca="1">IFERROR(__xludf.DUMMYFUNCTION("""COMPUTED_VALUE"""),"Engineering")</f>
        <v>Engineering</v>
      </c>
      <c r="L1270" s="1" t="str">
        <f ca="1">IFERROR(__xludf.DUMMYFUNCTION("""COMPUTED_VALUE"""),"〇")</f>
        <v>〇</v>
      </c>
      <c r="M1270" s="1"/>
      <c r="N1270" s="1" t="str">
        <f ca="1">IFERROR(__xludf.DUMMYFUNCTION("""COMPUTED_VALUE"""),"TO18")</f>
        <v>TO18</v>
      </c>
      <c r="O1270" s="1"/>
      <c r="P1270" s="1"/>
    </row>
    <row r="1271" spans="1:16" ht="14.25" customHeight="1" x14ac:dyDescent="0.25">
      <c r="A1271" s="1"/>
      <c r="B1271" s="1">
        <f ca="1"/>
        <v>1259</v>
      </c>
      <c r="C1271" s="1">
        <f ca="1">IFERROR(__xludf.DUMMYFUNCTION("""COMPUTED_VALUE"""),2023)</f>
        <v>2023</v>
      </c>
      <c r="D1271" s="1">
        <f ca="1">IFERROR(__xludf.DUMMYFUNCTION("""COMPUTED_VALUE"""),41513)</f>
        <v>41513</v>
      </c>
      <c r="E1271" s="1" t="str">
        <f ca="1">IFERROR(__xludf.DUMMYFUNCTION("""COMPUTED_VALUE"""),"Journal of Iberian Geology")</f>
        <v>Journal of Iberian Geology</v>
      </c>
      <c r="F1271" s="1" t="str">
        <f ca="1">IFERROR(__xludf.DUMMYFUNCTION("""COMPUTED_VALUE"""),"1886-7995")</f>
        <v>1886-7995</v>
      </c>
      <c r="G1271" s="1" t="str">
        <f ca="1">IFERROR(__xludf.DUMMYFUNCTION("""COMPUTED_VALUE"""),"1698-6180")</f>
        <v>1698-6180</v>
      </c>
      <c r="H1271" s="27" t="str">
        <f ca="1">IFERROR(__xludf.DUMMYFUNCTION("""COMPUTED_VALUE"""),"https://link.springer.com/journal/41513")</f>
        <v>https://link.springer.com/journal/41513</v>
      </c>
      <c r="I1271" s="1" t="str">
        <f ca="1">IFERROR(__xludf.DUMMYFUNCTION("""COMPUTED_VALUE"""),"Springer")</f>
        <v>Springer</v>
      </c>
      <c r="J1271" s="1">
        <f ca="1">IFERROR(__xludf.DUMMYFUNCTION("""COMPUTED_VALUE"""),2017)</f>
        <v>2017</v>
      </c>
      <c r="K1271" s="1" t="str">
        <f ca="1">IFERROR(__xludf.DUMMYFUNCTION("""COMPUTED_VALUE"""),"Earth and Environmental Science")</f>
        <v>Earth and Environmental Science</v>
      </c>
      <c r="L1271" s="1" t="str">
        <f ca="1">IFERROR(__xludf.DUMMYFUNCTION("""COMPUTED_VALUE"""),"〇")</f>
        <v>〇</v>
      </c>
      <c r="M1271" s="1"/>
      <c r="N1271" s="1" t="str">
        <f ca="1">IFERROR(__xludf.DUMMYFUNCTION("""COMPUTED_VALUE"""),"TO17")</f>
        <v>TO17</v>
      </c>
      <c r="O1271" s="1"/>
      <c r="P1271" s="1"/>
    </row>
    <row r="1272" spans="1:16" ht="14.25" customHeight="1" x14ac:dyDescent="0.25">
      <c r="A1272" s="1"/>
      <c r="B1272" s="1">
        <f ca="1"/>
        <v>1260</v>
      </c>
      <c r="C1272" s="1">
        <f ca="1">IFERROR(__xludf.DUMMYFUNCTION("""COMPUTED_VALUE"""),2023)</f>
        <v>2023</v>
      </c>
      <c r="D1272" s="1">
        <f ca="1">IFERROR(__xludf.DUMMYFUNCTION("""COMPUTED_VALUE"""),11489)</f>
        <v>11489</v>
      </c>
      <c r="E1272" s="1" t="str">
        <f ca="1">IFERROR(__xludf.DUMMYFUNCTION("""COMPUTED_VALUE"""),"Journal of Ichthyology")</f>
        <v>Journal of Ichthyology</v>
      </c>
      <c r="F1272" s="1" t="str">
        <f ca="1">IFERROR(__xludf.DUMMYFUNCTION("""COMPUTED_VALUE"""),"1555-6425")</f>
        <v>1555-6425</v>
      </c>
      <c r="G1272" s="1" t="str">
        <f ca="1">IFERROR(__xludf.DUMMYFUNCTION("""COMPUTED_VALUE"""),"0032-9452")</f>
        <v>0032-9452</v>
      </c>
      <c r="H1272" s="27" t="str">
        <f ca="1">IFERROR(__xludf.DUMMYFUNCTION("""COMPUTED_VALUE"""),"https://link.springer.com/journal/11489")</f>
        <v>https://link.springer.com/journal/11489</v>
      </c>
      <c r="I1272" s="1" t="str">
        <f ca="1">IFERROR(__xludf.DUMMYFUNCTION("""COMPUTED_VALUE"""),"Pleiades Publishing")</f>
        <v>Pleiades Publishing</v>
      </c>
      <c r="J1272" s="1">
        <f ca="1">IFERROR(__xludf.DUMMYFUNCTION("""COMPUTED_VALUE"""),2006)</f>
        <v>2006</v>
      </c>
      <c r="K1272" s="1" t="str">
        <f ca="1">IFERROR(__xludf.DUMMYFUNCTION("""COMPUTED_VALUE"""),"Biomedical and Life Sciences")</f>
        <v>Biomedical and Life Sciences</v>
      </c>
      <c r="L1272" s="1" t="str">
        <f ca="1">IFERROR(__xludf.DUMMYFUNCTION("""COMPUTED_VALUE"""),"〇")</f>
        <v>〇</v>
      </c>
      <c r="M1272" s="1" t="str">
        <f ca="1">IFERROR(__xludf.DUMMYFUNCTION("""COMPUTED_VALUE"""),"〇")</f>
        <v>〇</v>
      </c>
      <c r="N1272" s="1"/>
      <c r="O1272" s="1"/>
      <c r="P1272" s="1"/>
    </row>
    <row r="1273" spans="1:16" ht="14.25" customHeight="1" x14ac:dyDescent="0.25">
      <c r="A1273" s="1"/>
      <c r="B1273" s="1">
        <f ca="1"/>
        <v>1261</v>
      </c>
      <c r="C1273" s="1">
        <f ca="1">IFERROR(__xludf.DUMMYFUNCTION("""COMPUTED_VALUE"""),2023)</f>
        <v>2023</v>
      </c>
      <c r="D1273" s="1">
        <f ca="1">IFERROR(__xludf.DUMMYFUNCTION("""COMPUTED_VALUE"""),10903)</f>
        <v>10903</v>
      </c>
      <c r="E1273" s="1" t="str">
        <f ca="1">IFERROR(__xludf.DUMMYFUNCTION("""COMPUTED_VALUE"""),"Journal of Immigrant and Minority Health")</f>
        <v>Journal of Immigrant and Minority Health</v>
      </c>
      <c r="F1273" s="1" t="str">
        <f ca="1">IFERROR(__xludf.DUMMYFUNCTION("""COMPUTED_VALUE"""),"1557-1920")</f>
        <v>1557-1920</v>
      </c>
      <c r="G1273" s="1" t="str">
        <f ca="1">IFERROR(__xludf.DUMMYFUNCTION("""COMPUTED_VALUE"""),"1557-1912")</f>
        <v>1557-1912</v>
      </c>
      <c r="H1273" s="27" t="str">
        <f ca="1">IFERROR(__xludf.DUMMYFUNCTION("""COMPUTED_VALUE"""),"https://link.springer.com/journal/10903")</f>
        <v>https://link.springer.com/journal/10903</v>
      </c>
      <c r="I1273" s="1" t="str">
        <f ca="1">IFERROR(__xludf.DUMMYFUNCTION("""COMPUTED_VALUE"""),"Springer")</f>
        <v>Springer</v>
      </c>
      <c r="J1273" s="1">
        <f ca="1">IFERROR(__xludf.DUMMYFUNCTION("""COMPUTED_VALUE"""),2000)</f>
        <v>2000</v>
      </c>
      <c r="K1273" s="1" t="str">
        <f ca="1">IFERROR(__xludf.DUMMYFUNCTION("""COMPUTED_VALUE"""),"Medicine")</f>
        <v>Medicine</v>
      </c>
      <c r="L1273" s="1" t="str">
        <f ca="1">IFERROR(__xludf.DUMMYFUNCTION("""COMPUTED_VALUE"""),"〇")</f>
        <v>〇</v>
      </c>
      <c r="M1273" s="1" t="str">
        <f ca="1">IFERROR(__xludf.DUMMYFUNCTION("""COMPUTED_VALUE"""),"〇")</f>
        <v>〇</v>
      </c>
      <c r="N1273" s="1"/>
      <c r="O1273" s="1"/>
      <c r="P1273" s="1"/>
    </row>
    <row r="1274" spans="1:16" ht="14.25" customHeight="1" x14ac:dyDescent="0.25">
      <c r="A1274" s="1"/>
      <c r="B1274" s="1">
        <f ca="1"/>
        <v>1262</v>
      </c>
      <c r="C1274" s="1">
        <f ca="1">IFERROR(__xludf.DUMMYFUNCTION("""COMPUTED_VALUE"""),2023)</f>
        <v>2023</v>
      </c>
      <c r="D1274" s="1">
        <f ca="1">IFERROR(__xludf.DUMMYFUNCTION("""COMPUTED_VALUE"""),10847)</f>
        <v>10847</v>
      </c>
      <c r="E1274" s="1" t="str">
        <f ca="1">IFERROR(__xludf.DUMMYFUNCTION("""COMPUTED_VALUE"""),"Journal of Inclusion Phenomena and Macrocyclic Chemistry")</f>
        <v>Journal of Inclusion Phenomena and Macrocyclic Chemistry</v>
      </c>
      <c r="F1274" s="1" t="str">
        <f ca="1">IFERROR(__xludf.DUMMYFUNCTION("""COMPUTED_VALUE"""),"1573-1111")</f>
        <v>1573-1111</v>
      </c>
      <c r="G1274" s="1" t="str">
        <f ca="1">IFERROR(__xludf.DUMMYFUNCTION("""COMPUTED_VALUE"""),"1388-3127")</f>
        <v>1388-3127</v>
      </c>
      <c r="H1274" s="27" t="str">
        <f ca="1">IFERROR(__xludf.DUMMYFUNCTION("""COMPUTED_VALUE"""),"https://link.springer.com/journal/10847")</f>
        <v>https://link.springer.com/journal/10847</v>
      </c>
      <c r="I1274" s="1" t="str">
        <f ca="1">IFERROR(__xludf.DUMMYFUNCTION("""COMPUTED_VALUE"""),"Springer")</f>
        <v>Springer</v>
      </c>
      <c r="J1274" s="1">
        <f ca="1">IFERROR(__xludf.DUMMYFUNCTION("""COMPUTED_VALUE"""),2000)</f>
        <v>2000</v>
      </c>
      <c r="K1274" s="1" t="str">
        <f ca="1">IFERROR(__xludf.DUMMYFUNCTION("""COMPUTED_VALUE"""),"Chemistry and Materials Science")</f>
        <v>Chemistry and Materials Science</v>
      </c>
      <c r="L1274" s="1" t="str">
        <f ca="1">IFERROR(__xludf.DUMMYFUNCTION("""COMPUTED_VALUE"""),"〇")</f>
        <v>〇</v>
      </c>
      <c r="M1274" s="1" t="str">
        <f ca="1">IFERROR(__xludf.DUMMYFUNCTION("""COMPUTED_VALUE"""),"〇")</f>
        <v>〇</v>
      </c>
      <c r="N1274" s="1"/>
      <c r="O1274" s="1"/>
      <c r="P1274" s="1"/>
    </row>
    <row r="1275" spans="1:16" ht="14.25" customHeight="1" x14ac:dyDescent="0.25">
      <c r="A1275" s="1"/>
      <c r="B1275" s="1">
        <f ca="1"/>
        <v>1263</v>
      </c>
      <c r="C1275" s="1">
        <f ca="1">IFERROR(__xludf.DUMMYFUNCTION("""COMPUTED_VALUE"""),2023)</f>
        <v>2023</v>
      </c>
      <c r="D1275" s="1">
        <f ca="1">IFERROR(__xludf.DUMMYFUNCTION("""COMPUTED_VALUE"""),40961)</f>
        <v>40961</v>
      </c>
      <c r="E1275" s="1" t="str">
        <f ca="1">IFERROR(__xludf.DUMMYFUNCTION("""COMPUTED_VALUE"""),"Journal of Indian Council of Philosophical Research")</f>
        <v>Journal of Indian Council of Philosophical Research</v>
      </c>
      <c r="F1275" s="1" t="str">
        <f ca="1">IFERROR(__xludf.DUMMYFUNCTION("""COMPUTED_VALUE"""),"2363-9962")</f>
        <v>2363-9962</v>
      </c>
      <c r="G1275" s="1" t="str">
        <f ca="1">IFERROR(__xludf.DUMMYFUNCTION("""COMPUTED_VALUE"""),"0970-7794")</f>
        <v>0970-7794</v>
      </c>
      <c r="H1275" s="27" t="str">
        <f ca="1">IFERROR(__xludf.DUMMYFUNCTION("""COMPUTED_VALUE"""),"https://link.springer.com/journal/40961")</f>
        <v>https://link.springer.com/journal/40961</v>
      </c>
      <c r="I1275" s="1" t="str">
        <f ca="1">IFERROR(__xludf.DUMMYFUNCTION("""COMPUTED_VALUE"""),"Springer")</f>
        <v>Springer</v>
      </c>
      <c r="J1275" s="1">
        <f ca="1">IFERROR(__xludf.DUMMYFUNCTION("""COMPUTED_VALUE"""),2015)</f>
        <v>2015</v>
      </c>
      <c r="K1275" s="1" t="str">
        <f ca="1">IFERROR(__xludf.DUMMYFUNCTION("""COMPUTED_VALUE"""),"Education")</f>
        <v>Education</v>
      </c>
      <c r="L1275" s="1" t="str">
        <f ca="1">IFERROR(__xludf.DUMMYFUNCTION("""COMPUTED_VALUE"""),"〇")</f>
        <v>〇</v>
      </c>
      <c r="M1275" s="1"/>
      <c r="N1275" s="1" t="str">
        <f ca="1">IFERROR(__xludf.DUMMYFUNCTION("""COMPUTED_VALUE"""),"TO15")</f>
        <v>TO15</v>
      </c>
      <c r="O1275" s="1"/>
      <c r="P1275" s="1"/>
    </row>
    <row r="1276" spans="1:16" ht="14.25" customHeight="1" x14ac:dyDescent="0.25">
      <c r="A1276" s="1"/>
      <c r="B1276" s="1">
        <f ca="1"/>
        <v>1264</v>
      </c>
      <c r="C1276" s="1">
        <f ca="1">IFERROR(__xludf.DUMMYFUNCTION("""COMPUTED_VALUE"""),2023)</f>
        <v>2023</v>
      </c>
      <c r="D1276" s="1">
        <f ca="1">IFERROR(__xludf.DUMMYFUNCTION("""COMPUTED_VALUE"""),10781)</f>
        <v>10781</v>
      </c>
      <c r="E1276" s="1" t="str">
        <f ca="1">IFERROR(__xludf.DUMMYFUNCTION("""COMPUTED_VALUE"""),"Journal of Indian Philosophy")</f>
        <v>Journal of Indian Philosophy</v>
      </c>
      <c r="F1276" s="1" t="str">
        <f ca="1">IFERROR(__xludf.DUMMYFUNCTION("""COMPUTED_VALUE"""),"1573-0395")</f>
        <v>1573-0395</v>
      </c>
      <c r="G1276" s="1" t="str">
        <f ca="1">IFERROR(__xludf.DUMMYFUNCTION("""COMPUTED_VALUE"""),"0022-1791")</f>
        <v>0022-1791</v>
      </c>
      <c r="H1276" s="27" t="str">
        <f ca="1">IFERROR(__xludf.DUMMYFUNCTION("""COMPUTED_VALUE"""),"https://link.springer.com/journal/10781")</f>
        <v>https://link.springer.com/journal/10781</v>
      </c>
      <c r="I1276" s="1" t="str">
        <f ca="1">IFERROR(__xludf.DUMMYFUNCTION("""COMPUTED_VALUE"""),"Springer")</f>
        <v>Springer</v>
      </c>
      <c r="J1276" s="1">
        <f ca="1">IFERROR(__xludf.DUMMYFUNCTION("""COMPUTED_VALUE"""),2000)</f>
        <v>2000</v>
      </c>
      <c r="K1276" s="1" t="str">
        <f ca="1">IFERROR(__xludf.DUMMYFUNCTION("""COMPUTED_VALUE"""),"Education")</f>
        <v>Education</v>
      </c>
      <c r="L1276" s="1" t="str">
        <f ca="1">IFERROR(__xludf.DUMMYFUNCTION("""COMPUTED_VALUE"""),"〇")</f>
        <v>〇</v>
      </c>
      <c r="M1276" s="1" t="str">
        <f ca="1">IFERROR(__xludf.DUMMYFUNCTION("""COMPUTED_VALUE"""),"〇")</f>
        <v>〇</v>
      </c>
      <c r="N1276" s="1"/>
      <c r="O1276" s="1"/>
      <c r="P1276" s="1"/>
    </row>
    <row r="1277" spans="1:16" ht="14.25" customHeight="1" x14ac:dyDescent="0.25">
      <c r="A1277" s="1"/>
      <c r="B1277" s="1">
        <f ca="1"/>
        <v>1265</v>
      </c>
      <c r="C1277" s="1">
        <f ca="1">IFERROR(__xludf.DUMMYFUNCTION("""COMPUTED_VALUE"""),2023)</f>
        <v>2023</v>
      </c>
      <c r="D1277" s="1">
        <f ca="1">IFERROR(__xludf.DUMMYFUNCTION("""COMPUTED_VALUE"""),40812)</f>
        <v>40812</v>
      </c>
      <c r="E1277" s="1" t="str">
        <f ca="1">IFERROR(__xludf.DUMMYFUNCTION("""COMPUTED_VALUE"""),"Journal of Industrial and Business Economics")</f>
        <v>Journal of Industrial and Business Economics</v>
      </c>
      <c r="F1277" s="1" t="str">
        <f ca="1">IFERROR(__xludf.DUMMYFUNCTION("""COMPUTED_VALUE"""),"1972-4977")</f>
        <v>1972-4977</v>
      </c>
      <c r="G1277" s="1" t="str">
        <f ca="1">IFERROR(__xludf.DUMMYFUNCTION("""COMPUTED_VALUE"""),"0391-2078")</f>
        <v>0391-2078</v>
      </c>
      <c r="H1277" s="27" t="str">
        <f ca="1">IFERROR(__xludf.DUMMYFUNCTION("""COMPUTED_VALUE"""),"https://link.springer.com/journal/40812")</f>
        <v>https://link.springer.com/journal/40812</v>
      </c>
      <c r="I1277" s="1" t="str">
        <f ca="1">IFERROR(__xludf.DUMMYFUNCTION("""COMPUTED_VALUE"""),"Springer")</f>
        <v>Springer</v>
      </c>
      <c r="J1277" s="1">
        <f ca="1">IFERROR(__xludf.DUMMYFUNCTION("""COMPUTED_VALUE"""),2015)</f>
        <v>2015</v>
      </c>
      <c r="K1277" s="1" t="str">
        <f ca="1">IFERROR(__xludf.DUMMYFUNCTION("""COMPUTED_VALUE"""),"Economics and Finance")</f>
        <v>Economics and Finance</v>
      </c>
      <c r="L1277" s="1" t="str">
        <f ca="1">IFERROR(__xludf.DUMMYFUNCTION("""COMPUTED_VALUE"""),"〇")</f>
        <v>〇</v>
      </c>
      <c r="M1277" s="1"/>
      <c r="N1277" s="1" t="str">
        <f ca="1">IFERROR(__xludf.DUMMYFUNCTION("""COMPUTED_VALUE"""),"TO15")</f>
        <v>TO15</v>
      </c>
      <c r="O1277" s="1"/>
      <c r="P1277" s="1"/>
    </row>
    <row r="1278" spans="1:16" ht="14.25" customHeight="1" x14ac:dyDescent="0.25">
      <c r="A1278" s="1"/>
      <c r="B1278" s="1">
        <f ca="1"/>
        <v>1266</v>
      </c>
      <c r="C1278" s="1">
        <f ca="1">IFERROR(__xludf.DUMMYFUNCTION("""COMPUTED_VALUE"""),2023)</f>
        <v>2023</v>
      </c>
      <c r="D1278" s="1">
        <f ca="1">IFERROR(__xludf.DUMMYFUNCTION("""COMPUTED_VALUE"""),10842)</f>
        <v>10842</v>
      </c>
      <c r="E1278" s="1" t="str">
        <f ca="1">IFERROR(__xludf.DUMMYFUNCTION("""COMPUTED_VALUE"""),"Journal of Industry, Competition and Trade")</f>
        <v>Journal of Industry, Competition and Trade</v>
      </c>
      <c r="F1278" s="1" t="str">
        <f ca="1">IFERROR(__xludf.DUMMYFUNCTION("""COMPUTED_VALUE"""),"1573-7012")</f>
        <v>1573-7012</v>
      </c>
      <c r="G1278" s="1" t="str">
        <f ca="1">IFERROR(__xludf.DUMMYFUNCTION("""COMPUTED_VALUE"""),"1566-1679")</f>
        <v>1566-1679</v>
      </c>
      <c r="H1278" s="27" t="str">
        <f ca="1">IFERROR(__xludf.DUMMYFUNCTION("""COMPUTED_VALUE"""),"https://link.springer.com/journal/10842")</f>
        <v>https://link.springer.com/journal/10842</v>
      </c>
      <c r="I1278" s="1" t="str">
        <f ca="1">IFERROR(__xludf.DUMMYFUNCTION("""COMPUTED_VALUE"""),"Springer")</f>
        <v>Springer</v>
      </c>
      <c r="J1278" s="1">
        <f ca="1">IFERROR(__xludf.DUMMYFUNCTION("""COMPUTED_VALUE"""),2001)</f>
        <v>2001</v>
      </c>
      <c r="K1278" s="1" t="str">
        <f ca="1">IFERROR(__xludf.DUMMYFUNCTION("""COMPUTED_VALUE"""),"Economics and Finance")</f>
        <v>Economics and Finance</v>
      </c>
      <c r="L1278" s="1" t="str">
        <f ca="1">IFERROR(__xludf.DUMMYFUNCTION("""COMPUTED_VALUE"""),"〇")</f>
        <v>〇</v>
      </c>
      <c r="M1278" s="1" t="str">
        <f ca="1">IFERROR(__xludf.DUMMYFUNCTION("""COMPUTED_VALUE"""),"〇")</f>
        <v>〇</v>
      </c>
      <c r="N1278" s="1"/>
      <c r="O1278" s="1"/>
      <c r="P1278" s="1"/>
    </row>
    <row r="1279" spans="1:16" ht="14.25" customHeight="1" x14ac:dyDescent="0.25">
      <c r="A1279" s="1"/>
      <c r="B1279" s="1">
        <f ca="1"/>
        <v>1267</v>
      </c>
      <c r="C1279" s="1">
        <f ca="1">IFERROR(__xludf.DUMMYFUNCTION("""COMPUTED_VALUE"""),2023)</f>
        <v>2023</v>
      </c>
      <c r="D1279" s="1">
        <f ca="1">IFERROR(__xludf.DUMMYFUNCTION("""COMPUTED_VALUE"""),10762)</f>
        <v>10762</v>
      </c>
      <c r="E1279" s="1" t="str">
        <f ca="1">IFERROR(__xludf.DUMMYFUNCTION("""COMPUTED_VALUE"""),"Journal of Infrared, Millimeter, and Terahertz Waves")</f>
        <v>Journal of Infrared, Millimeter, and Terahertz Waves</v>
      </c>
      <c r="F1279" s="1" t="str">
        <f ca="1">IFERROR(__xludf.DUMMYFUNCTION("""COMPUTED_VALUE"""),"1866-6906")</f>
        <v>1866-6906</v>
      </c>
      <c r="G1279" s="1" t="str">
        <f ca="1">IFERROR(__xludf.DUMMYFUNCTION("""COMPUTED_VALUE"""),"1866-6892")</f>
        <v>1866-6892</v>
      </c>
      <c r="H1279" s="27" t="str">
        <f ca="1">IFERROR(__xludf.DUMMYFUNCTION("""COMPUTED_VALUE"""),"https://link.springer.com/journal/10762")</f>
        <v>https://link.springer.com/journal/10762</v>
      </c>
      <c r="I1279" s="1" t="str">
        <f ca="1">IFERROR(__xludf.DUMMYFUNCTION("""COMPUTED_VALUE"""),"Springer")</f>
        <v>Springer</v>
      </c>
      <c r="J1279" s="1">
        <f ca="1">IFERROR(__xludf.DUMMYFUNCTION("""COMPUTED_VALUE"""),2000)</f>
        <v>2000</v>
      </c>
      <c r="K1279" s="1" t="str">
        <f ca="1">IFERROR(__xludf.DUMMYFUNCTION("""COMPUTED_VALUE"""),"Engineering")</f>
        <v>Engineering</v>
      </c>
      <c r="L1279" s="1" t="str">
        <f ca="1">IFERROR(__xludf.DUMMYFUNCTION("""COMPUTED_VALUE"""),"〇")</f>
        <v>〇</v>
      </c>
      <c r="M1279" s="1" t="str">
        <f ca="1">IFERROR(__xludf.DUMMYFUNCTION("""COMPUTED_VALUE"""),"〇")</f>
        <v>〇</v>
      </c>
      <c r="N1279" s="1"/>
      <c r="O1279" s="1"/>
      <c r="P1279" s="1"/>
    </row>
    <row r="1280" spans="1:16" ht="14.25" customHeight="1" x14ac:dyDescent="0.25">
      <c r="A1280" s="1"/>
      <c r="B1280" s="1">
        <f ca="1"/>
        <v>1268</v>
      </c>
      <c r="C1280" s="1">
        <f ca="1">IFERROR(__xludf.DUMMYFUNCTION("""COMPUTED_VALUE"""),2023)</f>
        <v>2023</v>
      </c>
      <c r="D1280" s="1">
        <f ca="1">IFERROR(__xludf.DUMMYFUNCTION("""COMPUTED_VALUE"""),10904)</f>
        <v>10904</v>
      </c>
      <c r="E1280" s="1" t="str">
        <f ca="1">IFERROR(__xludf.DUMMYFUNCTION("""COMPUTED_VALUE"""),"Journal of Inorganic and Organometallic Polymers and Materials")</f>
        <v>Journal of Inorganic and Organometallic Polymers and Materials</v>
      </c>
      <c r="F1280" s="1" t="str">
        <f ca="1">IFERROR(__xludf.DUMMYFUNCTION("""COMPUTED_VALUE"""),"1574-1451")</f>
        <v>1574-1451</v>
      </c>
      <c r="G1280" s="1" t="str">
        <f ca="1">IFERROR(__xludf.DUMMYFUNCTION("""COMPUTED_VALUE"""),"1574-1443")</f>
        <v>1574-1443</v>
      </c>
      <c r="H1280" s="27" t="str">
        <f ca="1">IFERROR(__xludf.DUMMYFUNCTION("""COMPUTED_VALUE"""),"https://link.springer.com/journal/10904")</f>
        <v>https://link.springer.com/journal/10904</v>
      </c>
      <c r="I1280" s="1" t="str">
        <f ca="1">IFERROR(__xludf.DUMMYFUNCTION("""COMPUTED_VALUE"""),"Springer")</f>
        <v>Springer</v>
      </c>
      <c r="J1280" s="1">
        <f ca="1">IFERROR(__xludf.DUMMYFUNCTION("""COMPUTED_VALUE"""),2000)</f>
        <v>2000</v>
      </c>
      <c r="K1280" s="1" t="str">
        <f ca="1">IFERROR(__xludf.DUMMYFUNCTION("""COMPUTED_VALUE"""),"Chemistry and Materials Science")</f>
        <v>Chemistry and Materials Science</v>
      </c>
      <c r="L1280" s="1" t="str">
        <f ca="1">IFERROR(__xludf.DUMMYFUNCTION("""COMPUTED_VALUE"""),"〇")</f>
        <v>〇</v>
      </c>
      <c r="M1280" s="1" t="str">
        <f ca="1">IFERROR(__xludf.DUMMYFUNCTION("""COMPUTED_VALUE"""),"〇")</f>
        <v>〇</v>
      </c>
      <c r="N1280" s="1"/>
      <c r="O1280" s="1"/>
      <c r="P1280" s="1"/>
    </row>
    <row r="1281" spans="1:16" ht="14.25" customHeight="1" x14ac:dyDescent="0.25">
      <c r="A1281" s="1"/>
      <c r="B1281" s="1">
        <f ca="1"/>
        <v>1269</v>
      </c>
      <c r="C1281" s="1">
        <f ca="1">IFERROR(__xludf.DUMMYFUNCTION("""COMPUTED_VALUE"""),2023)</f>
        <v>2023</v>
      </c>
      <c r="D1281" s="1">
        <f ca="1">IFERROR(__xludf.DUMMYFUNCTION("""COMPUTED_VALUE"""),10905)</f>
        <v>10905</v>
      </c>
      <c r="E1281" s="1" t="str">
        <f ca="1">IFERROR(__xludf.DUMMYFUNCTION("""COMPUTED_VALUE"""),"Journal of Insect Behavior")</f>
        <v>Journal of Insect Behavior</v>
      </c>
      <c r="F1281" s="1" t="str">
        <f ca="1">IFERROR(__xludf.DUMMYFUNCTION("""COMPUTED_VALUE"""),"1572-8889")</f>
        <v>1572-8889</v>
      </c>
      <c r="G1281" s="1" t="str">
        <f ca="1">IFERROR(__xludf.DUMMYFUNCTION("""COMPUTED_VALUE"""),"0892-7553")</f>
        <v>0892-7553</v>
      </c>
      <c r="H1281" s="27" t="str">
        <f ca="1">IFERROR(__xludf.DUMMYFUNCTION("""COMPUTED_VALUE"""),"https://link.springer.com/journal/10905")</f>
        <v>https://link.springer.com/journal/10905</v>
      </c>
      <c r="I1281" s="1" t="str">
        <f ca="1">IFERROR(__xludf.DUMMYFUNCTION("""COMPUTED_VALUE"""),"Springer")</f>
        <v>Springer</v>
      </c>
      <c r="J1281" s="1">
        <f ca="1">IFERROR(__xludf.DUMMYFUNCTION("""COMPUTED_VALUE"""),2000)</f>
        <v>2000</v>
      </c>
      <c r="K1281" s="1" t="str">
        <f ca="1">IFERROR(__xludf.DUMMYFUNCTION("""COMPUTED_VALUE"""),"Biomedical and Life Sciences")</f>
        <v>Biomedical and Life Sciences</v>
      </c>
      <c r="L1281" s="1" t="str">
        <f ca="1">IFERROR(__xludf.DUMMYFUNCTION("""COMPUTED_VALUE"""),"〇")</f>
        <v>〇</v>
      </c>
      <c r="M1281" s="1" t="str">
        <f ca="1">IFERROR(__xludf.DUMMYFUNCTION("""COMPUTED_VALUE"""),"〇")</f>
        <v>〇</v>
      </c>
      <c r="N1281" s="1"/>
      <c r="O1281" s="1"/>
      <c r="P1281" s="1"/>
    </row>
    <row r="1282" spans="1:16" ht="14.25" customHeight="1" x14ac:dyDescent="0.25">
      <c r="A1282" s="1"/>
      <c r="B1282" s="1">
        <f ca="1"/>
        <v>1270</v>
      </c>
      <c r="C1282" s="1">
        <f ca="1">IFERROR(__xludf.DUMMYFUNCTION("""COMPUTED_VALUE"""),2023)</f>
        <v>2023</v>
      </c>
      <c r="D1282" s="1">
        <f ca="1">IFERROR(__xludf.DUMMYFUNCTION("""COMPUTED_VALUE"""),10841)</f>
        <v>10841</v>
      </c>
      <c r="E1282" s="1" t="str">
        <f ca="1">IFERROR(__xludf.DUMMYFUNCTION("""COMPUTED_VALUE"""),"Journal of Insect Conservation")</f>
        <v>Journal of Insect Conservation</v>
      </c>
      <c r="F1282" s="1" t="str">
        <f ca="1">IFERROR(__xludf.DUMMYFUNCTION("""COMPUTED_VALUE"""),"1572-9753")</f>
        <v>1572-9753</v>
      </c>
      <c r="G1282" s="1" t="str">
        <f ca="1">IFERROR(__xludf.DUMMYFUNCTION("""COMPUTED_VALUE"""),"1366-638X")</f>
        <v>1366-638X</v>
      </c>
      <c r="H1282" s="27" t="str">
        <f ca="1">IFERROR(__xludf.DUMMYFUNCTION("""COMPUTED_VALUE"""),"https://link.springer.com/journal/10841")</f>
        <v>https://link.springer.com/journal/10841</v>
      </c>
      <c r="I1282" s="1" t="str">
        <f ca="1">IFERROR(__xludf.DUMMYFUNCTION("""COMPUTED_VALUE"""),"Springer")</f>
        <v>Springer</v>
      </c>
      <c r="J1282" s="1">
        <f ca="1">IFERROR(__xludf.DUMMYFUNCTION("""COMPUTED_VALUE"""),2000)</f>
        <v>2000</v>
      </c>
      <c r="K1282" s="1" t="str">
        <f ca="1">IFERROR(__xludf.DUMMYFUNCTION("""COMPUTED_VALUE"""),"Biomedical and Life Sciences")</f>
        <v>Biomedical and Life Sciences</v>
      </c>
      <c r="L1282" s="1" t="str">
        <f ca="1">IFERROR(__xludf.DUMMYFUNCTION("""COMPUTED_VALUE"""),"〇")</f>
        <v>〇</v>
      </c>
      <c r="M1282" s="1" t="str">
        <f ca="1">IFERROR(__xludf.DUMMYFUNCTION("""COMPUTED_VALUE"""),"〇")</f>
        <v>〇</v>
      </c>
      <c r="N1282" s="1"/>
      <c r="O1282" s="1"/>
      <c r="P1282" s="1"/>
    </row>
    <row r="1283" spans="1:16" ht="14.25" customHeight="1" x14ac:dyDescent="0.25">
      <c r="A1283" s="1"/>
      <c r="B1283" s="1">
        <f ca="1"/>
        <v>1271</v>
      </c>
      <c r="C1283" s="1">
        <f ca="1">IFERROR(__xludf.DUMMYFUNCTION("""COMPUTED_VALUE"""),2023)</f>
        <v>2023</v>
      </c>
      <c r="D1283" s="1">
        <f ca="1">IFERROR(__xludf.DUMMYFUNCTION("""COMPUTED_VALUE"""),10846)</f>
        <v>10846</v>
      </c>
      <c r="E1283" s="1" t="str">
        <f ca="1">IFERROR(__xludf.DUMMYFUNCTION("""COMPUTED_VALUE"""),"Journal of Intelligent &amp; Robotic Systems")</f>
        <v>Journal of Intelligent &amp; Robotic Systems</v>
      </c>
      <c r="F1283" s="1" t="str">
        <f ca="1">IFERROR(__xludf.DUMMYFUNCTION("""COMPUTED_VALUE"""),"1573-0409")</f>
        <v>1573-0409</v>
      </c>
      <c r="G1283" s="1" t="str">
        <f ca="1">IFERROR(__xludf.DUMMYFUNCTION("""COMPUTED_VALUE"""),"0921-0296")</f>
        <v>0921-0296</v>
      </c>
      <c r="H1283" s="27" t="str">
        <f ca="1">IFERROR(__xludf.DUMMYFUNCTION("""COMPUTED_VALUE"""),"https://link.springer.com/journal/10846")</f>
        <v>https://link.springer.com/journal/10846</v>
      </c>
      <c r="I1283" s="1" t="str">
        <f ca="1">IFERROR(__xludf.DUMMYFUNCTION("""COMPUTED_VALUE"""),"Springer")</f>
        <v>Springer</v>
      </c>
      <c r="J1283" s="1">
        <f ca="1">IFERROR(__xludf.DUMMYFUNCTION("""COMPUTED_VALUE"""),2000)</f>
        <v>2000</v>
      </c>
      <c r="K1283" s="1" t="str">
        <f ca="1">IFERROR(__xludf.DUMMYFUNCTION("""COMPUTED_VALUE"""),"Engineering")</f>
        <v>Engineering</v>
      </c>
      <c r="L1283" s="1" t="str">
        <f ca="1">IFERROR(__xludf.DUMMYFUNCTION("""COMPUTED_VALUE"""),"〇")</f>
        <v>〇</v>
      </c>
      <c r="M1283" s="1" t="str">
        <f ca="1">IFERROR(__xludf.DUMMYFUNCTION("""COMPUTED_VALUE"""),"〇")</f>
        <v>〇</v>
      </c>
      <c r="N1283" s="1"/>
      <c r="O1283" s="1"/>
      <c r="P1283" s="1"/>
    </row>
    <row r="1284" spans="1:16" ht="14.25" customHeight="1" x14ac:dyDescent="0.25">
      <c r="A1284" s="1"/>
      <c r="B1284" s="1">
        <f ca="1"/>
        <v>1272</v>
      </c>
      <c r="C1284" s="1">
        <f ca="1">IFERROR(__xludf.DUMMYFUNCTION("""COMPUTED_VALUE"""),2023)</f>
        <v>2023</v>
      </c>
      <c r="D1284" s="1">
        <f ca="1">IFERROR(__xludf.DUMMYFUNCTION("""COMPUTED_VALUE"""),10844)</f>
        <v>10844</v>
      </c>
      <c r="E1284" s="1" t="str">
        <f ca="1">IFERROR(__xludf.DUMMYFUNCTION("""COMPUTED_VALUE"""),"Journal of Intelligent Information Systems")</f>
        <v>Journal of Intelligent Information Systems</v>
      </c>
      <c r="F1284" s="1" t="str">
        <f ca="1">IFERROR(__xludf.DUMMYFUNCTION("""COMPUTED_VALUE"""),"1573-7675")</f>
        <v>1573-7675</v>
      </c>
      <c r="G1284" s="1" t="str">
        <f ca="1">IFERROR(__xludf.DUMMYFUNCTION("""COMPUTED_VALUE"""),"0925-9902")</f>
        <v>0925-9902</v>
      </c>
      <c r="H1284" s="27" t="str">
        <f ca="1">IFERROR(__xludf.DUMMYFUNCTION("""COMPUTED_VALUE"""),"https://link.springer.com/journal/10844")</f>
        <v>https://link.springer.com/journal/10844</v>
      </c>
      <c r="I1284" s="1" t="str">
        <f ca="1">IFERROR(__xludf.DUMMYFUNCTION("""COMPUTED_VALUE"""),"Springer")</f>
        <v>Springer</v>
      </c>
      <c r="J1284" s="1">
        <f ca="1">IFERROR(__xludf.DUMMYFUNCTION("""COMPUTED_VALUE"""),2000)</f>
        <v>2000</v>
      </c>
      <c r="K1284" s="1" t="str">
        <f ca="1">IFERROR(__xludf.DUMMYFUNCTION("""COMPUTED_VALUE"""),"Computer Science")</f>
        <v>Computer Science</v>
      </c>
      <c r="L1284" s="1" t="str">
        <f ca="1">IFERROR(__xludf.DUMMYFUNCTION("""COMPUTED_VALUE"""),"〇")</f>
        <v>〇</v>
      </c>
      <c r="M1284" s="1" t="str">
        <f ca="1">IFERROR(__xludf.DUMMYFUNCTION("""COMPUTED_VALUE"""),"〇")</f>
        <v>〇</v>
      </c>
      <c r="N1284" s="1"/>
      <c r="O1284" s="1"/>
      <c r="P1284" s="1"/>
    </row>
    <row r="1285" spans="1:16" ht="14.25" customHeight="1" x14ac:dyDescent="0.25">
      <c r="A1285" s="1"/>
      <c r="B1285" s="1">
        <f ca="1"/>
        <v>1273</v>
      </c>
      <c r="C1285" s="1">
        <f ca="1">IFERROR(__xludf.DUMMYFUNCTION("""COMPUTED_VALUE"""),2023)</f>
        <v>2023</v>
      </c>
      <c r="D1285" s="1">
        <f ca="1">IFERROR(__xludf.DUMMYFUNCTION("""COMPUTED_VALUE"""),10845)</f>
        <v>10845</v>
      </c>
      <c r="E1285" s="1" t="str">
        <f ca="1">IFERROR(__xludf.DUMMYFUNCTION("""COMPUTED_VALUE"""),"Journal of Intelligent Manufacturing")</f>
        <v>Journal of Intelligent Manufacturing</v>
      </c>
      <c r="F1285" s="1" t="str">
        <f ca="1">IFERROR(__xludf.DUMMYFUNCTION("""COMPUTED_VALUE"""),"1572-8145")</f>
        <v>1572-8145</v>
      </c>
      <c r="G1285" s="1" t="str">
        <f ca="1">IFERROR(__xludf.DUMMYFUNCTION("""COMPUTED_VALUE"""),"0956-5515")</f>
        <v>0956-5515</v>
      </c>
      <c r="H1285" s="27" t="str">
        <f ca="1">IFERROR(__xludf.DUMMYFUNCTION("""COMPUTED_VALUE"""),"https://link.springer.com/journal/10845")</f>
        <v>https://link.springer.com/journal/10845</v>
      </c>
      <c r="I1285" s="1" t="str">
        <f ca="1">IFERROR(__xludf.DUMMYFUNCTION("""COMPUTED_VALUE"""),"Springer")</f>
        <v>Springer</v>
      </c>
      <c r="J1285" s="1">
        <f ca="1">IFERROR(__xludf.DUMMYFUNCTION("""COMPUTED_VALUE"""),2000)</f>
        <v>2000</v>
      </c>
      <c r="K1285" s="1" t="str">
        <f ca="1">IFERROR(__xludf.DUMMYFUNCTION("""COMPUTED_VALUE"""),"Business and Management")</f>
        <v>Business and Management</v>
      </c>
      <c r="L1285" s="1" t="str">
        <f ca="1">IFERROR(__xludf.DUMMYFUNCTION("""COMPUTED_VALUE"""),"〇")</f>
        <v>〇</v>
      </c>
      <c r="M1285" s="1" t="str">
        <f ca="1">IFERROR(__xludf.DUMMYFUNCTION("""COMPUTED_VALUE"""),"〇")</f>
        <v>〇</v>
      </c>
      <c r="N1285" s="1"/>
      <c r="O1285" s="1"/>
      <c r="P1285" s="1"/>
    </row>
    <row r="1286" spans="1:16" ht="14.25" customHeight="1" x14ac:dyDescent="0.25">
      <c r="A1286" s="1"/>
      <c r="B1286" s="1">
        <f ca="1"/>
        <v>1274</v>
      </c>
      <c r="C1286" s="1">
        <f ca="1">IFERROR(__xludf.DUMMYFUNCTION("""COMPUTED_VALUE"""),2023)</f>
        <v>2023</v>
      </c>
      <c r="D1286" s="1">
        <f ca="1">IFERROR(__xludf.DUMMYFUNCTION("""COMPUTED_VALUE"""),10843)</f>
        <v>10843</v>
      </c>
      <c r="E1286" s="1" t="str">
        <f ca="1">IFERROR(__xludf.DUMMYFUNCTION("""COMPUTED_VALUE"""),"Journal of International Entrepreneurship")</f>
        <v>Journal of International Entrepreneurship</v>
      </c>
      <c r="F1286" s="1" t="str">
        <f ca="1">IFERROR(__xludf.DUMMYFUNCTION("""COMPUTED_VALUE"""),"1573-7349")</f>
        <v>1573-7349</v>
      </c>
      <c r="G1286" s="1" t="str">
        <f ca="1">IFERROR(__xludf.DUMMYFUNCTION("""COMPUTED_VALUE"""),"1570-7385")</f>
        <v>1570-7385</v>
      </c>
      <c r="H1286" s="27" t="str">
        <f ca="1">IFERROR(__xludf.DUMMYFUNCTION("""COMPUTED_VALUE"""),"https://link.springer.com/journal/10843")</f>
        <v>https://link.springer.com/journal/10843</v>
      </c>
      <c r="I1286" s="1" t="str">
        <f ca="1">IFERROR(__xludf.DUMMYFUNCTION("""COMPUTED_VALUE"""),"Springer")</f>
        <v>Springer</v>
      </c>
      <c r="J1286" s="1">
        <f ca="1">IFERROR(__xludf.DUMMYFUNCTION("""COMPUTED_VALUE"""),2003)</f>
        <v>2003</v>
      </c>
      <c r="K1286" s="1" t="str">
        <f ca="1">IFERROR(__xludf.DUMMYFUNCTION("""COMPUTED_VALUE"""),"Business and Management")</f>
        <v>Business and Management</v>
      </c>
      <c r="L1286" s="1" t="str">
        <f ca="1">IFERROR(__xludf.DUMMYFUNCTION("""COMPUTED_VALUE"""),"〇")</f>
        <v>〇</v>
      </c>
      <c r="M1286" s="1" t="str">
        <f ca="1">IFERROR(__xludf.DUMMYFUNCTION("""COMPUTED_VALUE"""),"〇")</f>
        <v>〇</v>
      </c>
      <c r="N1286" s="1"/>
      <c r="O1286" s="1"/>
      <c r="P1286" s="1"/>
    </row>
    <row r="1287" spans="1:16" ht="14.25" customHeight="1" x14ac:dyDescent="0.25">
      <c r="A1287" s="1"/>
      <c r="B1287" s="1">
        <f ca="1"/>
        <v>1275</v>
      </c>
      <c r="C1287" s="1">
        <f ca="1">IFERROR(__xludf.DUMMYFUNCTION("""COMPUTED_VALUE"""),2023)</f>
        <v>2023</v>
      </c>
      <c r="D1287" s="1">
        <f ca="1">IFERROR(__xludf.DUMMYFUNCTION("""COMPUTED_VALUE"""),12134)</f>
        <v>12134</v>
      </c>
      <c r="E1287" s="1" t="str">
        <f ca="1">IFERROR(__xludf.DUMMYFUNCTION("""COMPUTED_VALUE"""),"Journal of International Migration and Integration")</f>
        <v>Journal of International Migration and Integration</v>
      </c>
      <c r="F1287" s="1" t="str">
        <f ca="1">IFERROR(__xludf.DUMMYFUNCTION("""COMPUTED_VALUE"""),"1874-6365")</f>
        <v>1874-6365</v>
      </c>
      <c r="G1287" s="1" t="str">
        <f ca="1">IFERROR(__xludf.DUMMYFUNCTION("""COMPUTED_VALUE"""),"1488-3473")</f>
        <v>1488-3473</v>
      </c>
      <c r="H1287" s="27" t="str">
        <f ca="1">IFERROR(__xludf.DUMMYFUNCTION("""COMPUTED_VALUE"""),"https://link.springer.com/journal/12134")</f>
        <v>https://link.springer.com/journal/12134</v>
      </c>
      <c r="I1287" s="1" t="str">
        <f ca="1">IFERROR(__xludf.DUMMYFUNCTION("""COMPUTED_VALUE"""),"Springer")</f>
        <v>Springer</v>
      </c>
      <c r="J1287" s="1">
        <f ca="1">IFERROR(__xludf.DUMMYFUNCTION("""COMPUTED_VALUE"""),2000)</f>
        <v>2000</v>
      </c>
      <c r="K1287" s="1" t="str">
        <f ca="1">IFERROR(__xludf.DUMMYFUNCTION("""COMPUTED_VALUE"""),"Social Sciences")</f>
        <v>Social Sciences</v>
      </c>
      <c r="L1287" s="1" t="str">
        <f ca="1">IFERROR(__xludf.DUMMYFUNCTION("""COMPUTED_VALUE"""),"〇")</f>
        <v>〇</v>
      </c>
      <c r="M1287" s="1" t="str">
        <f ca="1">IFERROR(__xludf.DUMMYFUNCTION("""COMPUTED_VALUE"""),"〇")</f>
        <v>〇</v>
      </c>
      <c r="N1287" s="1" t="str">
        <f ca="1">IFERROR(__xludf.DUMMYFUNCTION("""COMPUTED_VALUE"""),"TO7")</f>
        <v>TO7</v>
      </c>
      <c r="O1287" s="1"/>
      <c r="P1287" s="1"/>
    </row>
    <row r="1288" spans="1:16" ht="14.25" customHeight="1" x14ac:dyDescent="0.25">
      <c r="A1288" s="1"/>
      <c r="B1288" s="1">
        <f ca="1"/>
        <v>1276</v>
      </c>
      <c r="C1288" s="1">
        <f ca="1">IFERROR(__xludf.DUMMYFUNCTION("""COMPUTED_VALUE"""),2023)</f>
        <v>2023</v>
      </c>
      <c r="D1288" s="1">
        <f ca="1">IFERROR(__xludf.DUMMYFUNCTION("""COMPUTED_VALUE"""),10840)</f>
        <v>10840</v>
      </c>
      <c r="E1288" s="1" t="str">
        <f ca="1">IFERROR(__xludf.DUMMYFUNCTION("""COMPUTED_VALUE"""),"Journal of Interventional Cardiac Electrophysiology")</f>
        <v>Journal of Interventional Cardiac Electrophysiology</v>
      </c>
      <c r="F1288" s="1" t="str">
        <f ca="1">IFERROR(__xludf.DUMMYFUNCTION("""COMPUTED_VALUE"""),"1572-8595")</f>
        <v>1572-8595</v>
      </c>
      <c r="G1288" s="1"/>
      <c r="H1288" s="27" t="str">
        <f ca="1">IFERROR(__xludf.DUMMYFUNCTION("""COMPUTED_VALUE"""),"https://link.springer.com/journal/10840")</f>
        <v>https://link.springer.com/journal/10840</v>
      </c>
      <c r="I1288" s="1" t="str">
        <f ca="1">IFERROR(__xludf.DUMMYFUNCTION("""COMPUTED_VALUE"""),"Springer")</f>
        <v>Springer</v>
      </c>
      <c r="J1288" s="1">
        <f ca="1">IFERROR(__xludf.DUMMYFUNCTION("""COMPUTED_VALUE"""),2000)</f>
        <v>2000</v>
      </c>
      <c r="K1288" s="1" t="str">
        <f ca="1">IFERROR(__xludf.DUMMYFUNCTION("""COMPUTED_VALUE"""),"Medicine")</f>
        <v>Medicine</v>
      </c>
      <c r="L1288" s="1"/>
      <c r="M1288" s="1" t="str">
        <f ca="1">IFERROR(__xludf.DUMMYFUNCTION("""COMPUTED_VALUE"""),"〇")</f>
        <v>〇</v>
      </c>
      <c r="N1288" s="1"/>
      <c r="O1288" s="1"/>
      <c r="P1288" s="1"/>
    </row>
    <row r="1289" spans="1:16" ht="14.25" customHeight="1" x14ac:dyDescent="0.25">
      <c r="A1289" s="1"/>
      <c r="B1289" s="1">
        <f ca="1"/>
        <v>1277</v>
      </c>
      <c r="C1289" s="1">
        <f ca="1">IFERROR(__xludf.DUMMYFUNCTION("""COMPUTED_VALUE"""),2023)</f>
        <v>2023</v>
      </c>
      <c r="D1289" s="1">
        <f ca="1">IFERROR(__xludf.DUMMYFUNCTION("""COMPUTED_VALUE"""),42243)</f>
        <v>42243</v>
      </c>
      <c r="E1289" s="1" t="str">
        <f ca="1">IFERROR(__xludf.DUMMYFUNCTION("""COMPUTED_VALUE"""),"Journal of Iron and Steel Research International")</f>
        <v>Journal of Iron and Steel Research International</v>
      </c>
      <c r="F1289" s="1" t="str">
        <f ca="1">IFERROR(__xludf.DUMMYFUNCTION("""COMPUTED_VALUE"""),"2210-3988")</f>
        <v>2210-3988</v>
      </c>
      <c r="G1289" s="1" t="str">
        <f ca="1">IFERROR(__xludf.DUMMYFUNCTION("""COMPUTED_VALUE"""),"1006-706X")</f>
        <v>1006-706X</v>
      </c>
      <c r="H1289" s="27" t="str">
        <f ca="1">IFERROR(__xludf.DUMMYFUNCTION("""COMPUTED_VALUE"""),"https://link.springer.com/journal/42243")</f>
        <v>https://link.springer.com/journal/42243</v>
      </c>
      <c r="I1289" s="1" t="str">
        <f ca="1">IFERROR(__xludf.DUMMYFUNCTION("""COMPUTED_VALUE"""),"Springer")</f>
        <v>Springer</v>
      </c>
      <c r="J1289" s="1">
        <f ca="1">IFERROR(__xludf.DUMMYFUNCTION("""COMPUTED_VALUE"""),2006)</f>
        <v>2006</v>
      </c>
      <c r="K1289" s="1" t="str">
        <f ca="1">IFERROR(__xludf.DUMMYFUNCTION("""COMPUTED_VALUE"""),"Engineering")</f>
        <v>Engineering</v>
      </c>
      <c r="L1289" s="1" t="str">
        <f ca="1">IFERROR(__xludf.DUMMYFUNCTION("""COMPUTED_VALUE"""),"〇")</f>
        <v>〇</v>
      </c>
      <c r="M1289" s="1"/>
      <c r="N1289" s="1" t="str">
        <f ca="1">IFERROR(__xludf.DUMMYFUNCTION("""COMPUTED_VALUE"""),"TO18")</f>
        <v>TO18</v>
      </c>
      <c r="O1289" s="1"/>
      <c r="P1289" s="1"/>
    </row>
    <row r="1290" spans="1:16" ht="14.25" customHeight="1" x14ac:dyDescent="0.25">
      <c r="A1290" s="1"/>
      <c r="B1290" s="1">
        <f ca="1"/>
        <v>1278</v>
      </c>
      <c r="C1290" s="1">
        <f ca="1">IFERROR(__xludf.DUMMYFUNCTION("""COMPUTED_VALUE"""),2023)</f>
        <v>2023</v>
      </c>
      <c r="D1290" s="1">
        <f ca="1">IFERROR(__xludf.DUMMYFUNCTION("""COMPUTED_VALUE"""),12122)</f>
        <v>12122</v>
      </c>
      <c r="E1290" s="1" t="str">
        <f ca="1">IFERROR(__xludf.DUMMYFUNCTION("""COMPUTED_VALUE"""),"Journal of Labor Research")</f>
        <v>Journal of Labor Research</v>
      </c>
      <c r="F1290" s="1" t="str">
        <f ca="1">IFERROR(__xludf.DUMMYFUNCTION("""COMPUTED_VALUE"""),"1936-4768")</f>
        <v>1936-4768</v>
      </c>
      <c r="G1290" s="1" t="str">
        <f ca="1">IFERROR(__xludf.DUMMYFUNCTION("""COMPUTED_VALUE"""),"0195-3613")</f>
        <v>0195-3613</v>
      </c>
      <c r="H1290" s="27" t="str">
        <f ca="1">IFERROR(__xludf.DUMMYFUNCTION("""COMPUTED_VALUE"""),"https://link.springer.com/journal/12122")</f>
        <v>https://link.springer.com/journal/12122</v>
      </c>
      <c r="I1290" s="1" t="str">
        <f ca="1">IFERROR(__xludf.DUMMYFUNCTION("""COMPUTED_VALUE"""),"Springer")</f>
        <v>Springer</v>
      </c>
      <c r="J1290" s="1">
        <f ca="1">IFERROR(__xludf.DUMMYFUNCTION("""COMPUTED_VALUE"""),2000)</f>
        <v>2000</v>
      </c>
      <c r="K1290" s="1" t="str">
        <f ca="1">IFERROR(__xludf.DUMMYFUNCTION("""COMPUTED_VALUE"""),"Social Sciences")</f>
        <v>Social Sciences</v>
      </c>
      <c r="L1290" s="1" t="str">
        <f ca="1">IFERROR(__xludf.DUMMYFUNCTION("""COMPUTED_VALUE"""),"〇")</f>
        <v>〇</v>
      </c>
      <c r="M1290" s="1" t="str">
        <f ca="1">IFERROR(__xludf.DUMMYFUNCTION("""COMPUTED_VALUE"""),"〇")</f>
        <v>〇</v>
      </c>
      <c r="N1290" s="1" t="str">
        <f ca="1">IFERROR(__xludf.DUMMYFUNCTION("""COMPUTED_VALUE"""),"TO7")</f>
        <v>TO7</v>
      </c>
      <c r="O1290" s="1"/>
      <c r="P1290" s="1"/>
    </row>
    <row r="1291" spans="1:16" ht="14.25" customHeight="1" x14ac:dyDescent="0.25">
      <c r="A1291" s="1"/>
      <c r="B1291" s="1">
        <f ca="1"/>
        <v>1279</v>
      </c>
      <c r="C1291" s="1">
        <f ca="1">IFERROR(__xludf.DUMMYFUNCTION("""COMPUTED_VALUE"""),2023)</f>
        <v>2023</v>
      </c>
      <c r="D1291" s="1">
        <f ca="1">IFERROR(__xludf.DUMMYFUNCTION("""COMPUTED_VALUE"""),10849)</f>
        <v>10849</v>
      </c>
      <c r="E1291" s="1" t="str">
        <f ca="1">IFERROR(__xludf.DUMMYFUNCTION("""COMPUTED_VALUE"""),"Journal of Logic, Language and Information")</f>
        <v>Journal of Logic, Language and Information</v>
      </c>
      <c r="F1291" s="1" t="str">
        <f ca="1">IFERROR(__xludf.DUMMYFUNCTION("""COMPUTED_VALUE"""),"1572-9583")</f>
        <v>1572-9583</v>
      </c>
      <c r="G1291" s="1" t="str">
        <f ca="1">IFERROR(__xludf.DUMMYFUNCTION("""COMPUTED_VALUE"""),"0925-8531")</f>
        <v>0925-8531</v>
      </c>
      <c r="H1291" s="27" t="str">
        <f ca="1">IFERROR(__xludf.DUMMYFUNCTION("""COMPUTED_VALUE"""),"https://link.springer.com/journal/10849")</f>
        <v>https://link.springer.com/journal/10849</v>
      </c>
      <c r="I1291" s="1" t="str">
        <f ca="1">IFERROR(__xludf.DUMMYFUNCTION("""COMPUTED_VALUE"""),"Springer")</f>
        <v>Springer</v>
      </c>
      <c r="J1291" s="1">
        <f ca="1">IFERROR(__xludf.DUMMYFUNCTION("""COMPUTED_VALUE"""),2000)</f>
        <v>2000</v>
      </c>
      <c r="K1291" s="1" t="str">
        <f ca="1">IFERROR(__xludf.DUMMYFUNCTION("""COMPUTED_VALUE"""),"Education")</f>
        <v>Education</v>
      </c>
      <c r="L1291" s="1" t="str">
        <f ca="1">IFERROR(__xludf.DUMMYFUNCTION("""COMPUTED_VALUE"""),"〇")</f>
        <v>〇</v>
      </c>
      <c r="M1291" s="1" t="str">
        <f ca="1">IFERROR(__xludf.DUMMYFUNCTION("""COMPUTED_VALUE"""),"〇")</f>
        <v>〇</v>
      </c>
      <c r="N1291" s="1"/>
      <c r="O1291" s="1"/>
      <c r="P1291" s="1"/>
    </row>
    <row r="1292" spans="1:16" ht="14.25" customHeight="1" x14ac:dyDescent="0.25">
      <c r="A1292" s="1"/>
      <c r="B1292" s="1">
        <f ca="1"/>
        <v>1280</v>
      </c>
      <c r="C1292" s="1">
        <f ca="1">IFERROR(__xludf.DUMMYFUNCTION("""COMPUTED_VALUE"""),2023)</f>
        <v>2023</v>
      </c>
      <c r="D1292" s="1">
        <f ca="1">IFERROR(__xludf.DUMMYFUNCTION("""COMPUTED_VALUE"""),10909)</f>
        <v>10909</v>
      </c>
      <c r="E1292" s="1" t="str">
        <f ca="1">IFERROR(__xludf.DUMMYFUNCTION("""COMPUTED_VALUE"""),"Journal of Low Temperature Physics")</f>
        <v>Journal of Low Temperature Physics</v>
      </c>
      <c r="F1292" s="1" t="str">
        <f ca="1">IFERROR(__xludf.DUMMYFUNCTION("""COMPUTED_VALUE"""),"1573-7357")</f>
        <v>1573-7357</v>
      </c>
      <c r="G1292" s="1" t="str">
        <f ca="1">IFERROR(__xludf.DUMMYFUNCTION("""COMPUTED_VALUE"""),"0022-2291")</f>
        <v>0022-2291</v>
      </c>
      <c r="H1292" s="27" t="str">
        <f ca="1">IFERROR(__xludf.DUMMYFUNCTION("""COMPUTED_VALUE"""),"https://link.springer.com/journal/10909")</f>
        <v>https://link.springer.com/journal/10909</v>
      </c>
      <c r="I1292" s="1" t="str">
        <f ca="1">IFERROR(__xludf.DUMMYFUNCTION("""COMPUTED_VALUE"""),"Springer")</f>
        <v>Springer</v>
      </c>
      <c r="J1292" s="1">
        <f ca="1">IFERROR(__xludf.DUMMYFUNCTION("""COMPUTED_VALUE"""),2000)</f>
        <v>2000</v>
      </c>
      <c r="K1292" s="1" t="str">
        <f ca="1">IFERROR(__xludf.DUMMYFUNCTION("""COMPUTED_VALUE"""),"Physics and Astronomy")</f>
        <v>Physics and Astronomy</v>
      </c>
      <c r="L1292" s="1" t="str">
        <f ca="1">IFERROR(__xludf.DUMMYFUNCTION("""COMPUTED_VALUE"""),"〇")</f>
        <v>〇</v>
      </c>
      <c r="M1292" s="1" t="str">
        <f ca="1">IFERROR(__xludf.DUMMYFUNCTION("""COMPUTED_VALUE"""),"〇")</f>
        <v>〇</v>
      </c>
      <c r="N1292" s="1"/>
      <c r="O1292" s="1"/>
      <c r="P1292" s="1"/>
    </row>
    <row r="1293" spans="1:16" ht="14.25" customHeight="1" x14ac:dyDescent="0.25">
      <c r="A1293" s="1"/>
      <c r="B1293" s="1">
        <f ca="1"/>
        <v>1281</v>
      </c>
      <c r="C1293" s="1">
        <f ca="1">IFERROR(__xludf.DUMMYFUNCTION("""COMPUTED_VALUE"""),2023)</f>
        <v>2023</v>
      </c>
      <c r="D1293" s="1">
        <f ca="1">IFERROR(__xludf.DUMMYFUNCTION("""COMPUTED_VALUE"""),12001)</f>
        <v>12001</v>
      </c>
      <c r="E1293" s="1" t="str">
        <f ca="1">IFERROR(__xludf.DUMMYFUNCTION("""COMPUTED_VALUE"""),"Journal of Machinery Manufacture and Reliability")</f>
        <v>Journal of Machinery Manufacture and Reliability</v>
      </c>
      <c r="F1293" s="1" t="str">
        <f ca="1">IFERROR(__xludf.DUMMYFUNCTION("""COMPUTED_VALUE"""),"1934-9394")</f>
        <v>1934-9394</v>
      </c>
      <c r="G1293" s="1" t="str">
        <f ca="1">IFERROR(__xludf.DUMMYFUNCTION("""COMPUTED_VALUE"""),"1052-6188")</f>
        <v>1052-6188</v>
      </c>
      <c r="H1293" s="27" t="str">
        <f ca="1">IFERROR(__xludf.DUMMYFUNCTION("""COMPUTED_VALUE"""),"https://link.springer.com/journal/12001")</f>
        <v>https://link.springer.com/journal/12001</v>
      </c>
      <c r="I1293" s="1" t="str">
        <f ca="1">IFERROR(__xludf.DUMMYFUNCTION("""COMPUTED_VALUE"""),"Pleiades Publishing")</f>
        <v>Pleiades Publishing</v>
      </c>
      <c r="J1293" s="1">
        <f ca="1">IFERROR(__xludf.DUMMYFUNCTION("""COMPUTED_VALUE"""),2007)</f>
        <v>2007</v>
      </c>
      <c r="K1293" s="1" t="str">
        <f ca="1">IFERROR(__xludf.DUMMYFUNCTION("""COMPUTED_VALUE"""),"Engineering")</f>
        <v>Engineering</v>
      </c>
      <c r="L1293" s="1" t="str">
        <f ca="1">IFERROR(__xludf.DUMMYFUNCTION("""COMPUTED_VALUE"""),"〇")</f>
        <v>〇</v>
      </c>
      <c r="M1293" s="1" t="str">
        <f ca="1">IFERROR(__xludf.DUMMYFUNCTION("""COMPUTED_VALUE"""),"〇")</f>
        <v>〇</v>
      </c>
      <c r="N1293" s="1" t="str">
        <f ca="1">IFERROR(__xludf.DUMMYFUNCTION("""COMPUTED_VALUE"""),"TO7")</f>
        <v>TO7</v>
      </c>
      <c r="O1293" s="1"/>
      <c r="P1293" s="1"/>
    </row>
    <row r="1294" spans="1:16" ht="14.25" customHeight="1" x14ac:dyDescent="0.25">
      <c r="A1294" s="1"/>
      <c r="B1294" s="1">
        <f ca="1"/>
        <v>1282</v>
      </c>
      <c r="C1294" s="1">
        <f ca="1">IFERROR(__xludf.DUMMYFUNCTION("""COMPUTED_VALUE"""),2023)</f>
        <v>2023</v>
      </c>
      <c r="D1294" s="1">
        <f ca="1">IFERROR(__xludf.DUMMYFUNCTION("""COMPUTED_VALUE"""),10914)</f>
        <v>10914</v>
      </c>
      <c r="E1294" s="1" t="str">
        <f ca="1">IFERROR(__xludf.DUMMYFUNCTION("""COMPUTED_VALUE"""),"Journal of Mammalian Evolution")</f>
        <v>Journal of Mammalian Evolution</v>
      </c>
      <c r="F1294" s="1" t="str">
        <f ca="1">IFERROR(__xludf.DUMMYFUNCTION("""COMPUTED_VALUE"""),"1573-7055")</f>
        <v>1573-7055</v>
      </c>
      <c r="G1294" s="1" t="str">
        <f ca="1">IFERROR(__xludf.DUMMYFUNCTION("""COMPUTED_VALUE"""),"1064-7554")</f>
        <v>1064-7554</v>
      </c>
      <c r="H1294" s="27" t="str">
        <f ca="1">IFERROR(__xludf.DUMMYFUNCTION("""COMPUTED_VALUE"""),"https://link.springer.com/journal/10914")</f>
        <v>https://link.springer.com/journal/10914</v>
      </c>
      <c r="I1294" s="1" t="str">
        <f ca="1">IFERROR(__xludf.DUMMYFUNCTION("""COMPUTED_VALUE"""),"Springer")</f>
        <v>Springer</v>
      </c>
      <c r="J1294" s="1">
        <f ca="1">IFERROR(__xludf.DUMMYFUNCTION("""COMPUTED_VALUE"""),2000)</f>
        <v>2000</v>
      </c>
      <c r="K1294" s="1" t="str">
        <f ca="1">IFERROR(__xludf.DUMMYFUNCTION("""COMPUTED_VALUE"""),"Biomedical and Life Sciences")</f>
        <v>Biomedical and Life Sciences</v>
      </c>
      <c r="L1294" s="1" t="str">
        <f ca="1">IFERROR(__xludf.DUMMYFUNCTION("""COMPUTED_VALUE"""),"〇")</f>
        <v>〇</v>
      </c>
      <c r="M1294" s="1" t="str">
        <f ca="1">IFERROR(__xludf.DUMMYFUNCTION("""COMPUTED_VALUE"""),"〇")</f>
        <v>〇</v>
      </c>
      <c r="N1294" s="1"/>
      <c r="O1294" s="1"/>
      <c r="P1294" s="1"/>
    </row>
    <row r="1295" spans="1:16" ht="14.25" customHeight="1" x14ac:dyDescent="0.25">
      <c r="A1295" s="1"/>
      <c r="B1295" s="1">
        <f ca="1"/>
        <v>1283</v>
      </c>
      <c r="C1295" s="1">
        <f ca="1">IFERROR(__xludf.DUMMYFUNCTION("""COMPUTED_VALUE"""),2023)</f>
        <v>2023</v>
      </c>
      <c r="D1295" s="1">
        <f ca="1">IFERROR(__xludf.DUMMYFUNCTION("""COMPUTED_VALUE"""),10997)</f>
        <v>10997</v>
      </c>
      <c r="E1295" s="1" t="str">
        <f ca="1">IFERROR(__xludf.DUMMYFUNCTION("""COMPUTED_VALUE"""),"Journal of Management and Governance")</f>
        <v>Journal of Management and Governance</v>
      </c>
      <c r="F1295" s="1" t="str">
        <f ca="1">IFERROR(__xludf.DUMMYFUNCTION("""COMPUTED_VALUE"""),"1572-963X")</f>
        <v>1572-963X</v>
      </c>
      <c r="G1295" s="1" t="str">
        <f ca="1">IFERROR(__xludf.DUMMYFUNCTION("""COMPUTED_VALUE"""),"1385-3457")</f>
        <v>1385-3457</v>
      </c>
      <c r="H1295" s="27" t="str">
        <f ca="1">IFERROR(__xludf.DUMMYFUNCTION("""COMPUTED_VALUE"""),"https://link.springer.com/journal/10997")</f>
        <v>https://link.springer.com/journal/10997</v>
      </c>
      <c r="I1295" s="1" t="str">
        <f ca="1">IFERROR(__xludf.DUMMYFUNCTION("""COMPUTED_VALUE"""),"Springer")</f>
        <v>Springer</v>
      </c>
      <c r="J1295" s="1">
        <f ca="1">IFERROR(__xludf.DUMMYFUNCTION("""COMPUTED_VALUE"""),2000)</f>
        <v>2000</v>
      </c>
      <c r="K1295" s="1" t="str">
        <f ca="1">IFERROR(__xludf.DUMMYFUNCTION("""COMPUTED_VALUE"""),"Business and Management")</f>
        <v>Business and Management</v>
      </c>
      <c r="L1295" s="1" t="str">
        <f ca="1">IFERROR(__xludf.DUMMYFUNCTION("""COMPUTED_VALUE"""),"〇")</f>
        <v>〇</v>
      </c>
      <c r="M1295" s="1" t="str">
        <f ca="1">IFERROR(__xludf.DUMMYFUNCTION("""COMPUTED_VALUE"""),"〇")</f>
        <v>〇</v>
      </c>
      <c r="N1295" s="1"/>
      <c r="O1295" s="1"/>
      <c r="P1295" s="1"/>
    </row>
    <row r="1296" spans="1:16" ht="14.25" customHeight="1" x14ac:dyDescent="0.25">
      <c r="A1296" s="1"/>
      <c r="B1296" s="1">
        <f ca="1"/>
        <v>1284</v>
      </c>
      <c r="C1296" s="1">
        <f ca="1">IFERROR(__xludf.DUMMYFUNCTION("""COMPUTED_VALUE"""),2023)</f>
        <v>2023</v>
      </c>
      <c r="D1296" s="1">
        <f ca="1">IFERROR(__xludf.DUMMYFUNCTION("""COMPUTED_VALUE"""),187)</f>
        <v>187</v>
      </c>
      <c r="E1296" s="1" t="str">
        <f ca="1">IFERROR(__xludf.DUMMYFUNCTION("""COMPUTED_VALUE"""),"Journal of Management Control")</f>
        <v>Journal of Management Control</v>
      </c>
      <c r="F1296" s="1" t="str">
        <f ca="1">IFERROR(__xludf.DUMMYFUNCTION("""COMPUTED_VALUE"""),"2191-477X")</f>
        <v>2191-477X</v>
      </c>
      <c r="G1296" s="1" t="str">
        <f ca="1">IFERROR(__xludf.DUMMYFUNCTION("""COMPUTED_VALUE"""),"2191-4761")</f>
        <v>2191-4761</v>
      </c>
      <c r="H1296" s="27" t="str">
        <f ca="1">IFERROR(__xludf.DUMMYFUNCTION("""COMPUTED_VALUE"""),"https://link.springer.com/journal/187")</f>
        <v>https://link.springer.com/journal/187</v>
      </c>
      <c r="I1296" s="1" t="str">
        <f ca="1">IFERROR(__xludf.DUMMYFUNCTION("""COMPUTED_VALUE"""),"Springer")</f>
        <v>Springer</v>
      </c>
      <c r="J1296" s="1">
        <f ca="1">IFERROR(__xludf.DUMMYFUNCTION("""COMPUTED_VALUE"""),2003)</f>
        <v>2003</v>
      </c>
      <c r="K1296" s="1" t="str">
        <f ca="1">IFERROR(__xludf.DUMMYFUNCTION("""COMPUTED_VALUE"""),"Business and Management")</f>
        <v>Business and Management</v>
      </c>
      <c r="L1296" s="1" t="str">
        <f ca="1">IFERROR(__xludf.DUMMYFUNCTION("""COMPUTED_VALUE"""),"〇")</f>
        <v>〇</v>
      </c>
      <c r="M1296" s="1" t="str">
        <f ca="1">IFERROR(__xludf.DUMMYFUNCTION("""COMPUTED_VALUE"""),"〇")</f>
        <v>〇</v>
      </c>
      <c r="N1296" s="1"/>
      <c r="O1296" s="1"/>
      <c r="P1296" s="1"/>
    </row>
    <row r="1297" spans="1:16" ht="14.25" customHeight="1" x14ac:dyDescent="0.25">
      <c r="A1297" s="1"/>
      <c r="B1297" s="1">
        <f ca="1"/>
        <v>1285</v>
      </c>
      <c r="C1297" s="1">
        <f ca="1">IFERROR(__xludf.DUMMYFUNCTION("""COMPUTED_VALUE"""),2023)</f>
        <v>2023</v>
      </c>
      <c r="D1297" s="1">
        <f ca="1">IFERROR(__xludf.DUMMYFUNCTION("""COMPUTED_VALUE"""),11804)</f>
        <v>11804</v>
      </c>
      <c r="E1297" s="1" t="str">
        <f ca="1">IFERROR(__xludf.DUMMYFUNCTION("""COMPUTED_VALUE"""),"Journal of Marine Science and Application")</f>
        <v>Journal of Marine Science and Application</v>
      </c>
      <c r="F1297" s="1" t="str">
        <f ca="1">IFERROR(__xludf.DUMMYFUNCTION("""COMPUTED_VALUE"""),"1993-5048")</f>
        <v>1993-5048</v>
      </c>
      <c r="G1297" s="1" t="str">
        <f ca="1">IFERROR(__xludf.DUMMYFUNCTION("""COMPUTED_VALUE"""),"1671-9433")</f>
        <v>1671-9433</v>
      </c>
      <c r="H1297" s="27" t="str">
        <f ca="1">IFERROR(__xludf.DUMMYFUNCTION("""COMPUTED_VALUE"""),"https://link.springer.com/journal/11804")</f>
        <v>https://link.springer.com/journal/11804</v>
      </c>
      <c r="I1297" s="1" t="str">
        <f ca="1">IFERROR(__xludf.DUMMYFUNCTION("""COMPUTED_VALUE"""),"Harbin Engineering University, co-published with Springer")</f>
        <v>Harbin Engineering University, co-published with Springer</v>
      </c>
      <c r="J1297" s="1">
        <f ca="1">IFERROR(__xludf.DUMMYFUNCTION("""COMPUTED_VALUE"""),2002)</f>
        <v>2002</v>
      </c>
      <c r="K1297" s="1" t="str">
        <f ca="1">IFERROR(__xludf.DUMMYFUNCTION("""COMPUTED_VALUE"""),"Engineering")</f>
        <v>Engineering</v>
      </c>
      <c r="L1297" s="1" t="str">
        <f ca="1">IFERROR(__xludf.DUMMYFUNCTION("""COMPUTED_VALUE"""),"〇")</f>
        <v>〇</v>
      </c>
      <c r="M1297" s="1" t="str">
        <f ca="1">IFERROR(__xludf.DUMMYFUNCTION("""COMPUTED_VALUE"""),"〇")</f>
        <v>〇</v>
      </c>
      <c r="N1297" s="1" t="str">
        <f ca="1">IFERROR(__xludf.DUMMYFUNCTION("""COMPUTED_VALUE"""),"TO7")</f>
        <v>TO7</v>
      </c>
      <c r="O1297" s="1"/>
      <c r="P1297" s="1"/>
    </row>
    <row r="1298" spans="1:16" ht="14.25" customHeight="1" x14ac:dyDescent="0.25">
      <c r="A1298" s="1"/>
      <c r="B1298" s="1">
        <f ca="1"/>
        <v>1286</v>
      </c>
      <c r="C1298" s="1">
        <f ca="1">IFERROR(__xludf.DUMMYFUNCTION("""COMPUTED_VALUE"""),2023)</f>
        <v>2023</v>
      </c>
      <c r="D1298" s="1">
        <f ca="1">IFERROR(__xludf.DUMMYFUNCTION("""COMPUTED_VALUE"""),773)</f>
        <v>773</v>
      </c>
      <c r="E1298" s="1" t="str">
        <f ca="1">IFERROR(__xludf.DUMMYFUNCTION("""COMPUTED_VALUE"""),"Journal of Marine Science and Technology")</f>
        <v>Journal of Marine Science and Technology</v>
      </c>
      <c r="F1298" s="1" t="str">
        <f ca="1">IFERROR(__xludf.DUMMYFUNCTION("""COMPUTED_VALUE"""),"1437-8213")</f>
        <v>1437-8213</v>
      </c>
      <c r="G1298" s="1" t="str">
        <f ca="1">IFERROR(__xludf.DUMMYFUNCTION("""COMPUTED_VALUE"""),"0948-4280")</f>
        <v>0948-4280</v>
      </c>
      <c r="H1298" s="27" t="str">
        <f ca="1">IFERROR(__xludf.DUMMYFUNCTION("""COMPUTED_VALUE"""),"https://link.springer.com/journal/773")</f>
        <v>https://link.springer.com/journal/773</v>
      </c>
      <c r="I1298" s="1" t="str">
        <f ca="1">IFERROR(__xludf.DUMMYFUNCTION("""COMPUTED_VALUE"""),"Springer")</f>
        <v>Springer</v>
      </c>
      <c r="J1298" s="1">
        <f ca="1">IFERROR(__xludf.DUMMYFUNCTION("""COMPUTED_VALUE"""),2000)</f>
        <v>2000</v>
      </c>
      <c r="K1298" s="1" t="str">
        <f ca="1">IFERROR(__xludf.DUMMYFUNCTION("""COMPUTED_VALUE"""),"Engineering")</f>
        <v>Engineering</v>
      </c>
      <c r="L1298" s="1" t="str">
        <f ca="1">IFERROR(__xludf.DUMMYFUNCTION("""COMPUTED_VALUE"""),"〇")</f>
        <v>〇</v>
      </c>
      <c r="M1298" s="1" t="str">
        <f ca="1">IFERROR(__xludf.DUMMYFUNCTION("""COMPUTED_VALUE"""),"〇")</f>
        <v>〇</v>
      </c>
      <c r="N1298" s="1"/>
      <c r="O1298" s="1"/>
      <c r="P1298" s="1"/>
    </row>
    <row r="1299" spans="1:16" ht="14.25" customHeight="1" x14ac:dyDescent="0.25">
      <c r="A1299" s="1"/>
      <c r="B1299" s="1">
        <f ca="1"/>
        <v>1287</v>
      </c>
      <c r="C1299" s="1">
        <f ca="1">IFERROR(__xludf.DUMMYFUNCTION("""COMPUTED_VALUE"""),2023)</f>
        <v>2023</v>
      </c>
      <c r="D1299" s="1">
        <f ca="1">IFERROR(__xludf.DUMMYFUNCTION("""COMPUTED_VALUE"""),11457)</f>
        <v>11457</v>
      </c>
      <c r="E1299" s="1" t="str">
        <f ca="1">IFERROR(__xludf.DUMMYFUNCTION("""COMPUTED_VALUE"""),"Journal of Maritime Archaeology")</f>
        <v>Journal of Maritime Archaeology</v>
      </c>
      <c r="F1299" s="1" t="str">
        <f ca="1">IFERROR(__xludf.DUMMYFUNCTION("""COMPUTED_VALUE"""),"1557-2293")</f>
        <v>1557-2293</v>
      </c>
      <c r="G1299" s="1" t="str">
        <f ca="1">IFERROR(__xludf.DUMMYFUNCTION("""COMPUTED_VALUE"""),"1557-2285")</f>
        <v>1557-2285</v>
      </c>
      <c r="H1299" s="27" t="str">
        <f ca="1">IFERROR(__xludf.DUMMYFUNCTION("""COMPUTED_VALUE"""),"https://link.springer.com/journal/11457")</f>
        <v>https://link.springer.com/journal/11457</v>
      </c>
      <c r="I1299" s="1" t="str">
        <f ca="1">IFERROR(__xludf.DUMMYFUNCTION("""COMPUTED_VALUE"""),"Springer")</f>
        <v>Springer</v>
      </c>
      <c r="J1299" s="1">
        <f ca="1">IFERROR(__xludf.DUMMYFUNCTION("""COMPUTED_VALUE"""),2006)</f>
        <v>2006</v>
      </c>
      <c r="K1299" s="1" t="str">
        <f ca="1">IFERROR(__xludf.DUMMYFUNCTION("""COMPUTED_VALUE"""),"Social Sciences")</f>
        <v>Social Sciences</v>
      </c>
      <c r="L1299" s="1" t="str">
        <f ca="1">IFERROR(__xludf.DUMMYFUNCTION("""COMPUTED_VALUE"""),"〇")</f>
        <v>〇</v>
      </c>
      <c r="M1299" s="1" t="str">
        <f ca="1">IFERROR(__xludf.DUMMYFUNCTION("""COMPUTED_VALUE"""),"〇")</f>
        <v>〇</v>
      </c>
      <c r="N1299" s="1"/>
      <c r="O1299" s="1"/>
      <c r="P1299" s="1"/>
    </row>
    <row r="1300" spans="1:16" ht="14.25" customHeight="1" x14ac:dyDescent="0.25">
      <c r="A1300" s="1"/>
      <c r="B1300" s="1">
        <f ca="1"/>
        <v>1288</v>
      </c>
      <c r="C1300" s="1">
        <f ca="1">IFERROR(__xludf.DUMMYFUNCTION("""COMPUTED_VALUE"""),2023)</f>
        <v>2023</v>
      </c>
      <c r="D1300" s="1">
        <f ca="1">IFERROR(__xludf.DUMMYFUNCTION("""COMPUTED_VALUE"""),10163)</f>
        <v>10163</v>
      </c>
      <c r="E1300" s="1" t="str">
        <f ca="1">IFERROR(__xludf.DUMMYFUNCTION("""COMPUTED_VALUE"""),"Journal of Material Cycles and Waste Management")</f>
        <v>Journal of Material Cycles and Waste Management</v>
      </c>
      <c r="F1300" s="1" t="str">
        <f ca="1">IFERROR(__xludf.DUMMYFUNCTION("""COMPUTED_VALUE"""),"1611-8227")</f>
        <v>1611-8227</v>
      </c>
      <c r="G1300" s="1"/>
      <c r="H1300" s="27" t="str">
        <f ca="1">IFERROR(__xludf.DUMMYFUNCTION("""COMPUTED_VALUE"""),"https://link.springer.com/journal/10163")</f>
        <v>https://link.springer.com/journal/10163</v>
      </c>
      <c r="I1300" s="1" t="str">
        <f ca="1">IFERROR(__xludf.DUMMYFUNCTION("""COMPUTED_VALUE"""),"Springer")</f>
        <v>Springer</v>
      </c>
      <c r="J1300" s="1">
        <f ca="1">IFERROR(__xludf.DUMMYFUNCTION("""COMPUTED_VALUE"""),2000)</f>
        <v>2000</v>
      </c>
      <c r="K1300" s="1" t="str">
        <f ca="1">IFERROR(__xludf.DUMMYFUNCTION("""COMPUTED_VALUE"""),"Engineering")</f>
        <v>Engineering</v>
      </c>
      <c r="L1300" s="1"/>
      <c r="M1300" s="1" t="str">
        <f ca="1">IFERROR(__xludf.DUMMYFUNCTION("""COMPUTED_VALUE"""),"〇")</f>
        <v>〇</v>
      </c>
      <c r="N1300" s="1"/>
      <c r="O1300" s="1"/>
      <c r="P1300" s="1"/>
    </row>
    <row r="1301" spans="1:16" ht="14.25" customHeight="1" x14ac:dyDescent="0.25">
      <c r="A1301" s="1"/>
      <c r="B1301" s="1">
        <f ca="1"/>
        <v>1289</v>
      </c>
      <c r="C1301" s="1">
        <f ca="1">IFERROR(__xludf.DUMMYFUNCTION("""COMPUTED_VALUE"""),2023)</f>
        <v>2023</v>
      </c>
      <c r="D1301" s="1">
        <f ca="1">IFERROR(__xludf.DUMMYFUNCTION("""COMPUTED_VALUE"""),11665)</f>
        <v>11665</v>
      </c>
      <c r="E1301" s="1" t="str">
        <f ca="1">IFERROR(__xludf.DUMMYFUNCTION("""COMPUTED_VALUE"""),"Journal of Materials Engineering and Performance")</f>
        <v>Journal of Materials Engineering and Performance</v>
      </c>
      <c r="F1301" s="1" t="str">
        <f ca="1">IFERROR(__xludf.DUMMYFUNCTION("""COMPUTED_VALUE"""),"1544-1024")</f>
        <v>1544-1024</v>
      </c>
      <c r="G1301" s="1" t="str">
        <f ca="1">IFERROR(__xludf.DUMMYFUNCTION("""COMPUTED_VALUE"""),"1059-9495")</f>
        <v>1059-9495</v>
      </c>
      <c r="H1301" s="27" t="str">
        <f ca="1">IFERROR(__xludf.DUMMYFUNCTION("""COMPUTED_VALUE"""),"https://link.springer.com/journal/11665")</f>
        <v>https://link.springer.com/journal/11665</v>
      </c>
      <c r="I1301" s="1" t="str">
        <f ca="1">IFERROR(__xludf.DUMMYFUNCTION("""COMPUTED_VALUE"""),"Springer")</f>
        <v>Springer</v>
      </c>
      <c r="J1301" s="1">
        <f ca="1">IFERROR(__xludf.DUMMYFUNCTION("""COMPUTED_VALUE"""),2000)</f>
        <v>2000</v>
      </c>
      <c r="K1301" s="1" t="str">
        <f ca="1">IFERROR(__xludf.DUMMYFUNCTION("""COMPUTED_VALUE"""),"Chemistry and Materials Science")</f>
        <v>Chemistry and Materials Science</v>
      </c>
      <c r="L1301" s="1" t="str">
        <f ca="1">IFERROR(__xludf.DUMMYFUNCTION("""COMPUTED_VALUE"""),"〇")</f>
        <v>〇</v>
      </c>
      <c r="M1301" s="1" t="str">
        <f ca="1">IFERROR(__xludf.DUMMYFUNCTION("""COMPUTED_VALUE"""),"〇")</f>
        <v>〇</v>
      </c>
      <c r="N1301" s="1" t="str">
        <f ca="1">IFERROR(__xludf.DUMMYFUNCTION("""COMPUTED_VALUE"""),"TO7")</f>
        <v>TO7</v>
      </c>
      <c r="O1301" s="1"/>
      <c r="P1301" s="1"/>
    </row>
    <row r="1302" spans="1:16" ht="14.25" customHeight="1" x14ac:dyDescent="0.25">
      <c r="A1302" s="1"/>
      <c r="B1302" s="1">
        <f ca="1"/>
        <v>1290</v>
      </c>
      <c r="C1302" s="1">
        <f ca="1">IFERROR(__xludf.DUMMYFUNCTION("""COMPUTED_VALUE"""),2023)</f>
        <v>2023</v>
      </c>
      <c r="D1302" s="1">
        <f ca="1">IFERROR(__xludf.DUMMYFUNCTION("""COMPUTED_VALUE"""),10853)</f>
        <v>10853</v>
      </c>
      <c r="E1302" s="1" t="str">
        <f ca="1">IFERROR(__xludf.DUMMYFUNCTION("""COMPUTED_VALUE"""),"Journal of Materials Science")</f>
        <v>Journal of Materials Science</v>
      </c>
      <c r="F1302" s="1" t="str">
        <f ca="1">IFERROR(__xludf.DUMMYFUNCTION("""COMPUTED_VALUE"""),"1573-4803")</f>
        <v>1573-4803</v>
      </c>
      <c r="G1302" s="1" t="str">
        <f ca="1">IFERROR(__xludf.DUMMYFUNCTION("""COMPUTED_VALUE"""),"0022-2461")</f>
        <v>0022-2461</v>
      </c>
      <c r="H1302" s="27" t="str">
        <f ca="1">IFERROR(__xludf.DUMMYFUNCTION("""COMPUTED_VALUE"""),"https://link.springer.com/journal/10853")</f>
        <v>https://link.springer.com/journal/10853</v>
      </c>
      <c r="I1302" s="1" t="str">
        <f ca="1">IFERROR(__xludf.DUMMYFUNCTION("""COMPUTED_VALUE"""),"Springer")</f>
        <v>Springer</v>
      </c>
      <c r="J1302" s="1">
        <f ca="1">IFERROR(__xludf.DUMMYFUNCTION("""COMPUTED_VALUE"""),2000)</f>
        <v>2000</v>
      </c>
      <c r="K1302" s="1" t="str">
        <f ca="1">IFERROR(__xludf.DUMMYFUNCTION("""COMPUTED_VALUE"""),"Chemistry and Materials Science")</f>
        <v>Chemistry and Materials Science</v>
      </c>
      <c r="L1302" s="1" t="str">
        <f ca="1">IFERROR(__xludf.DUMMYFUNCTION("""COMPUTED_VALUE"""),"〇")</f>
        <v>〇</v>
      </c>
      <c r="M1302" s="1" t="str">
        <f ca="1">IFERROR(__xludf.DUMMYFUNCTION("""COMPUTED_VALUE"""),"〇")</f>
        <v>〇</v>
      </c>
      <c r="N1302" s="1"/>
      <c r="O1302" s="1"/>
      <c r="P1302" s="1"/>
    </row>
    <row r="1303" spans="1:16" ht="14.25" customHeight="1" x14ac:dyDescent="0.25">
      <c r="A1303" s="1"/>
      <c r="B1303" s="1">
        <f ca="1"/>
        <v>1291</v>
      </c>
      <c r="C1303" s="1">
        <f ca="1">IFERROR(__xludf.DUMMYFUNCTION("""COMPUTED_VALUE"""),2023)</f>
        <v>2023</v>
      </c>
      <c r="D1303" s="1">
        <f ca="1">IFERROR(__xludf.DUMMYFUNCTION("""COMPUTED_VALUE"""),10854)</f>
        <v>10854</v>
      </c>
      <c r="E1303" s="1" t="str">
        <f ca="1">IFERROR(__xludf.DUMMYFUNCTION("""COMPUTED_VALUE"""),"Journal of Materials Science: Materials in Electronics")</f>
        <v>Journal of Materials Science: Materials in Electronics</v>
      </c>
      <c r="F1303" s="1" t="str">
        <f ca="1">IFERROR(__xludf.DUMMYFUNCTION("""COMPUTED_VALUE"""),"1573-482X")</f>
        <v>1573-482X</v>
      </c>
      <c r="G1303" s="1" t="str">
        <f ca="1">IFERROR(__xludf.DUMMYFUNCTION("""COMPUTED_VALUE"""),"0957-4522")</f>
        <v>0957-4522</v>
      </c>
      <c r="H1303" s="27" t="str">
        <f ca="1">IFERROR(__xludf.DUMMYFUNCTION("""COMPUTED_VALUE"""),"https://link.springer.com/journal/10854")</f>
        <v>https://link.springer.com/journal/10854</v>
      </c>
      <c r="I1303" s="1" t="str">
        <f ca="1">IFERROR(__xludf.DUMMYFUNCTION("""COMPUTED_VALUE"""),"Springer")</f>
        <v>Springer</v>
      </c>
      <c r="J1303" s="1">
        <f ca="1">IFERROR(__xludf.DUMMYFUNCTION("""COMPUTED_VALUE"""),2000)</f>
        <v>2000</v>
      </c>
      <c r="K1303" s="1" t="str">
        <f ca="1">IFERROR(__xludf.DUMMYFUNCTION("""COMPUTED_VALUE"""),"Chemistry and Materials Science")</f>
        <v>Chemistry and Materials Science</v>
      </c>
      <c r="L1303" s="1" t="str">
        <f ca="1">IFERROR(__xludf.DUMMYFUNCTION("""COMPUTED_VALUE"""),"〇")</f>
        <v>〇</v>
      </c>
      <c r="M1303" s="1" t="str">
        <f ca="1">IFERROR(__xludf.DUMMYFUNCTION("""COMPUTED_VALUE"""),"〇")</f>
        <v>〇</v>
      </c>
      <c r="N1303" s="1"/>
      <c r="O1303" s="1"/>
      <c r="P1303" s="1"/>
    </row>
    <row r="1304" spans="1:16" ht="14.25" customHeight="1" x14ac:dyDescent="0.25">
      <c r="A1304" s="1"/>
      <c r="B1304" s="1">
        <f ca="1"/>
        <v>1292</v>
      </c>
      <c r="C1304" s="1">
        <f ca="1">IFERROR(__xludf.DUMMYFUNCTION("""COMPUTED_VALUE"""),2023)</f>
        <v>2023</v>
      </c>
      <c r="D1304" s="1">
        <f ca="1">IFERROR(__xludf.DUMMYFUNCTION("""COMPUTED_VALUE"""),285)</f>
        <v>285</v>
      </c>
      <c r="E1304" s="1" t="str">
        <f ca="1">IFERROR(__xludf.DUMMYFUNCTION("""COMPUTED_VALUE"""),"Journal of Mathematical Biology")</f>
        <v>Journal of Mathematical Biology</v>
      </c>
      <c r="F1304" s="1" t="str">
        <f ca="1">IFERROR(__xludf.DUMMYFUNCTION("""COMPUTED_VALUE"""),"1432-1416")</f>
        <v>1432-1416</v>
      </c>
      <c r="G1304" s="1" t="str">
        <f ca="1">IFERROR(__xludf.DUMMYFUNCTION("""COMPUTED_VALUE"""),"0303-6812")</f>
        <v>0303-6812</v>
      </c>
      <c r="H1304" s="27" t="str">
        <f ca="1">IFERROR(__xludf.DUMMYFUNCTION("""COMPUTED_VALUE"""),"https://link.springer.com/journal/285")</f>
        <v>https://link.springer.com/journal/285</v>
      </c>
      <c r="I1304" s="1" t="str">
        <f ca="1">IFERROR(__xludf.DUMMYFUNCTION("""COMPUTED_VALUE"""),"Springer")</f>
        <v>Springer</v>
      </c>
      <c r="J1304" s="1">
        <f ca="1">IFERROR(__xludf.DUMMYFUNCTION("""COMPUTED_VALUE"""),2000)</f>
        <v>2000</v>
      </c>
      <c r="K1304" s="1" t="str">
        <f ca="1">IFERROR(__xludf.DUMMYFUNCTION("""COMPUTED_VALUE"""),"Mathematics and Statistics")</f>
        <v>Mathematics and Statistics</v>
      </c>
      <c r="L1304" s="1" t="str">
        <f ca="1">IFERROR(__xludf.DUMMYFUNCTION("""COMPUTED_VALUE"""),"〇")</f>
        <v>〇</v>
      </c>
      <c r="M1304" s="1" t="str">
        <f ca="1">IFERROR(__xludf.DUMMYFUNCTION("""COMPUTED_VALUE"""),"〇")</f>
        <v>〇</v>
      </c>
      <c r="N1304" s="1"/>
      <c r="O1304" s="1"/>
      <c r="P1304" s="1"/>
    </row>
    <row r="1305" spans="1:16" ht="14.25" customHeight="1" x14ac:dyDescent="0.25">
      <c r="A1305" s="1"/>
      <c r="B1305" s="1">
        <f ca="1"/>
        <v>1293</v>
      </c>
      <c r="C1305" s="1">
        <f ca="1">IFERROR(__xludf.DUMMYFUNCTION("""COMPUTED_VALUE"""),2023)</f>
        <v>2023</v>
      </c>
      <c r="D1305" s="1">
        <f ca="1">IFERROR(__xludf.DUMMYFUNCTION("""COMPUTED_VALUE"""),10910)</f>
        <v>10910</v>
      </c>
      <c r="E1305" s="1" t="str">
        <f ca="1">IFERROR(__xludf.DUMMYFUNCTION("""COMPUTED_VALUE"""),"Journal of Mathematical Chemistry")</f>
        <v>Journal of Mathematical Chemistry</v>
      </c>
      <c r="F1305" s="1" t="str">
        <f ca="1">IFERROR(__xludf.DUMMYFUNCTION("""COMPUTED_VALUE"""),"1572-8897")</f>
        <v>1572-8897</v>
      </c>
      <c r="G1305" s="1" t="str">
        <f ca="1">IFERROR(__xludf.DUMMYFUNCTION("""COMPUTED_VALUE"""),"0259-9791")</f>
        <v>0259-9791</v>
      </c>
      <c r="H1305" s="27" t="str">
        <f ca="1">IFERROR(__xludf.DUMMYFUNCTION("""COMPUTED_VALUE"""),"https://link.springer.com/journal/10910")</f>
        <v>https://link.springer.com/journal/10910</v>
      </c>
      <c r="I1305" s="1" t="str">
        <f ca="1">IFERROR(__xludf.DUMMYFUNCTION("""COMPUTED_VALUE"""),"Springer")</f>
        <v>Springer</v>
      </c>
      <c r="J1305" s="1">
        <f ca="1">IFERROR(__xludf.DUMMYFUNCTION("""COMPUTED_VALUE"""),2000)</f>
        <v>2000</v>
      </c>
      <c r="K1305" s="1" t="str">
        <f ca="1">IFERROR(__xludf.DUMMYFUNCTION("""COMPUTED_VALUE"""),"Chemistry and Materials Science")</f>
        <v>Chemistry and Materials Science</v>
      </c>
      <c r="L1305" s="1" t="str">
        <f ca="1">IFERROR(__xludf.DUMMYFUNCTION("""COMPUTED_VALUE"""),"〇")</f>
        <v>〇</v>
      </c>
      <c r="M1305" s="1" t="str">
        <f ca="1">IFERROR(__xludf.DUMMYFUNCTION("""COMPUTED_VALUE"""),"〇")</f>
        <v>〇</v>
      </c>
      <c r="N1305" s="1"/>
      <c r="O1305" s="1"/>
      <c r="P1305" s="1"/>
    </row>
    <row r="1306" spans="1:16" ht="14.25" customHeight="1" x14ac:dyDescent="0.25">
      <c r="A1306" s="1"/>
      <c r="B1306" s="1">
        <f ca="1"/>
        <v>1294</v>
      </c>
      <c r="C1306" s="1">
        <f ca="1">IFERROR(__xludf.DUMMYFUNCTION("""COMPUTED_VALUE"""),2023)</f>
        <v>2023</v>
      </c>
      <c r="D1306" s="1">
        <f ca="1">IFERROR(__xludf.DUMMYFUNCTION("""COMPUTED_VALUE"""),21)</f>
        <v>21</v>
      </c>
      <c r="E1306" s="1" t="str">
        <f ca="1">IFERROR(__xludf.DUMMYFUNCTION("""COMPUTED_VALUE"""),"Journal of Mathematical Fluid Mechanics")</f>
        <v>Journal of Mathematical Fluid Mechanics</v>
      </c>
      <c r="F1306" s="1" t="str">
        <f ca="1">IFERROR(__xludf.DUMMYFUNCTION("""COMPUTED_VALUE"""),"1422-6952")</f>
        <v>1422-6952</v>
      </c>
      <c r="G1306" s="1" t="str">
        <f ca="1">IFERROR(__xludf.DUMMYFUNCTION("""COMPUTED_VALUE"""),"1422-6928")</f>
        <v>1422-6928</v>
      </c>
      <c r="H1306" s="27" t="str">
        <f ca="1">IFERROR(__xludf.DUMMYFUNCTION("""COMPUTED_VALUE"""),"https://link.springer.com/journal/21")</f>
        <v>https://link.springer.com/journal/21</v>
      </c>
      <c r="I1306" s="1" t="str">
        <f ca="1">IFERROR(__xludf.DUMMYFUNCTION("""COMPUTED_VALUE"""),"Birkhäuser")</f>
        <v>Birkhäuser</v>
      </c>
      <c r="J1306" s="1">
        <f ca="1">IFERROR(__xludf.DUMMYFUNCTION("""COMPUTED_VALUE"""),2000)</f>
        <v>2000</v>
      </c>
      <c r="K1306" s="1" t="str">
        <f ca="1">IFERROR(__xludf.DUMMYFUNCTION("""COMPUTED_VALUE"""),"Physics and Astronomy")</f>
        <v>Physics and Astronomy</v>
      </c>
      <c r="L1306" s="1" t="str">
        <f ca="1">IFERROR(__xludf.DUMMYFUNCTION("""COMPUTED_VALUE"""),"〇")</f>
        <v>〇</v>
      </c>
      <c r="M1306" s="1" t="str">
        <f ca="1">IFERROR(__xludf.DUMMYFUNCTION("""COMPUTED_VALUE"""),"〇")</f>
        <v>〇</v>
      </c>
      <c r="N1306" s="1"/>
      <c r="O1306" s="1"/>
      <c r="P1306" s="1"/>
    </row>
    <row r="1307" spans="1:16" ht="14.25" customHeight="1" x14ac:dyDescent="0.25">
      <c r="A1307" s="1"/>
      <c r="B1307" s="1">
        <f ca="1"/>
        <v>1295</v>
      </c>
      <c r="C1307" s="1">
        <f ca="1">IFERROR(__xludf.DUMMYFUNCTION("""COMPUTED_VALUE"""),2023)</f>
        <v>2023</v>
      </c>
      <c r="D1307" s="1">
        <f ca="1">IFERROR(__xludf.DUMMYFUNCTION("""COMPUTED_VALUE"""),10851)</f>
        <v>10851</v>
      </c>
      <c r="E1307" s="1" t="str">
        <f ca="1">IFERROR(__xludf.DUMMYFUNCTION("""COMPUTED_VALUE"""),"Journal of Mathematical Imaging and Vision")</f>
        <v>Journal of Mathematical Imaging and Vision</v>
      </c>
      <c r="F1307" s="1" t="str">
        <f ca="1">IFERROR(__xludf.DUMMYFUNCTION("""COMPUTED_VALUE"""),"1573-7683")</f>
        <v>1573-7683</v>
      </c>
      <c r="G1307" s="1" t="str">
        <f ca="1">IFERROR(__xludf.DUMMYFUNCTION("""COMPUTED_VALUE"""),"0924-9907")</f>
        <v>0924-9907</v>
      </c>
      <c r="H1307" s="27" t="str">
        <f ca="1">IFERROR(__xludf.DUMMYFUNCTION("""COMPUTED_VALUE"""),"https://link.springer.com/journal/10851")</f>
        <v>https://link.springer.com/journal/10851</v>
      </c>
      <c r="I1307" s="1" t="str">
        <f ca="1">IFERROR(__xludf.DUMMYFUNCTION("""COMPUTED_VALUE"""),"Springer")</f>
        <v>Springer</v>
      </c>
      <c r="J1307" s="1">
        <f ca="1">IFERROR(__xludf.DUMMYFUNCTION("""COMPUTED_VALUE"""),2000)</f>
        <v>2000</v>
      </c>
      <c r="K1307" s="1" t="str">
        <f ca="1">IFERROR(__xludf.DUMMYFUNCTION("""COMPUTED_VALUE"""),"Computer Science")</f>
        <v>Computer Science</v>
      </c>
      <c r="L1307" s="1" t="str">
        <f ca="1">IFERROR(__xludf.DUMMYFUNCTION("""COMPUTED_VALUE"""),"〇")</f>
        <v>〇</v>
      </c>
      <c r="M1307" s="1" t="str">
        <f ca="1">IFERROR(__xludf.DUMMYFUNCTION("""COMPUTED_VALUE"""),"〇")</f>
        <v>〇</v>
      </c>
      <c r="N1307" s="1"/>
      <c r="O1307" s="1"/>
      <c r="P1307" s="1"/>
    </row>
    <row r="1308" spans="1:16" ht="14.25" customHeight="1" x14ac:dyDescent="0.25">
      <c r="A1308" s="1"/>
      <c r="B1308" s="1">
        <f ca="1"/>
        <v>1296</v>
      </c>
      <c r="C1308" s="1">
        <f ca="1">IFERROR(__xludf.DUMMYFUNCTION("""COMPUTED_VALUE"""),2023)</f>
        <v>2023</v>
      </c>
      <c r="D1308" s="1">
        <f ca="1">IFERROR(__xludf.DUMMYFUNCTION("""COMPUTED_VALUE"""),10958)</f>
        <v>10958</v>
      </c>
      <c r="E1308" s="1" t="str">
        <f ca="1">IFERROR(__xludf.DUMMYFUNCTION("""COMPUTED_VALUE"""),"Journal of Mathematical Sciences")</f>
        <v>Journal of Mathematical Sciences</v>
      </c>
      <c r="F1308" s="1" t="str">
        <f ca="1">IFERROR(__xludf.DUMMYFUNCTION("""COMPUTED_VALUE"""),"1573-8795")</f>
        <v>1573-8795</v>
      </c>
      <c r="G1308" s="1" t="str">
        <f ca="1">IFERROR(__xludf.DUMMYFUNCTION("""COMPUTED_VALUE"""),"1072-3374")</f>
        <v>1072-3374</v>
      </c>
      <c r="H1308" s="27" t="str">
        <f ca="1">IFERROR(__xludf.DUMMYFUNCTION("""COMPUTED_VALUE"""),"https://link.springer.com/journal/10958")</f>
        <v>https://link.springer.com/journal/10958</v>
      </c>
      <c r="I1308" s="1" t="str">
        <f ca="1">IFERROR(__xludf.DUMMYFUNCTION("""COMPUTED_VALUE"""),"Springer")</f>
        <v>Springer</v>
      </c>
      <c r="J1308" s="1">
        <f ca="1">IFERROR(__xludf.DUMMYFUNCTION("""COMPUTED_VALUE"""),2000)</f>
        <v>2000</v>
      </c>
      <c r="K1308" s="1" t="str">
        <f ca="1">IFERROR(__xludf.DUMMYFUNCTION("""COMPUTED_VALUE"""),"Mathematics and Statistics")</f>
        <v>Mathematics and Statistics</v>
      </c>
      <c r="L1308" s="1" t="str">
        <f ca="1">IFERROR(__xludf.DUMMYFUNCTION("""COMPUTED_VALUE"""),"〇")</f>
        <v>〇</v>
      </c>
      <c r="M1308" s="1" t="str">
        <f ca="1">IFERROR(__xludf.DUMMYFUNCTION("""COMPUTED_VALUE"""),"〇")</f>
        <v>〇</v>
      </c>
      <c r="N1308" s="1"/>
      <c r="O1308" s="1"/>
      <c r="P1308" s="1"/>
    </row>
    <row r="1309" spans="1:16" ht="14.25" customHeight="1" x14ac:dyDescent="0.25">
      <c r="A1309" s="1"/>
      <c r="B1309" s="1">
        <f ca="1"/>
        <v>1297</v>
      </c>
      <c r="C1309" s="1">
        <f ca="1">IFERROR(__xludf.DUMMYFUNCTION("""COMPUTED_VALUE"""),2023)</f>
        <v>2023</v>
      </c>
      <c r="D1309" s="1">
        <f ca="1">IFERROR(__xludf.DUMMYFUNCTION("""COMPUTED_VALUE"""),10857)</f>
        <v>10857</v>
      </c>
      <c r="E1309" s="1" t="str">
        <f ca="1">IFERROR(__xludf.DUMMYFUNCTION("""COMPUTED_VALUE"""),"Journal of Mathematics Teacher Education")</f>
        <v>Journal of Mathematics Teacher Education</v>
      </c>
      <c r="F1309" s="1" t="str">
        <f ca="1">IFERROR(__xludf.DUMMYFUNCTION("""COMPUTED_VALUE"""),"1573-1820")</f>
        <v>1573-1820</v>
      </c>
      <c r="G1309" s="1" t="str">
        <f ca="1">IFERROR(__xludf.DUMMYFUNCTION("""COMPUTED_VALUE"""),"1386-4416")</f>
        <v>1386-4416</v>
      </c>
      <c r="H1309" s="27" t="str">
        <f ca="1">IFERROR(__xludf.DUMMYFUNCTION("""COMPUTED_VALUE"""),"https://link.springer.com/journal/10857")</f>
        <v>https://link.springer.com/journal/10857</v>
      </c>
      <c r="I1309" s="1" t="str">
        <f ca="1">IFERROR(__xludf.DUMMYFUNCTION("""COMPUTED_VALUE"""),"Springer")</f>
        <v>Springer</v>
      </c>
      <c r="J1309" s="1">
        <f ca="1">IFERROR(__xludf.DUMMYFUNCTION("""COMPUTED_VALUE"""),2000)</f>
        <v>2000</v>
      </c>
      <c r="K1309" s="1" t="str">
        <f ca="1">IFERROR(__xludf.DUMMYFUNCTION("""COMPUTED_VALUE"""),"Education")</f>
        <v>Education</v>
      </c>
      <c r="L1309" s="1" t="str">
        <f ca="1">IFERROR(__xludf.DUMMYFUNCTION("""COMPUTED_VALUE"""),"〇")</f>
        <v>〇</v>
      </c>
      <c r="M1309" s="1" t="str">
        <f ca="1">IFERROR(__xludf.DUMMYFUNCTION("""COMPUTED_VALUE"""),"〇")</f>
        <v>〇</v>
      </c>
      <c r="N1309" s="1"/>
      <c r="O1309" s="1"/>
      <c r="P1309" s="1"/>
    </row>
    <row r="1310" spans="1:16" ht="14.25" customHeight="1" x14ac:dyDescent="0.25">
      <c r="A1310" s="1"/>
      <c r="B1310" s="1">
        <f ca="1"/>
        <v>1298</v>
      </c>
      <c r="C1310" s="1">
        <f ca="1">IFERROR(__xludf.DUMMYFUNCTION("""COMPUTED_VALUE"""),2023)</f>
        <v>2023</v>
      </c>
      <c r="D1310" s="1">
        <f ca="1">IFERROR(__xludf.DUMMYFUNCTION("""COMPUTED_VALUE"""),12663)</f>
        <v>12663</v>
      </c>
      <c r="E1310" s="1" t="str">
        <f ca="1">IFERROR(__xludf.DUMMYFUNCTION("""COMPUTED_VALUE"""),"Journal of Maxillofacial and Oral Surgery")</f>
        <v>Journal of Maxillofacial and Oral Surgery</v>
      </c>
      <c r="F1310" s="1" t="str">
        <f ca="1">IFERROR(__xludf.DUMMYFUNCTION("""COMPUTED_VALUE"""),"0974-942X")</f>
        <v>0974-942X</v>
      </c>
      <c r="G1310" s="1" t="str">
        <f ca="1">IFERROR(__xludf.DUMMYFUNCTION("""COMPUTED_VALUE"""),"0972-8279")</f>
        <v>0972-8279</v>
      </c>
      <c r="H1310" s="27" t="str">
        <f ca="1">IFERROR(__xludf.DUMMYFUNCTION("""COMPUTED_VALUE"""),"https://link.springer.com/journal/12663")</f>
        <v>https://link.springer.com/journal/12663</v>
      </c>
      <c r="I1310" s="1" t="str">
        <f ca="1">IFERROR(__xludf.DUMMYFUNCTION("""COMPUTED_VALUE"""),"Springer")</f>
        <v>Springer</v>
      </c>
      <c r="J1310" s="1">
        <f ca="1">IFERROR(__xludf.DUMMYFUNCTION("""COMPUTED_VALUE"""),2009)</f>
        <v>2009</v>
      </c>
      <c r="K1310" s="1" t="str">
        <f ca="1">IFERROR(__xludf.DUMMYFUNCTION("""COMPUTED_VALUE"""),"Medicine")</f>
        <v>Medicine</v>
      </c>
      <c r="L1310" s="1" t="str">
        <f ca="1">IFERROR(__xludf.DUMMYFUNCTION("""COMPUTED_VALUE"""),"〇")</f>
        <v>〇</v>
      </c>
      <c r="M1310" s="1"/>
      <c r="N1310" s="1" t="str">
        <f ca="1">IFERROR(__xludf.DUMMYFUNCTION("""COMPUTED_VALUE"""),"TO9")</f>
        <v>TO9</v>
      </c>
      <c r="O1310" s="1"/>
      <c r="P1310" s="1"/>
    </row>
    <row r="1311" spans="1:16" ht="14.25" customHeight="1" x14ac:dyDescent="0.25">
      <c r="A1311" s="1"/>
      <c r="B1311" s="1">
        <f ca="1"/>
        <v>1299</v>
      </c>
      <c r="C1311" s="1">
        <f ca="1">IFERROR(__xludf.DUMMYFUNCTION("""COMPUTED_VALUE"""),2023)</f>
        <v>2023</v>
      </c>
      <c r="D1311" s="1">
        <f ca="1">IFERROR(__xludf.DUMMYFUNCTION("""COMPUTED_VALUE"""),12206)</f>
        <v>12206</v>
      </c>
      <c r="E1311" s="1" t="str">
        <f ca="1">IFERROR(__xludf.DUMMYFUNCTION("""COMPUTED_VALUE"""),"Journal of Mechanical Science and Technology")</f>
        <v>Journal of Mechanical Science and Technology</v>
      </c>
      <c r="F1311" s="1" t="str">
        <f ca="1">IFERROR(__xludf.DUMMYFUNCTION("""COMPUTED_VALUE"""),"1976-3824")</f>
        <v>1976-3824</v>
      </c>
      <c r="G1311" s="1" t="str">
        <f ca="1">IFERROR(__xludf.DUMMYFUNCTION("""COMPUTED_VALUE"""),"1738-494X")</f>
        <v>1738-494X</v>
      </c>
      <c r="H1311" s="27" t="str">
        <f ca="1">IFERROR(__xludf.DUMMYFUNCTION("""COMPUTED_VALUE"""),"https://link.springer.com/journal/12206")</f>
        <v>https://link.springer.com/journal/12206</v>
      </c>
      <c r="I1311" s="1" t="str">
        <f ca="1">IFERROR(__xludf.DUMMYFUNCTION("""COMPUTED_VALUE"""),"Korean Society of Mechanical Engineers, co-published with Springer")</f>
        <v>Korean Society of Mechanical Engineers, co-published with Springer</v>
      </c>
      <c r="J1311" s="1">
        <f ca="1">IFERROR(__xludf.DUMMYFUNCTION("""COMPUTED_VALUE"""),2000)</f>
        <v>2000</v>
      </c>
      <c r="K1311" s="1" t="str">
        <f ca="1">IFERROR(__xludf.DUMMYFUNCTION("""COMPUTED_VALUE"""),"Engineering")</f>
        <v>Engineering</v>
      </c>
      <c r="L1311" s="1" t="str">
        <f ca="1">IFERROR(__xludf.DUMMYFUNCTION("""COMPUTED_VALUE"""),"〇")</f>
        <v>〇</v>
      </c>
      <c r="M1311" s="1" t="str">
        <f ca="1">IFERROR(__xludf.DUMMYFUNCTION("""COMPUTED_VALUE"""),"〇")</f>
        <v>〇</v>
      </c>
      <c r="N1311" s="1" t="str">
        <f ca="1">IFERROR(__xludf.DUMMYFUNCTION("""COMPUTED_VALUE"""),"TO8")</f>
        <v>TO8</v>
      </c>
      <c r="O1311" s="1"/>
      <c r="P1311" s="1"/>
    </row>
    <row r="1312" spans="1:16" ht="14.25" customHeight="1" x14ac:dyDescent="0.25">
      <c r="A1312" s="1"/>
      <c r="B1312" s="1">
        <f ca="1"/>
        <v>1300</v>
      </c>
      <c r="C1312" s="1">
        <f ca="1">IFERROR(__xludf.DUMMYFUNCTION("""COMPUTED_VALUE"""),2023)</f>
        <v>2023</v>
      </c>
      <c r="D1312" s="1">
        <f ca="1">IFERROR(__xludf.DUMMYFUNCTION("""COMPUTED_VALUE"""),40846)</f>
        <v>40846</v>
      </c>
      <c r="E1312" s="1" t="str">
        <f ca="1">IFERROR(__xludf.DUMMYFUNCTION("""COMPUTED_VALUE"""),"Journal of Medical and Biological Engineering")</f>
        <v>Journal of Medical and Biological Engineering</v>
      </c>
      <c r="F1312" s="1" t="str">
        <f ca="1">IFERROR(__xludf.DUMMYFUNCTION("""COMPUTED_VALUE"""),"2199-4757")</f>
        <v>2199-4757</v>
      </c>
      <c r="G1312" s="1" t="str">
        <f ca="1">IFERROR(__xludf.DUMMYFUNCTION("""COMPUTED_VALUE"""),"1609-0985")</f>
        <v>1609-0985</v>
      </c>
      <c r="H1312" s="27" t="str">
        <f ca="1">IFERROR(__xludf.DUMMYFUNCTION("""COMPUTED_VALUE"""),"https://link.springer.com/journal/40846")</f>
        <v>https://link.springer.com/journal/40846</v>
      </c>
      <c r="I1312" s="1" t="str">
        <f ca="1">IFERROR(__xludf.DUMMYFUNCTION("""COMPUTED_VALUE"""),"Springer")</f>
        <v>Springer</v>
      </c>
      <c r="J1312" s="1">
        <f ca="1">IFERROR(__xludf.DUMMYFUNCTION("""COMPUTED_VALUE"""),2015)</f>
        <v>2015</v>
      </c>
      <c r="K1312" s="1" t="str">
        <f ca="1">IFERROR(__xludf.DUMMYFUNCTION("""COMPUTED_VALUE"""),"Biomedical and Life Sciences")</f>
        <v>Biomedical and Life Sciences</v>
      </c>
      <c r="L1312" s="1" t="str">
        <f ca="1">IFERROR(__xludf.DUMMYFUNCTION("""COMPUTED_VALUE"""),"〇")</f>
        <v>〇</v>
      </c>
      <c r="M1312" s="1"/>
      <c r="N1312" s="1" t="str">
        <f ca="1">IFERROR(__xludf.DUMMYFUNCTION("""COMPUTED_VALUE"""),"TO15")</f>
        <v>TO15</v>
      </c>
      <c r="O1312" s="1"/>
      <c r="P1312" s="1"/>
    </row>
    <row r="1313" spans="1:16" ht="14.25" customHeight="1" x14ac:dyDescent="0.25">
      <c r="A1313" s="1"/>
      <c r="B1313" s="1">
        <f ca="1"/>
        <v>1301</v>
      </c>
      <c r="C1313" s="1">
        <f ca="1">IFERROR(__xludf.DUMMYFUNCTION("""COMPUTED_VALUE"""),2023)</f>
        <v>2023</v>
      </c>
      <c r="D1313" s="1">
        <f ca="1">IFERROR(__xludf.DUMMYFUNCTION("""COMPUTED_VALUE"""),10912)</f>
        <v>10912</v>
      </c>
      <c r="E1313" s="1" t="str">
        <f ca="1">IFERROR(__xludf.DUMMYFUNCTION("""COMPUTED_VALUE"""),"Journal of Medical Humanities")</f>
        <v>Journal of Medical Humanities</v>
      </c>
      <c r="F1313" s="1" t="str">
        <f ca="1">IFERROR(__xludf.DUMMYFUNCTION("""COMPUTED_VALUE"""),"1573-3645")</f>
        <v>1573-3645</v>
      </c>
      <c r="G1313" s="1" t="str">
        <f ca="1">IFERROR(__xludf.DUMMYFUNCTION("""COMPUTED_VALUE"""),"1041-3545")</f>
        <v>1041-3545</v>
      </c>
      <c r="H1313" s="27" t="str">
        <f ca="1">IFERROR(__xludf.DUMMYFUNCTION("""COMPUTED_VALUE"""),"https://link.springer.com/journal/10912")</f>
        <v>https://link.springer.com/journal/10912</v>
      </c>
      <c r="I1313" s="1" t="str">
        <f ca="1">IFERROR(__xludf.DUMMYFUNCTION("""COMPUTED_VALUE"""),"Springer")</f>
        <v>Springer</v>
      </c>
      <c r="J1313" s="1">
        <f ca="1">IFERROR(__xludf.DUMMYFUNCTION("""COMPUTED_VALUE"""),2000)</f>
        <v>2000</v>
      </c>
      <c r="K1313" s="1" t="str">
        <f ca="1">IFERROR(__xludf.DUMMYFUNCTION("""COMPUTED_VALUE"""),"Literature, Cultural and Media Studies")</f>
        <v>Literature, Cultural and Media Studies</v>
      </c>
      <c r="L1313" s="1" t="str">
        <f ca="1">IFERROR(__xludf.DUMMYFUNCTION("""COMPUTED_VALUE"""),"〇")</f>
        <v>〇</v>
      </c>
      <c r="M1313" s="1" t="str">
        <f ca="1">IFERROR(__xludf.DUMMYFUNCTION("""COMPUTED_VALUE"""),"〇")</f>
        <v>〇</v>
      </c>
      <c r="N1313" s="1"/>
      <c r="O1313" s="1"/>
      <c r="P1313" s="1"/>
    </row>
    <row r="1314" spans="1:16" ht="14.25" customHeight="1" x14ac:dyDescent="0.25">
      <c r="A1314" s="1"/>
      <c r="B1314" s="1">
        <f ca="1"/>
        <v>1302</v>
      </c>
      <c r="C1314" s="1">
        <f ca="1">IFERROR(__xludf.DUMMYFUNCTION("""COMPUTED_VALUE"""),2023)</f>
        <v>2023</v>
      </c>
      <c r="D1314" s="1">
        <f ca="1">IFERROR(__xludf.DUMMYFUNCTION("""COMPUTED_VALUE"""),10916)</f>
        <v>10916</v>
      </c>
      <c r="E1314" s="1" t="str">
        <f ca="1">IFERROR(__xludf.DUMMYFUNCTION("""COMPUTED_VALUE"""),"Journal of Medical Systems")</f>
        <v>Journal of Medical Systems</v>
      </c>
      <c r="F1314" s="1" t="str">
        <f ca="1">IFERROR(__xludf.DUMMYFUNCTION("""COMPUTED_VALUE"""),"1573-689X")</f>
        <v>1573-689X</v>
      </c>
      <c r="G1314" s="1"/>
      <c r="H1314" s="27" t="str">
        <f ca="1">IFERROR(__xludf.DUMMYFUNCTION("""COMPUTED_VALUE"""),"https://link.springer.com/journal/10916")</f>
        <v>https://link.springer.com/journal/10916</v>
      </c>
      <c r="I1314" s="1" t="str">
        <f ca="1">IFERROR(__xludf.DUMMYFUNCTION("""COMPUTED_VALUE"""),"Springer")</f>
        <v>Springer</v>
      </c>
      <c r="J1314" s="1">
        <f ca="1">IFERROR(__xludf.DUMMYFUNCTION("""COMPUTED_VALUE"""),2000)</f>
        <v>2000</v>
      </c>
      <c r="K1314" s="1" t="str">
        <f ca="1">IFERROR(__xludf.DUMMYFUNCTION("""COMPUTED_VALUE"""),"Medicine")</f>
        <v>Medicine</v>
      </c>
      <c r="L1314" s="1"/>
      <c r="M1314" s="1" t="str">
        <f ca="1">IFERROR(__xludf.DUMMYFUNCTION("""COMPUTED_VALUE"""),"〇")</f>
        <v>〇</v>
      </c>
      <c r="N1314" s="1"/>
      <c r="O1314" s="1"/>
      <c r="P1314" s="1"/>
    </row>
    <row r="1315" spans="1:16" ht="14.25" customHeight="1" x14ac:dyDescent="0.25">
      <c r="A1315" s="1"/>
      <c r="B1315" s="1">
        <f ca="1"/>
        <v>1303</v>
      </c>
      <c r="C1315" s="1">
        <f ca="1">IFERROR(__xludf.DUMMYFUNCTION("""COMPUTED_VALUE"""),2023)</f>
        <v>2023</v>
      </c>
      <c r="D1315" s="1">
        <f ca="1">IFERROR(__xludf.DUMMYFUNCTION("""COMPUTED_VALUE"""),13181)</f>
        <v>13181</v>
      </c>
      <c r="E1315" s="1" t="str">
        <f ca="1">IFERROR(__xludf.DUMMYFUNCTION("""COMPUTED_VALUE"""),"Journal of Medical Toxicology")</f>
        <v>Journal of Medical Toxicology</v>
      </c>
      <c r="F1315" s="1" t="str">
        <f ca="1">IFERROR(__xludf.DUMMYFUNCTION("""COMPUTED_VALUE"""),"1937-6995")</f>
        <v>1937-6995</v>
      </c>
      <c r="G1315" s="1"/>
      <c r="H1315" s="27" t="str">
        <f ca="1">IFERROR(__xludf.DUMMYFUNCTION("""COMPUTED_VALUE"""),"https://link.springer.com/journal/13181")</f>
        <v>https://link.springer.com/journal/13181</v>
      </c>
      <c r="I1315" s="1" t="str">
        <f ca="1">IFERROR(__xludf.DUMMYFUNCTION("""COMPUTED_VALUE"""),"Springer")</f>
        <v>Springer</v>
      </c>
      <c r="J1315" s="1">
        <f ca="1">IFERROR(__xludf.DUMMYFUNCTION("""COMPUTED_VALUE"""),2005)</f>
        <v>2005</v>
      </c>
      <c r="K1315" s="1" t="str">
        <f ca="1">IFERROR(__xludf.DUMMYFUNCTION("""COMPUTED_VALUE"""),"Biomedical and Life Sciences")</f>
        <v>Biomedical and Life Sciences</v>
      </c>
      <c r="L1315" s="1"/>
      <c r="M1315" s="1"/>
      <c r="N1315" s="1" t="str">
        <f ca="1">IFERROR(__xludf.DUMMYFUNCTION("""COMPUTED_VALUE"""),"TO10")</f>
        <v>TO10</v>
      </c>
      <c r="O1315" s="1"/>
      <c r="P1315" s="1"/>
    </row>
    <row r="1316" spans="1:16" ht="14.25" customHeight="1" x14ac:dyDescent="0.25">
      <c r="A1316" s="1"/>
      <c r="B1316" s="1">
        <f ca="1"/>
        <v>1304</v>
      </c>
      <c r="C1316" s="1">
        <f ca="1">IFERROR(__xludf.DUMMYFUNCTION("""COMPUTED_VALUE"""),2023)</f>
        <v>2023</v>
      </c>
      <c r="D1316" s="1">
        <f ca="1">IFERROR(__xludf.DUMMYFUNCTION("""COMPUTED_VALUE"""),10396)</f>
        <v>10396</v>
      </c>
      <c r="E1316" s="1" t="str">
        <f ca="1">IFERROR(__xludf.DUMMYFUNCTION("""COMPUTED_VALUE"""),"Journal of Medical Ultrasonics")</f>
        <v>Journal of Medical Ultrasonics</v>
      </c>
      <c r="F1316" s="1" t="str">
        <f ca="1">IFERROR(__xludf.DUMMYFUNCTION("""COMPUTED_VALUE"""),"1613-2254")</f>
        <v>1613-2254</v>
      </c>
      <c r="G1316" s="1" t="str">
        <f ca="1">IFERROR(__xludf.DUMMYFUNCTION("""COMPUTED_VALUE"""),"1346-4523")</f>
        <v>1346-4523</v>
      </c>
      <c r="H1316" s="27" t="str">
        <f ca="1">IFERROR(__xludf.DUMMYFUNCTION("""COMPUTED_VALUE"""),"https://link.springer.com/journal/10396")</f>
        <v>https://link.springer.com/journal/10396</v>
      </c>
      <c r="I1316" s="1" t="str">
        <f ca="1">IFERROR(__xludf.DUMMYFUNCTION("""COMPUTED_VALUE"""),"Springer")</f>
        <v>Springer</v>
      </c>
      <c r="J1316" s="1">
        <f ca="1">IFERROR(__xludf.DUMMYFUNCTION("""COMPUTED_VALUE"""),2001)</f>
        <v>2001</v>
      </c>
      <c r="K1316" s="1" t="str">
        <f ca="1">IFERROR(__xludf.DUMMYFUNCTION("""COMPUTED_VALUE"""),"Medicine")</f>
        <v>Medicine</v>
      </c>
      <c r="L1316" s="1" t="str">
        <f ca="1">IFERROR(__xludf.DUMMYFUNCTION("""COMPUTED_VALUE"""),"〇")</f>
        <v>〇</v>
      </c>
      <c r="M1316" s="1" t="str">
        <f ca="1">IFERROR(__xludf.DUMMYFUNCTION("""COMPUTED_VALUE"""),"〇")</f>
        <v>〇</v>
      </c>
      <c r="N1316" s="1"/>
      <c r="O1316" s="1"/>
      <c r="P1316" s="1"/>
    </row>
    <row r="1317" spans="1:16" ht="14.25" customHeight="1" x14ac:dyDescent="0.25">
      <c r="A1317" s="1"/>
      <c r="B1317" s="1">
        <f ca="1"/>
        <v>1305</v>
      </c>
      <c r="C1317" s="1">
        <f ca="1">IFERROR(__xludf.DUMMYFUNCTION("""COMPUTED_VALUE"""),2023)</f>
        <v>2023</v>
      </c>
      <c r="D1317" s="1">
        <f ca="1">IFERROR(__xludf.DUMMYFUNCTION("""COMPUTED_VALUE"""),41965)</f>
        <v>41965</v>
      </c>
      <c r="E1317" s="1" t="str">
        <f ca="1">IFERROR(__xludf.DUMMYFUNCTION("""COMPUTED_VALUE"""),"Journal of Membrane Computing")</f>
        <v>Journal of Membrane Computing</v>
      </c>
      <c r="F1317" s="1" t="str">
        <f ca="1">IFERROR(__xludf.DUMMYFUNCTION("""COMPUTED_VALUE"""),"2523-8914")</f>
        <v>2523-8914</v>
      </c>
      <c r="G1317" s="1" t="str">
        <f ca="1">IFERROR(__xludf.DUMMYFUNCTION("""COMPUTED_VALUE"""),"2523-8906")</f>
        <v>2523-8906</v>
      </c>
      <c r="H1317" s="27" t="str">
        <f ca="1">IFERROR(__xludf.DUMMYFUNCTION("""COMPUTED_VALUE"""),"https://link.springer.com/journal/41965")</f>
        <v>https://link.springer.com/journal/41965</v>
      </c>
      <c r="I1317" s="1" t="str">
        <f ca="1">IFERROR(__xludf.DUMMYFUNCTION("""COMPUTED_VALUE"""),"Springer")</f>
        <v>Springer</v>
      </c>
      <c r="J1317" s="1">
        <f ca="1">IFERROR(__xludf.DUMMYFUNCTION("""COMPUTED_VALUE"""),2019)</f>
        <v>2019</v>
      </c>
      <c r="K1317" s="1" t="str">
        <f ca="1">IFERROR(__xludf.DUMMYFUNCTION("""COMPUTED_VALUE"""),"Computer Science")</f>
        <v>Computer Science</v>
      </c>
      <c r="L1317" s="1" t="str">
        <f ca="1">IFERROR(__xludf.DUMMYFUNCTION("""COMPUTED_VALUE"""),"〇")</f>
        <v>〇</v>
      </c>
      <c r="M1317" s="1"/>
      <c r="N1317" s="1" t="str">
        <f ca="1">IFERROR(__xludf.DUMMYFUNCTION("""COMPUTED_VALUE"""),"SNS19")</f>
        <v>SNS19</v>
      </c>
      <c r="O1317" s="1"/>
      <c r="P1317" s="1"/>
    </row>
    <row r="1318" spans="1:16" ht="14.25" customHeight="1" x14ac:dyDescent="0.25">
      <c r="A1318" s="1"/>
      <c r="B1318" s="1">
        <f ca="1"/>
        <v>1306</v>
      </c>
      <c r="C1318" s="1">
        <f ca="1">IFERROR(__xludf.DUMMYFUNCTION("""COMPUTED_VALUE"""),2023)</f>
        <v>2023</v>
      </c>
      <c r="D1318" s="1">
        <f ca="1">IFERROR(__xludf.DUMMYFUNCTION("""COMPUTED_VALUE"""),13351)</f>
        <v>13351</v>
      </c>
      <c r="E1318" s="1" t="str">
        <f ca="1">IFERROR(__xludf.DUMMYFUNCTION("""COMPUTED_VALUE"""),"Journal of Meteorological Research")</f>
        <v>Journal of Meteorological Research</v>
      </c>
      <c r="F1318" s="1" t="str">
        <f ca="1">IFERROR(__xludf.DUMMYFUNCTION("""COMPUTED_VALUE"""),"2198-0934")</f>
        <v>2198-0934</v>
      </c>
      <c r="G1318" s="1" t="str">
        <f ca="1">IFERROR(__xludf.DUMMYFUNCTION("""COMPUTED_VALUE"""),"2095-6037")</f>
        <v>2095-6037</v>
      </c>
      <c r="H1318" s="27" t="str">
        <f ca="1">IFERROR(__xludf.DUMMYFUNCTION("""COMPUTED_VALUE"""),"https://link.springer.com/journal/13351")</f>
        <v>https://link.springer.com/journal/13351</v>
      </c>
      <c r="I1318" s="1" t="str">
        <f ca="1">IFERROR(__xludf.DUMMYFUNCTION("""COMPUTED_VALUE"""),"The Chinese Meteorological Society, co-published with Springer")</f>
        <v>The Chinese Meteorological Society, co-published with Springer</v>
      </c>
      <c r="J1318" s="1">
        <f ca="1">IFERROR(__xludf.DUMMYFUNCTION("""COMPUTED_VALUE"""),2011)</f>
        <v>2011</v>
      </c>
      <c r="K1318" s="1" t="str">
        <f ca="1">IFERROR(__xludf.DUMMYFUNCTION("""COMPUTED_VALUE"""),"Earth and Environmental Science")</f>
        <v>Earth and Environmental Science</v>
      </c>
      <c r="L1318" s="1" t="str">
        <f ca="1">IFERROR(__xludf.DUMMYFUNCTION("""COMPUTED_VALUE"""),"〇")</f>
        <v>〇</v>
      </c>
      <c r="M1318" s="1"/>
      <c r="N1318" s="1" t="str">
        <f ca="1">IFERROR(__xludf.DUMMYFUNCTION("""COMPUTED_VALUE"""),"TO11")</f>
        <v>TO11</v>
      </c>
      <c r="O1318" s="1"/>
      <c r="P1318" s="1"/>
    </row>
    <row r="1319" spans="1:16" ht="14.25" customHeight="1" x14ac:dyDescent="0.25">
      <c r="A1319" s="1"/>
      <c r="B1319" s="1">
        <f ca="1"/>
        <v>1307</v>
      </c>
      <c r="C1319" s="1">
        <f ca="1">IFERROR(__xludf.DUMMYFUNCTION("""COMPUTED_VALUE"""),2023)</f>
        <v>2023</v>
      </c>
      <c r="D1319" s="1">
        <f ca="1">IFERROR(__xludf.DUMMYFUNCTION("""COMPUTED_VALUE"""),12213)</f>
        <v>12213</v>
      </c>
      <c r="E1319" s="1" t="str">
        <f ca="1">IFERROR(__xludf.DUMMYFUNCTION("""COMPUTED_VALUE"""),"Journal of Micro-Bio Robotics")</f>
        <v>Journal of Micro-Bio Robotics</v>
      </c>
      <c r="F1319" s="1" t="str">
        <f ca="1">IFERROR(__xludf.DUMMYFUNCTION("""COMPUTED_VALUE"""),"2194-6426")</f>
        <v>2194-6426</v>
      </c>
      <c r="G1319" s="1"/>
      <c r="H1319" s="27" t="str">
        <f ca="1">IFERROR(__xludf.DUMMYFUNCTION("""COMPUTED_VALUE"""),"https://link.springer.com/journal/12213")</f>
        <v>https://link.springer.com/journal/12213</v>
      </c>
      <c r="I1319" s="1" t="str">
        <f ca="1">IFERROR(__xludf.DUMMYFUNCTION("""COMPUTED_VALUE"""),"Springer")</f>
        <v>Springer</v>
      </c>
      <c r="J1319" s="1">
        <f ca="1">IFERROR(__xludf.DUMMYFUNCTION("""COMPUTED_VALUE"""),2008)</f>
        <v>2008</v>
      </c>
      <c r="K1319" s="1" t="str">
        <f ca="1">IFERROR(__xludf.DUMMYFUNCTION("""COMPUTED_VALUE"""),"Engineering")</f>
        <v>Engineering</v>
      </c>
      <c r="L1319" s="1"/>
      <c r="M1319" s="1" t="str">
        <f ca="1">IFERROR(__xludf.DUMMYFUNCTION("""COMPUTED_VALUE"""),"〇")</f>
        <v>〇</v>
      </c>
      <c r="N1319" s="1" t="str">
        <f ca="1">IFERROR(__xludf.DUMMYFUNCTION("""COMPUTED_VALUE"""),"TO8")</f>
        <v>TO8</v>
      </c>
      <c r="O1319" s="1"/>
      <c r="P1319" s="1"/>
    </row>
    <row r="1320" spans="1:16" ht="14.25" customHeight="1" x14ac:dyDescent="0.25">
      <c r="A1320" s="1"/>
      <c r="B1320" s="1">
        <f ca="1"/>
        <v>1308</v>
      </c>
      <c r="C1320" s="1">
        <f ca="1">IFERROR(__xludf.DUMMYFUNCTION("""COMPUTED_VALUE"""),2023)</f>
        <v>2023</v>
      </c>
      <c r="D1320" s="1">
        <f ca="1">IFERROR(__xludf.DUMMYFUNCTION("""COMPUTED_VALUE"""),12275)</f>
        <v>12275</v>
      </c>
      <c r="E1320" s="1" t="str">
        <f ca="1">IFERROR(__xludf.DUMMYFUNCTION("""COMPUTED_VALUE"""),"Journal of Microbiology")</f>
        <v>Journal of Microbiology</v>
      </c>
      <c r="F1320" s="1" t="str">
        <f ca="1">IFERROR(__xludf.DUMMYFUNCTION("""COMPUTED_VALUE"""),"1976-3794")</f>
        <v>1976-3794</v>
      </c>
      <c r="G1320" s="1"/>
      <c r="H1320" s="27" t="str">
        <f ca="1">IFERROR(__xludf.DUMMYFUNCTION("""COMPUTED_VALUE"""),"https://link.springer.com/journal/12275")</f>
        <v>https://link.springer.com/journal/12275</v>
      </c>
      <c r="I1320" s="1" t="str">
        <f ca="1">IFERROR(__xludf.DUMMYFUNCTION("""COMPUTED_VALUE"""),"The Microbiological Society of Korea, co-published with Springer")</f>
        <v>The Microbiological Society of Korea, co-published with Springer</v>
      </c>
      <c r="J1320" s="1">
        <f ca="1">IFERROR(__xludf.DUMMYFUNCTION("""COMPUTED_VALUE"""),2008)</f>
        <v>2008</v>
      </c>
      <c r="K1320" s="1" t="str">
        <f ca="1">IFERROR(__xludf.DUMMYFUNCTION("""COMPUTED_VALUE"""),"Biomedical and Life Sciences")</f>
        <v>Biomedical and Life Sciences</v>
      </c>
      <c r="L1320" s="1"/>
      <c r="M1320" s="1" t="str">
        <f ca="1">IFERROR(__xludf.DUMMYFUNCTION("""COMPUTED_VALUE"""),"〇")</f>
        <v>〇</v>
      </c>
      <c r="N1320" s="1" t="str">
        <f ca="1">IFERROR(__xludf.DUMMYFUNCTION("""COMPUTED_VALUE"""),"TO8")</f>
        <v>TO8</v>
      </c>
      <c r="O1320" s="1"/>
      <c r="P1320" s="1"/>
    </row>
    <row r="1321" spans="1:16" ht="14.25" customHeight="1" x14ac:dyDescent="0.25">
      <c r="A1321" s="1"/>
      <c r="B1321" s="1">
        <f ca="1"/>
        <v>1309</v>
      </c>
      <c r="C1321" s="1">
        <f ca="1">IFERROR(__xludf.DUMMYFUNCTION("""COMPUTED_VALUE"""),2023)</f>
        <v>2023</v>
      </c>
      <c r="D1321" s="1">
        <f ca="1">IFERROR(__xludf.DUMMYFUNCTION("""COMPUTED_VALUE"""),10913)</f>
        <v>10913</v>
      </c>
      <c r="E1321" s="1" t="str">
        <f ca="1">IFERROR(__xludf.DUMMYFUNCTION("""COMPUTED_VALUE"""),"Journal of Mining Science")</f>
        <v>Journal of Mining Science</v>
      </c>
      <c r="F1321" s="1" t="str">
        <f ca="1">IFERROR(__xludf.DUMMYFUNCTION("""COMPUTED_VALUE"""),"1573-8736")</f>
        <v>1573-8736</v>
      </c>
      <c r="G1321" s="1" t="str">
        <f ca="1">IFERROR(__xludf.DUMMYFUNCTION("""COMPUTED_VALUE"""),"1062-7391")</f>
        <v>1062-7391</v>
      </c>
      <c r="H1321" s="27" t="str">
        <f ca="1">IFERROR(__xludf.DUMMYFUNCTION("""COMPUTED_VALUE"""),"https://link.springer.com/journal/10913")</f>
        <v>https://link.springer.com/journal/10913</v>
      </c>
      <c r="I1321" s="1" t="str">
        <f ca="1">IFERROR(__xludf.DUMMYFUNCTION("""COMPUTED_VALUE"""),"Pleiades Publishing")</f>
        <v>Pleiades Publishing</v>
      </c>
      <c r="J1321" s="1">
        <f ca="1">IFERROR(__xludf.DUMMYFUNCTION("""COMPUTED_VALUE"""),2000)</f>
        <v>2000</v>
      </c>
      <c r="K1321" s="1" t="str">
        <f ca="1">IFERROR(__xludf.DUMMYFUNCTION("""COMPUTED_VALUE"""),"Earth and Environmental Science")</f>
        <v>Earth and Environmental Science</v>
      </c>
      <c r="L1321" s="1" t="str">
        <f ca="1">IFERROR(__xludf.DUMMYFUNCTION("""COMPUTED_VALUE"""),"〇")</f>
        <v>〇</v>
      </c>
      <c r="M1321" s="1" t="str">
        <f ca="1">IFERROR(__xludf.DUMMYFUNCTION("""COMPUTED_VALUE"""),"〇")</f>
        <v>〇</v>
      </c>
      <c r="N1321" s="1"/>
      <c r="O1321" s="1"/>
      <c r="P1321" s="1"/>
    </row>
    <row r="1322" spans="1:16" ht="14.25" customHeight="1" x14ac:dyDescent="0.25">
      <c r="A1322" s="1"/>
      <c r="B1322" s="1">
        <f ca="1"/>
        <v>1310</v>
      </c>
      <c r="C1322" s="1">
        <f ca="1">IFERROR(__xludf.DUMMYFUNCTION("""COMPUTED_VALUE"""),2023)</f>
        <v>2023</v>
      </c>
      <c r="D1322" s="1">
        <f ca="1">IFERROR(__xludf.DUMMYFUNCTION("""COMPUTED_VALUE"""),239)</f>
        <v>239</v>
      </c>
      <c r="E1322" s="1" t="str">
        <f ca="1">IFERROR(__xludf.DUMMYFUNCTION("""COMPUTED_VALUE"""),"Journal of Molecular Evolution")</f>
        <v>Journal of Molecular Evolution</v>
      </c>
      <c r="F1322" s="1" t="str">
        <f ca="1">IFERROR(__xludf.DUMMYFUNCTION("""COMPUTED_VALUE"""),"1432-1432")</f>
        <v>1432-1432</v>
      </c>
      <c r="G1322" s="1" t="str">
        <f ca="1">IFERROR(__xludf.DUMMYFUNCTION("""COMPUTED_VALUE"""),"0022-2844")</f>
        <v>0022-2844</v>
      </c>
      <c r="H1322" s="27" t="str">
        <f ca="1">IFERROR(__xludf.DUMMYFUNCTION("""COMPUTED_VALUE"""),"https://link.springer.com/journal/239")</f>
        <v>https://link.springer.com/journal/239</v>
      </c>
      <c r="I1322" s="1" t="str">
        <f ca="1">IFERROR(__xludf.DUMMYFUNCTION("""COMPUTED_VALUE"""),"Springer")</f>
        <v>Springer</v>
      </c>
      <c r="J1322" s="1">
        <f ca="1">IFERROR(__xludf.DUMMYFUNCTION("""COMPUTED_VALUE"""),2000)</f>
        <v>2000</v>
      </c>
      <c r="K1322" s="1" t="str">
        <f ca="1">IFERROR(__xludf.DUMMYFUNCTION("""COMPUTED_VALUE"""),"Biomedical and Life Sciences")</f>
        <v>Biomedical and Life Sciences</v>
      </c>
      <c r="L1322" s="1" t="str">
        <f ca="1">IFERROR(__xludf.DUMMYFUNCTION("""COMPUTED_VALUE"""),"〇")</f>
        <v>〇</v>
      </c>
      <c r="M1322" s="1" t="str">
        <f ca="1">IFERROR(__xludf.DUMMYFUNCTION("""COMPUTED_VALUE"""),"〇")</f>
        <v>〇</v>
      </c>
      <c r="N1322" s="1"/>
      <c r="O1322" s="1"/>
      <c r="P1322" s="1"/>
    </row>
    <row r="1323" spans="1:16" ht="14.25" customHeight="1" x14ac:dyDescent="0.25">
      <c r="A1323" s="1"/>
      <c r="B1323" s="1">
        <f ca="1"/>
        <v>1311</v>
      </c>
      <c r="C1323" s="1">
        <f ca="1">IFERROR(__xludf.DUMMYFUNCTION("""COMPUTED_VALUE"""),2023)</f>
        <v>2023</v>
      </c>
      <c r="D1323" s="1">
        <f ca="1">IFERROR(__xludf.DUMMYFUNCTION("""COMPUTED_VALUE"""),10735)</f>
        <v>10735</v>
      </c>
      <c r="E1323" s="1" t="str">
        <f ca="1">IFERROR(__xludf.DUMMYFUNCTION("""COMPUTED_VALUE"""),"Journal of Molecular Histology")</f>
        <v>Journal of Molecular Histology</v>
      </c>
      <c r="F1323" s="1" t="str">
        <f ca="1">IFERROR(__xludf.DUMMYFUNCTION("""COMPUTED_VALUE"""),"1567-2387")</f>
        <v>1567-2387</v>
      </c>
      <c r="G1323" s="1" t="str">
        <f ca="1">IFERROR(__xludf.DUMMYFUNCTION("""COMPUTED_VALUE"""),"1567-2379")</f>
        <v>1567-2379</v>
      </c>
      <c r="H1323" s="27" t="str">
        <f ca="1">IFERROR(__xludf.DUMMYFUNCTION("""COMPUTED_VALUE"""),"https://link.springer.com/journal/10735")</f>
        <v>https://link.springer.com/journal/10735</v>
      </c>
      <c r="I1323" s="1" t="str">
        <f ca="1">IFERROR(__xludf.DUMMYFUNCTION("""COMPUTED_VALUE"""),"Springer")</f>
        <v>Springer</v>
      </c>
      <c r="J1323" s="1">
        <f ca="1">IFERROR(__xludf.DUMMYFUNCTION("""COMPUTED_VALUE"""),2000)</f>
        <v>2000</v>
      </c>
      <c r="K1323" s="1" t="str">
        <f ca="1">IFERROR(__xludf.DUMMYFUNCTION("""COMPUTED_VALUE"""),"Biomedical and Life Sciences")</f>
        <v>Biomedical and Life Sciences</v>
      </c>
      <c r="L1323" s="1" t="str">
        <f ca="1">IFERROR(__xludf.DUMMYFUNCTION("""COMPUTED_VALUE"""),"〇")</f>
        <v>〇</v>
      </c>
      <c r="M1323" s="1" t="str">
        <f ca="1">IFERROR(__xludf.DUMMYFUNCTION("""COMPUTED_VALUE"""),"〇")</f>
        <v>〇</v>
      </c>
      <c r="N1323" s="1"/>
      <c r="O1323" s="1"/>
      <c r="P1323" s="1"/>
    </row>
    <row r="1324" spans="1:16" ht="14.25" customHeight="1" x14ac:dyDescent="0.25">
      <c r="A1324" s="1"/>
      <c r="B1324" s="1">
        <f ca="1"/>
        <v>1312</v>
      </c>
      <c r="C1324" s="1">
        <f ca="1">IFERROR(__xludf.DUMMYFUNCTION("""COMPUTED_VALUE"""),2023)</f>
        <v>2023</v>
      </c>
      <c r="D1324" s="1">
        <f ca="1">IFERROR(__xludf.DUMMYFUNCTION("""COMPUTED_VALUE"""),109)</f>
        <v>109</v>
      </c>
      <c r="E1324" s="1" t="str">
        <f ca="1">IFERROR(__xludf.DUMMYFUNCTION("""COMPUTED_VALUE"""),"Journal of Molecular Medicine")</f>
        <v>Journal of Molecular Medicine</v>
      </c>
      <c r="F1324" s="1" t="str">
        <f ca="1">IFERROR(__xludf.DUMMYFUNCTION("""COMPUTED_VALUE"""),"1432-1440")</f>
        <v>1432-1440</v>
      </c>
      <c r="G1324" s="1" t="str">
        <f ca="1">IFERROR(__xludf.DUMMYFUNCTION("""COMPUTED_VALUE"""),"0946-2716")</f>
        <v>0946-2716</v>
      </c>
      <c r="H1324" s="27" t="str">
        <f ca="1">IFERROR(__xludf.DUMMYFUNCTION("""COMPUTED_VALUE"""),"https://link.springer.com/journal/109")</f>
        <v>https://link.springer.com/journal/109</v>
      </c>
      <c r="I1324" s="1" t="str">
        <f ca="1">IFERROR(__xludf.DUMMYFUNCTION("""COMPUTED_VALUE"""),"Springer")</f>
        <v>Springer</v>
      </c>
      <c r="J1324" s="1">
        <f ca="1">IFERROR(__xludf.DUMMYFUNCTION("""COMPUTED_VALUE"""),2000)</f>
        <v>2000</v>
      </c>
      <c r="K1324" s="1" t="str">
        <f ca="1">IFERROR(__xludf.DUMMYFUNCTION("""COMPUTED_VALUE"""),"Biomedical and Life Sciences")</f>
        <v>Biomedical and Life Sciences</v>
      </c>
      <c r="L1324" s="1" t="str">
        <f ca="1">IFERROR(__xludf.DUMMYFUNCTION("""COMPUTED_VALUE"""),"〇")</f>
        <v>〇</v>
      </c>
      <c r="M1324" s="1" t="str">
        <f ca="1">IFERROR(__xludf.DUMMYFUNCTION("""COMPUTED_VALUE"""),"〇")</f>
        <v>〇</v>
      </c>
      <c r="N1324" s="1"/>
      <c r="O1324" s="1"/>
      <c r="P1324" s="1"/>
    </row>
    <row r="1325" spans="1:16" ht="14.25" customHeight="1" x14ac:dyDescent="0.25">
      <c r="A1325" s="1"/>
      <c r="B1325" s="1">
        <f ca="1"/>
        <v>1313</v>
      </c>
      <c r="C1325" s="1">
        <f ca="1">IFERROR(__xludf.DUMMYFUNCTION("""COMPUTED_VALUE"""),2023)</f>
        <v>2023</v>
      </c>
      <c r="D1325" s="1">
        <f ca="1">IFERROR(__xludf.DUMMYFUNCTION("""COMPUTED_VALUE"""),894)</f>
        <v>894</v>
      </c>
      <c r="E1325" s="1" t="str">
        <f ca="1">IFERROR(__xludf.DUMMYFUNCTION("""COMPUTED_VALUE"""),"Journal of Molecular Modeling")</f>
        <v>Journal of Molecular Modeling</v>
      </c>
      <c r="F1325" s="1" t="str">
        <f ca="1">IFERROR(__xludf.DUMMYFUNCTION("""COMPUTED_VALUE"""),"0948-5023")</f>
        <v>0948-5023</v>
      </c>
      <c r="G1325" s="1" t="str">
        <f ca="1">IFERROR(__xludf.DUMMYFUNCTION("""COMPUTED_VALUE"""),"1610-2940")</f>
        <v>1610-2940</v>
      </c>
      <c r="H1325" s="27" t="str">
        <f ca="1">IFERROR(__xludf.DUMMYFUNCTION("""COMPUTED_VALUE"""),"https://link.springer.com/journal/894")</f>
        <v>https://link.springer.com/journal/894</v>
      </c>
      <c r="I1325" s="1" t="str">
        <f ca="1">IFERROR(__xludf.DUMMYFUNCTION("""COMPUTED_VALUE"""),"Springer")</f>
        <v>Springer</v>
      </c>
      <c r="J1325" s="1">
        <f ca="1">IFERROR(__xludf.DUMMYFUNCTION("""COMPUTED_VALUE"""),2000)</f>
        <v>2000</v>
      </c>
      <c r="K1325" s="1" t="str">
        <f ca="1">IFERROR(__xludf.DUMMYFUNCTION("""COMPUTED_VALUE"""),"Chemistry and Materials Science")</f>
        <v>Chemistry and Materials Science</v>
      </c>
      <c r="L1325" s="1" t="str">
        <f ca="1">IFERROR(__xludf.DUMMYFUNCTION("""COMPUTED_VALUE"""),"〇")</f>
        <v>〇</v>
      </c>
      <c r="M1325" s="1" t="str">
        <f ca="1">IFERROR(__xludf.DUMMYFUNCTION("""COMPUTED_VALUE"""),"〇")</f>
        <v>〇</v>
      </c>
      <c r="N1325" s="1"/>
      <c r="O1325" s="1"/>
      <c r="P1325" s="1"/>
    </row>
    <row r="1326" spans="1:16" ht="14.25" customHeight="1" x14ac:dyDescent="0.25">
      <c r="A1326" s="1"/>
      <c r="B1326" s="1">
        <f ca="1"/>
        <v>1314</v>
      </c>
      <c r="C1326" s="1">
        <f ca="1">IFERROR(__xludf.DUMMYFUNCTION("""COMPUTED_VALUE"""),2023)</f>
        <v>2023</v>
      </c>
      <c r="D1326" s="1">
        <f ca="1">IFERROR(__xludf.DUMMYFUNCTION("""COMPUTED_VALUE"""),12031)</f>
        <v>12031</v>
      </c>
      <c r="E1326" s="1" t="str">
        <f ca="1">IFERROR(__xludf.DUMMYFUNCTION("""COMPUTED_VALUE"""),"Journal of Molecular Neuroscience")</f>
        <v>Journal of Molecular Neuroscience</v>
      </c>
      <c r="F1326" s="1" t="str">
        <f ca="1">IFERROR(__xludf.DUMMYFUNCTION("""COMPUTED_VALUE"""),"1559-1166")</f>
        <v>1559-1166</v>
      </c>
      <c r="G1326" s="1" t="str">
        <f ca="1">IFERROR(__xludf.DUMMYFUNCTION("""COMPUTED_VALUE"""),"0895-8696")</f>
        <v>0895-8696</v>
      </c>
      <c r="H1326" s="27" t="str">
        <f ca="1">IFERROR(__xludf.DUMMYFUNCTION("""COMPUTED_VALUE"""),"https://link.springer.com/journal/12031")</f>
        <v>https://link.springer.com/journal/12031</v>
      </c>
      <c r="I1326" s="1" t="str">
        <f ca="1">IFERROR(__xludf.DUMMYFUNCTION("""COMPUTED_VALUE"""),"Springer")</f>
        <v>Springer</v>
      </c>
      <c r="J1326" s="1">
        <f ca="1">IFERROR(__xludf.DUMMYFUNCTION("""COMPUTED_VALUE"""),2000)</f>
        <v>2000</v>
      </c>
      <c r="K1326" s="1" t="str">
        <f ca="1">IFERROR(__xludf.DUMMYFUNCTION("""COMPUTED_VALUE"""),"Biomedical and Life Sciences")</f>
        <v>Biomedical and Life Sciences</v>
      </c>
      <c r="L1326" s="1" t="str">
        <f ca="1">IFERROR(__xludf.DUMMYFUNCTION("""COMPUTED_VALUE"""),"〇")</f>
        <v>〇</v>
      </c>
      <c r="M1326" s="1" t="str">
        <f ca="1">IFERROR(__xludf.DUMMYFUNCTION("""COMPUTED_VALUE"""),"〇")</f>
        <v>〇</v>
      </c>
      <c r="N1326" s="1" t="str">
        <f ca="1">IFERROR(__xludf.DUMMYFUNCTION("""COMPUTED_VALUE"""),"TO7")</f>
        <v>TO7</v>
      </c>
      <c r="O1326" s="1"/>
      <c r="P1326" s="1"/>
    </row>
    <row r="1327" spans="1:16" ht="14.25" customHeight="1" x14ac:dyDescent="0.25">
      <c r="A1327" s="1"/>
      <c r="B1327" s="1">
        <f ca="1"/>
        <v>1315</v>
      </c>
      <c r="C1327" s="1">
        <f ca="1">IFERROR(__xludf.DUMMYFUNCTION("""COMPUTED_VALUE"""),2023)</f>
        <v>2023</v>
      </c>
      <c r="D1327" s="1">
        <f ca="1">IFERROR(__xludf.DUMMYFUNCTION("""COMPUTED_VALUE"""),11629)</f>
        <v>11629</v>
      </c>
      <c r="E1327" s="1" t="str">
        <f ca="1">IFERROR(__xludf.DUMMYFUNCTION("""COMPUTED_VALUE"""),"Journal of Mountain Science")</f>
        <v>Journal of Mountain Science</v>
      </c>
      <c r="F1327" s="1" t="str">
        <f ca="1">IFERROR(__xludf.DUMMYFUNCTION("""COMPUTED_VALUE"""),"1993-0321")</f>
        <v>1993-0321</v>
      </c>
      <c r="G1327" s="1" t="str">
        <f ca="1">IFERROR(__xludf.DUMMYFUNCTION("""COMPUTED_VALUE"""),"1672-6316")</f>
        <v>1672-6316</v>
      </c>
      <c r="H1327" s="27" t="str">
        <f ca="1">IFERROR(__xludf.DUMMYFUNCTION("""COMPUTED_VALUE"""),"https://link.springer.com/journal/11629")</f>
        <v>https://link.springer.com/journal/11629</v>
      </c>
      <c r="I1327" s="1" t="str">
        <f ca="1">IFERROR(__xludf.DUMMYFUNCTION("""COMPUTED_VALUE"""),"Science Press, co-published with Springer")</f>
        <v>Science Press, co-published with Springer</v>
      </c>
      <c r="J1327" s="1">
        <f ca="1">IFERROR(__xludf.DUMMYFUNCTION("""COMPUTED_VALUE"""),2004)</f>
        <v>2004</v>
      </c>
      <c r="K1327" s="1" t="str">
        <f ca="1">IFERROR(__xludf.DUMMYFUNCTION("""COMPUTED_VALUE"""),"Earth and Environmental Science")</f>
        <v>Earth and Environmental Science</v>
      </c>
      <c r="L1327" s="1" t="str">
        <f ca="1">IFERROR(__xludf.DUMMYFUNCTION("""COMPUTED_VALUE"""),"〇")</f>
        <v>〇</v>
      </c>
      <c r="M1327" s="1" t="str">
        <f ca="1">IFERROR(__xludf.DUMMYFUNCTION("""COMPUTED_VALUE"""),"〇")</f>
        <v>〇</v>
      </c>
      <c r="N1327" s="1" t="str">
        <f ca="1">IFERROR(__xludf.DUMMYFUNCTION("""COMPUTED_VALUE"""),"TO7")</f>
        <v>TO7</v>
      </c>
      <c r="O1327" s="1"/>
      <c r="P1327" s="1"/>
    </row>
    <row r="1328" spans="1:16" ht="14.25" customHeight="1" x14ac:dyDescent="0.25">
      <c r="A1328" s="1"/>
      <c r="B1328" s="1">
        <f ca="1"/>
        <v>1316</v>
      </c>
      <c r="C1328" s="1">
        <f ca="1">IFERROR(__xludf.DUMMYFUNCTION("""COMPUTED_VALUE"""),2023)</f>
        <v>2023</v>
      </c>
      <c r="D1328" s="1">
        <f ca="1">IFERROR(__xludf.DUMMYFUNCTION("""COMPUTED_VALUE"""),10974)</f>
        <v>10974</v>
      </c>
      <c r="E1328" s="1" t="str">
        <f ca="1">IFERROR(__xludf.DUMMYFUNCTION("""COMPUTED_VALUE"""),"Journal of Muscle Research and Cell Motility")</f>
        <v>Journal of Muscle Research and Cell Motility</v>
      </c>
      <c r="F1328" s="1" t="str">
        <f ca="1">IFERROR(__xludf.DUMMYFUNCTION("""COMPUTED_VALUE"""),"1573-2657")</f>
        <v>1573-2657</v>
      </c>
      <c r="G1328" s="1" t="str">
        <f ca="1">IFERROR(__xludf.DUMMYFUNCTION("""COMPUTED_VALUE"""),"0142-4319")</f>
        <v>0142-4319</v>
      </c>
      <c r="H1328" s="27" t="str">
        <f ca="1">IFERROR(__xludf.DUMMYFUNCTION("""COMPUTED_VALUE"""),"https://link.springer.com/journal/10974")</f>
        <v>https://link.springer.com/journal/10974</v>
      </c>
      <c r="I1328" s="1" t="str">
        <f ca="1">IFERROR(__xludf.DUMMYFUNCTION("""COMPUTED_VALUE"""),"Springer")</f>
        <v>Springer</v>
      </c>
      <c r="J1328" s="1">
        <f ca="1">IFERROR(__xludf.DUMMYFUNCTION("""COMPUTED_VALUE"""),2000)</f>
        <v>2000</v>
      </c>
      <c r="K1328" s="1" t="str">
        <f ca="1">IFERROR(__xludf.DUMMYFUNCTION("""COMPUTED_VALUE"""),"Biomedical and Life Sciences")</f>
        <v>Biomedical and Life Sciences</v>
      </c>
      <c r="L1328" s="1" t="str">
        <f ca="1">IFERROR(__xludf.DUMMYFUNCTION("""COMPUTED_VALUE"""),"〇")</f>
        <v>〇</v>
      </c>
      <c r="M1328" s="1" t="str">
        <f ca="1">IFERROR(__xludf.DUMMYFUNCTION("""COMPUTED_VALUE"""),"〇")</f>
        <v>〇</v>
      </c>
      <c r="N1328" s="1"/>
      <c r="O1328" s="1"/>
      <c r="P1328" s="1"/>
    </row>
    <row r="1329" spans="1:16" ht="14.25" customHeight="1" x14ac:dyDescent="0.25">
      <c r="A1329" s="1"/>
      <c r="B1329" s="1">
        <f ca="1"/>
        <v>1317</v>
      </c>
      <c r="C1329" s="1">
        <f ca="1">IFERROR(__xludf.DUMMYFUNCTION("""COMPUTED_VALUE"""),2023)</f>
        <v>2023</v>
      </c>
      <c r="D1329" s="1">
        <f ca="1">IFERROR(__xludf.DUMMYFUNCTION("""COMPUTED_VALUE"""),11051)</f>
        <v>11051</v>
      </c>
      <c r="E1329" s="1" t="str">
        <f ca="1">IFERROR(__xludf.DUMMYFUNCTION("""COMPUTED_VALUE"""),"Journal of Nanoparticle Research")</f>
        <v>Journal of Nanoparticle Research</v>
      </c>
      <c r="F1329" s="1" t="str">
        <f ca="1">IFERROR(__xludf.DUMMYFUNCTION("""COMPUTED_VALUE"""),"1572-896X")</f>
        <v>1572-896X</v>
      </c>
      <c r="G1329" s="1" t="str">
        <f ca="1">IFERROR(__xludf.DUMMYFUNCTION("""COMPUTED_VALUE"""),"1388-0764")</f>
        <v>1388-0764</v>
      </c>
      <c r="H1329" s="27" t="str">
        <f ca="1">IFERROR(__xludf.DUMMYFUNCTION("""COMPUTED_VALUE"""),"https://link.springer.com/journal/11051")</f>
        <v>https://link.springer.com/journal/11051</v>
      </c>
      <c r="I1329" s="1" t="str">
        <f ca="1">IFERROR(__xludf.DUMMYFUNCTION("""COMPUTED_VALUE"""),"Springer")</f>
        <v>Springer</v>
      </c>
      <c r="J1329" s="1">
        <f ca="1">IFERROR(__xludf.DUMMYFUNCTION("""COMPUTED_VALUE"""),2000)</f>
        <v>2000</v>
      </c>
      <c r="K1329" s="1" t="str">
        <f ca="1">IFERROR(__xludf.DUMMYFUNCTION("""COMPUTED_VALUE"""),"Chemistry and Materials Science")</f>
        <v>Chemistry and Materials Science</v>
      </c>
      <c r="L1329" s="1" t="str">
        <f ca="1">IFERROR(__xludf.DUMMYFUNCTION("""COMPUTED_VALUE"""),"〇")</f>
        <v>〇</v>
      </c>
      <c r="M1329" s="1" t="str">
        <f ca="1">IFERROR(__xludf.DUMMYFUNCTION("""COMPUTED_VALUE"""),"〇")</f>
        <v>〇</v>
      </c>
      <c r="N1329" s="1"/>
      <c r="O1329" s="1"/>
      <c r="P1329" s="1"/>
    </row>
    <row r="1330" spans="1:16" ht="14.25" customHeight="1" x14ac:dyDescent="0.25">
      <c r="A1330" s="1"/>
      <c r="B1330" s="1">
        <f ca="1"/>
        <v>1318</v>
      </c>
      <c r="C1330" s="1">
        <f ca="1">IFERROR(__xludf.DUMMYFUNCTION("""COMPUTED_VALUE"""),2023)</f>
        <v>2023</v>
      </c>
      <c r="D1330" s="1">
        <f ca="1">IFERROR(__xludf.DUMMYFUNCTION("""COMPUTED_VALUE"""),40097)</f>
        <v>40097</v>
      </c>
      <c r="E1330" s="1" t="str">
        <f ca="1">IFERROR(__xludf.DUMMYFUNCTION("""COMPUTED_VALUE"""),"Journal of Nanostructure in Chemistry")</f>
        <v>Journal of Nanostructure in Chemistry</v>
      </c>
      <c r="F1330" s="1" t="str">
        <f ca="1">IFERROR(__xludf.DUMMYFUNCTION("""COMPUTED_VALUE"""),"2193-8865")</f>
        <v>2193-8865</v>
      </c>
      <c r="G1330" s="1"/>
      <c r="H1330" s="27" t="str">
        <f ca="1">IFERROR(__xludf.DUMMYFUNCTION("""COMPUTED_VALUE"""),"https://link.springer.com/journal/40097")</f>
        <v>https://link.springer.com/journal/40097</v>
      </c>
      <c r="I1330" s="1" t="str">
        <f ca="1">IFERROR(__xludf.DUMMYFUNCTION("""COMPUTED_VALUE"""),"Springer")</f>
        <v>Springer</v>
      </c>
      <c r="J1330" s="1">
        <f ca="1">IFERROR(__xludf.DUMMYFUNCTION("""COMPUTED_VALUE"""),2012)</f>
        <v>2012</v>
      </c>
      <c r="K1330" s="1" t="str">
        <f ca="1">IFERROR(__xludf.DUMMYFUNCTION("""COMPUTED_VALUE"""),"Chemistry and Materials Science")</f>
        <v>Chemistry and Materials Science</v>
      </c>
      <c r="L1330" s="1"/>
      <c r="M1330" s="1"/>
      <c r="N1330" s="1"/>
      <c r="O1330" s="1"/>
      <c r="P1330" s="1"/>
    </row>
    <row r="1331" spans="1:16" ht="14.25" customHeight="1" x14ac:dyDescent="0.25">
      <c r="A1331" s="1"/>
      <c r="B1331" s="1">
        <f ca="1"/>
        <v>1319</v>
      </c>
      <c r="C1331" s="1">
        <f ca="1">IFERROR(__xludf.DUMMYFUNCTION("""COMPUTED_VALUE"""),2023)</f>
        <v>2023</v>
      </c>
      <c r="D1331" s="1">
        <f ca="1">IFERROR(__xludf.DUMMYFUNCTION("""COMPUTED_VALUE"""),11418)</f>
        <v>11418</v>
      </c>
      <c r="E1331" s="1" t="str">
        <f ca="1">IFERROR(__xludf.DUMMYFUNCTION("""COMPUTED_VALUE"""),"Journal of Natural Medicines")</f>
        <v>Journal of Natural Medicines</v>
      </c>
      <c r="F1331" s="1" t="str">
        <f ca="1">IFERROR(__xludf.DUMMYFUNCTION("""COMPUTED_VALUE"""),"1861-0293")</f>
        <v>1861-0293</v>
      </c>
      <c r="G1331" s="1" t="str">
        <f ca="1">IFERROR(__xludf.DUMMYFUNCTION("""COMPUTED_VALUE"""),"1340-3443")</f>
        <v>1340-3443</v>
      </c>
      <c r="H1331" s="27" t="str">
        <f ca="1">IFERROR(__xludf.DUMMYFUNCTION("""COMPUTED_VALUE"""),"https://link.springer.com/journal/11418")</f>
        <v>https://link.springer.com/journal/11418</v>
      </c>
      <c r="I1331" s="1" t="str">
        <f ca="1">IFERROR(__xludf.DUMMYFUNCTION("""COMPUTED_VALUE"""),"Springer")</f>
        <v>Springer</v>
      </c>
      <c r="J1331" s="1">
        <f ca="1">IFERROR(__xludf.DUMMYFUNCTION("""COMPUTED_VALUE"""),2006)</f>
        <v>2006</v>
      </c>
      <c r="K1331" s="1" t="str">
        <f ca="1">IFERROR(__xludf.DUMMYFUNCTION("""COMPUTED_VALUE"""),"Biomedical and Life Sciences")</f>
        <v>Biomedical and Life Sciences</v>
      </c>
      <c r="L1331" s="1" t="str">
        <f ca="1">IFERROR(__xludf.DUMMYFUNCTION("""COMPUTED_VALUE"""),"〇")</f>
        <v>〇</v>
      </c>
      <c r="M1331" s="1" t="str">
        <f ca="1">IFERROR(__xludf.DUMMYFUNCTION("""COMPUTED_VALUE"""),"〇")</f>
        <v>〇</v>
      </c>
      <c r="N1331" s="1"/>
      <c r="O1331" s="1"/>
      <c r="P1331" s="1"/>
    </row>
    <row r="1332" spans="1:16" ht="14.25" customHeight="1" x14ac:dyDescent="0.25">
      <c r="A1332" s="1"/>
      <c r="B1332" s="1">
        <f ca="1"/>
        <v>1320</v>
      </c>
      <c r="C1332" s="1">
        <f ca="1">IFERROR(__xludf.DUMMYFUNCTION("""COMPUTED_VALUE"""),2023)</f>
        <v>2023</v>
      </c>
      <c r="D1332" s="1">
        <f ca="1">IFERROR(__xludf.DUMMYFUNCTION("""COMPUTED_VALUE"""),40620)</f>
        <v>40620</v>
      </c>
      <c r="E1332" s="1" t="str">
        <f ca="1">IFERROR(__xludf.DUMMYFUNCTION("""COMPUTED_VALUE"""),"Journal of Nephrology")</f>
        <v>Journal of Nephrology</v>
      </c>
      <c r="F1332" s="1" t="str">
        <f ca="1">IFERROR(__xludf.DUMMYFUNCTION("""COMPUTED_VALUE"""),"1724-6059")</f>
        <v>1724-6059</v>
      </c>
      <c r="G1332" s="1"/>
      <c r="H1332" s="27" t="str">
        <f ca="1">IFERROR(__xludf.DUMMYFUNCTION("""COMPUTED_VALUE"""),"https://link.springer.com/journal/40620")</f>
        <v>https://link.springer.com/journal/40620</v>
      </c>
      <c r="I1332" s="1" t="str">
        <f ca="1">IFERROR(__xludf.DUMMYFUNCTION("""COMPUTED_VALUE"""),"Springer")</f>
        <v>Springer</v>
      </c>
      <c r="J1332" s="1">
        <f ca="1">IFERROR(__xludf.DUMMYFUNCTION("""COMPUTED_VALUE"""),2014)</f>
        <v>2014</v>
      </c>
      <c r="K1332" s="1" t="str">
        <f ca="1">IFERROR(__xludf.DUMMYFUNCTION("""COMPUTED_VALUE"""),"Medicine")</f>
        <v>Medicine</v>
      </c>
      <c r="L1332" s="1"/>
      <c r="M1332" s="1"/>
      <c r="N1332" s="1" t="str">
        <f ca="1">IFERROR(__xludf.DUMMYFUNCTION("""COMPUTED_VALUE"""),"TO14")</f>
        <v>TO14</v>
      </c>
      <c r="O1332" s="1"/>
      <c r="P1332" s="1"/>
    </row>
    <row r="1333" spans="1:16" ht="14.25" customHeight="1" x14ac:dyDescent="0.25">
      <c r="A1333" s="1"/>
      <c r="B1333" s="1">
        <f ca="1"/>
        <v>1321</v>
      </c>
      <c r="C1333" s="1">
        <f ca="1">IFERROR(__xludf.DUMMYFUNCTION("""COMPUTED_VALUE"""),2023)</f>
        <v>2023</v>
      </c>
      <c r="D1333" s="1">
        <f ca="1">IFERROR(__xludf.DUMMYFUNCTION("""COMPUTED_VALUE"""),10922)</f>
        <v>10922</v>
      </c>
      <c r="E1333" s="1" t="str">
        <f ca="1">IFERROR(__xludf.DUMMYFUNCTION("""COMPUTED_VALUE"""),"Journal of Network and Systems Management")</f>
        <v>Journal of Network and Systems Management</v>
      </c>
      <c r="F1333" s="1" t="str">
        <f ca="1">IFERROR(__xludf.DUMMYFUNCTION("""COMPUTED_VALUE"""),"1573-7705")</f>
        <v>1573-7705</v>
      </c>
      <c r="G1333" s="1" t="str">
        <f ca="1">IFERROR(__xludf.DUMMYFUNCTION("""COMPUTED_VALUE"""),"1064-7570")</f>
        <v>1064-7570</v>
      </c>
      <c r="H1333" s="27" t="str">
        <f ca="1">IFERROR(__xludf.DUMMYFUNCTION("""COMPUTED_VALUE"""),"https://link.springer.com/journal/10922")</f>
        <v>https://link.springer.com/journal/10922</v>
      </c>
      <c r="I1333" s="1" t="str">
        <f ca="1">IFERROR(__xludf.DUMMYFUNCTION("""COMPUTED_VALUE"""),"Springer")</f>
        <v>Springer</v>
      </c>
      <c r="J1333" s="1">
        <f ca="1">IFERROR(__xludf.DUMMYFUNCTION("""COMPUTED_VALUE"""),2000)</f>
        <v>2000</v>
      </c>
      <c r="K1333" s="1" t="str">
        <f ca="1">IFERROR(__xludf.DUMMYFUNCTION("""COMPUTED_VALUE"""),"Computer Science")</f>
        <v>Computer Science</v>
      </c>
      <c r="L1333" s="1" t="str">
        <f ca="1">IFERROR(__xludf.DUMMYFUNCTION("""COMPUTED_VALUE"""),"〇")</f>
        <v>〇</v>
      </c>
      <c r="M1333" s="1" t="str">
        <f ca="1">IFERROR(__xludf.DUMMYFUNCTION("""COMPUTED_VALUE"""),"〇")</f>
        <v>〇</v>
      </c>
      <c r="N1333" s="1"/>
      <c r="O1333" s="1"/>
      <c r="P1333" s="1"/>
    </row>
    <row r="1334" spans="1:16" ht="14.25" customHeight="1" x14ac:dyDescent="0.25">
      <c r="A1334" s="1"/>
      <c r="B1334" s="1">
        <f ca="1"/>
        <v>1322</v>
      </c>
      <c r="C1334" s="1">
        <f ca="1">IFERROR(__xludf.DUMMYFUNCTION("""COMPUTED_VALUE"""),2023)</f>
        <v>2023</v>
      </c>
      <c r="D1334" s="1">
        <f ca="1">IFERROR(__xludf.DUMMYFUNCTION("""COMPUTED_VALUE"""),702)</f>
        <v>702</v>
      </c>
      <c r="E1334" s="1" t="str">
        <f ca="1">IFERROR(__xludf.DUMMYFUNCTION("""COMPUTED_VALUE"""),"Journal of Neural Transmission")</f>
        <v>Journal of Neural Transmission</v>
      </c>
      <c r="F1334" s="1" t="str">
        <f ca="1">IFERROR(__xludf.DUMMYFUNCTION("""COMPUTED_VALUE"""),"1435-1463")</f>
        <v>1435-1463</v>
      </c>
      <c r="G1334" s="1" t="str">
        <f ca="1">IFERROR(__xludf.DUMMYFUNCTION("""COMPUTED_VALUE"""),"0300-9564")</f>
        <v>0300-9564</v>
      </c>
      <c r="H1334" s="27" t="str">
        <f ca="1">IFERROR(__xludf.DUMMYFUNCTION("""COMPUTED_VALUE"""),"https://link.springer.com/journal/702")</f>
        <v>https://link.springer.com/journal/702</v>
      </c>
      <c r="I1334" s="1" t="str">
        <f ca="1">IFERROR(__xludf.DUMMYFUNCTION("""COMPUTED_VALUE"""),"Springer")</f>
        <v>Springer</v>
      </c>
      <c r="J1334" s="1">
        <f ca="1">IFERROR(__xludf.DUMMYFUNCTION("""COMPUTED_VALUE"""),2000)</f>
        <v>2000</v>
      </c>
      <c r="K1334" s="1" t="str">
        <f ca="1">IFERROR(__xludf.DUMMYFUNCTION("""COMPUTED_VALUE"""),"Medicine")</f>
        <v>Medicine</v>
      </c>
      <c r="L1334" s="1" t="str">
        <f ca="1">IFERROR(__xludf.DUMMYFUNCTION("""COMPUTED_VALUE"""),"〇")</f>
        <v>〇</v>
      </c>
      <c r="M1334" s="1" t="str">
        <f ca="1">IFERROR(__xludf.DUMMYFUNCTION("""COMPUTED_VALUE"""),"〇")</f>
        <v>〇</v>
      </c>
      <c r="N1334" s="1"/>
      <c r="O1334" s="1"/>
      <c r="P1334" s="1"/>
    </row>
    <row r="1335" spans="1:16" ht="14.25" customHeight="1" x14ac:dyDescent="0.25">
      <c r="A1335" s="1"/>
      <c r="B1335" s="1">
        <f ca="1"/>
        <v>1323</v>
      </c>
      <c r="C1335" s="1">
        <f ca="1">IFERROR(__xludf.DUMMYFUNCTION("""COMPUTED_VALUE"""),2023)</f>
        <v>2023</v>
      </c>
      <c r="D1335" s="1">
        <f ca="1">IFERROR(__xludf.DUMMYFUNCTION("""COMPUTED_VALUE"""),11481)</f>
        <v>11481</v>
      </c>
      <c r="E1335" s="1" t="str">
        <f ca="1">IFERROR(__xludf.DUMMYFUNCTION("""COMPUTED_VALUE"""),"Journal of Neuroimmune Pharmacology")</f>
        <v>Journal of Neuroimmune Pharmacology</v>
      </c>
      <c r="F1335" s="1" t="str">
        <f ca="1">IFERROR(__xludf.DUMMYFUNCTION("""COMPUTED_VALUE"""),"1557-1904")</f>
        <v>1557-1904</v>
      </c>
      <c r="G1335" s="1" t="str">
        <f ca="1">IFERROR(__xludf.DUMMYFUNCTION("""COMPUTED_VALUE"""),"1557-1890")</f>
        <v>1557-1890</v>
      </c>
      <c r="H1335" s="27" t="str">
        <f ca="1">IFERROR(__xludf.DUMMYFUNCTION("""COMPUTED_VALUE"""),"https://link.springer.com/journal/11481")</f>
        <v>https://link.springer.com/journal/11481</v>
      </c>
      <c r="I1335" s="1" t="str">
        <f ca="1">IFERROR(__xludf.DUMMYFUNCTION("""COMPUTED_VALUE"""),"Springer")</f>
        <v>Springer</v>
      </c>
      <c r="J1335" s="1">
        <f ca="1">IFERROR(__xludf.DUMMYFUNCTION("""COMPUTED_VALUE"""),2006)</f>
        <v>2006</v>
      </c>
      <c r="K1335" s="1" t="str">
        <f ca="1">IFERROR(__xludf.DUMMYFUNCTION("""COMPUTED_VALUE"""),"Biomedical and Life Sciences")</f>
        <v>Biomedical and Life Sciences</v>
      </c>
      <c r="L1335" s="1" t="str">
        <f ca="1">IFERROR(__xludf.DUMMYFUNCTION("""COMPUTED_VALUE"""),"〇")</f>
        <v>〇</v>
      </c>
      <c r="M1335" s="1" t="str">
        <f ca="1">IFERROR(__xludf.DUMMYFUNCTION("""COMPUTED_VALUE"""),"〇")</f>
        <v>〇</v>
      </c>
      <c r="N1335" s="1"/>
      <c r="O1335" s="1"/>
      <c r="P1335" s="1"/>
    </row>
    <row r="1336" spans="1:16" ht="14.25" customHeight="1" x14ac:dyDescent="0.25">
      <c r="A1336" s="1"/>
      <c r="B1336" s="1">
        <f ca="1"/>
        <v>1324</v>
      </c>
      <c r="C1336" s="1">
        <f ca="1">IFERROR(__xludf.DUMMYFUNCTION("""COMPUTED_VALUE"""),2023)</f>
        <v>2023</v>
      </c>
      <c r="D1336" s="1">
        <f ca="1">IFERROR(__xludf.DUMMYFUNCTION("""COMPUTED_VALUE"""),415)</f>
        <v>415</v>
      </c>
      <c r="E1336" s="1" t="str">
        <f ca="1">IFERROR(__xludf.DUMMYFUNCTION("""COMPUTED_VALUE"""),"Journal of Neurology")</f>
        <v>Journal of Neurology</v>
      </c>
      <c r="F1336" s="1" t="str">
        <f ca="1">IFERROR(__xludf.DUMMYFUNCTION("""COMPUTED_VALUE"""),"1432-1459")</f>
        <v>1432-1459</v>
      </c>
      <c r="G1336" s="1" t="str">
        <f ca="1">IFERROR(__xludf.DUMMYFUNCTION("""COMPUTED_VALUE"""),"0340-5354")</f>
        <v>0340-5354</v>
      </c>
      <c r="H1336" s="27" t="str">
        <f ca="1">IFERROR(__xludf.DUMMYFUNCTION("""COMPUTED_VALUE"""),"https://link.springer.com/journal/415")</f>
        <v>https://link.springer.com/journal/415</v>
      </c>
      <c r="I1336" s="1" t="str">
        <f ca="1">IFERROR(__xludf.DUMMYFUNCTION("""COMPUTED_VALUE"""),"Springer")</f>
        <v>Springer</v>
      </c>
      <c r="J1336" s="1">
        <f ca="1">IFERROR(__xludf.DUMMYFUNCTION("""COMPUTED_VALUE"""),2000)</f>
        <v>2000</v>
      </c>
      <c r="K1336" s="1" t="str">
        <f ca="1">IFERROR(__xludf.DUMMYFUNCTION("""COMPUTED_VALUE"""),"Medicine")</f>
        <v>Medicine</v>
      </c>
      <c r="L1336" s="1" t="str">
        <f ca="1">IFERROR(__xludf.DUMMYFUNCTION("""COMPUTED_VALUE"""),"〇")</f>
        <v>〇</v>
      </c>
      <c r="M1336" s="1" t="str">
        <f ca="1">IFERROR(__xludf.DUMMYFUNCTION("""COMPUTED_VALUE"""),"〇")</f>
        <v>〇</v>
      </c>
      <c r="N1336" s="1"/>
      <c r="O1336" s="1"/>
      <c r="P1336" s="1"/>
    </row>
    <row r="1337" spans="1:16" ht="14.25" customHeight="1" x14ac:dyDescent="0.25">
      <c r="A1337" s="1"/>
      <c r="B1337" s="1">
        <f ca="1"/>
        <v>1325</v>
      </c>
      <c r="C1337" s="1">
        <f ca="1">IFERROR(__xludf.DUMMYFUNCTION("""COMPUTED_VALUE"""),2023)</f>
        <v>2023</v>
      </c>
      <c r="D1337" s="1">
        <f ca="1">IFERROR(__xludf.DUMMYFUNCTION("""COMPUTED_VALUE"""),11060)</f>
        <v>11060</v>
      </c>
      <c r="E1337" s="1" t="str">
        <f ca="1">IFERROR(__xludf.DUMMYFUNCTION("""COMPUTED_VALUE"""),"Journal of Neuro-Oncology")</f>
        <v>Journal of Neuro-Oncology</v>
      </c>
      <c r="F1337" s="1" t="str">
        <f ca="1">IFERROR(__xludf.DUMMYFUNCTION("""COMPUTED_VALUE"""),"1573-7373")</f>
        <v>1573-7373</v>
      </c>
      <c r="G1337" s="1"/>
      <c r="H1337" s="27" t="str">
        <f ca="1">IFERROR(__xludf.DUMMYFUNCTION("""COMPUTED_VALUE"""),"https://link.springer.com/journal/11060")</f>
        <v>https://link.springer.com/journal/11060</v>
      </c>
      <c r="I1337" s="1" t="str">
        <f ca="1">IFERROR(__xludf.DUMMYFUNCTION("""COMPUTED_VALUE"""),"Springer")</f>
        <v>Springer</v>
      </c>
      <c r="J1337" s="1">
        <f ca="1">IFERROR(__xludf.DUMMYFUNCTION("""COMPUTED_VALUE"""),2000)</f>
        <v>2000</v>
      </c>
      <c r="K1337" s="1" t="str">
        <f ca="1">IFERROR(__xludf.DUMMYFUNCTION("""COMPUTED_VALUE"""),"Medicine")</f>
        <v>Medicine</v>
      </c>
      <c r="L1337" s="1"/>
      <c r="M1337" s="1" t="str">
        <f ca="1">IFERROR(__xludf.DUMMYFUNCTION("""COMPUTED_VALUE"""),"〇")</f>
        <v>〇</v>
      </c>
      <c r="N1337" s="1"/>
      <c r="O1337" s="1"/>
      <c r="P1337" s="1"/>
    </row>
    <row r="1338" spans="1:16" ht="14.25" customHeight="1" x14ac:dyDescent="0.25">
      <c r="A1338" s="1"/>
      <c r="B1338" s="1">
        <f ca="1"/>
        <v>1326</v>
      </c>
      <c r="C1338" s="1">
        <f ca="1">IFERROR(__xludf.DUMMYFUNCTION("""COMPUTED_VALUE"""),2023)</f>
        <v>2023</v>
      </c>
      <c r="D1338" s="1">
        <f ca="1">IFERROR(__xludf.DUMMYFUNCTION("""COMPUTED_VALUE"""),13365)</f>
        <v>13365</v>
      </c>
      <c r="E1338" s="1" t="str">
        <f ca="1">IFERROR(__xludf.DUMMYFUNCTION("""COMPUTED_VALUE"""),"Journal of NeuroVirology")</f>
        <v>Journal of NeuroVirology</v>
      </c>
      <c r="F1338" s="1" t="str">
        <f ca="1">IFERROR(__xludf.DUMMYFUNCTION("""COMPUTED_VALUE"""),"1538-2443")</f>
        <v>1538-2443</v>
      </c>
      <c r="G1338" s="1" t="str">
        <f ca="1">IFERROR(__xludf.DUMMYFUNCTION("""COMPUTED_VALUE"""),"1355-0284")</f>
        <v>1355-0284</v>
      </c>
      <c r="H1338" s="27" t="str">
        <f ca="1">IFERROR(__xludf.DUMMYFUNCTION("""COMPUTED_VALUE"""),"https://link.springer.com/journal/13365")</f>
        <v>https://link.springer.com/journal/13365</v>
      </c>
      <c r="I1338" s="1" t="str">
        <f ca="1">IFERROR(__xludf.DUMMYFUNCTION("""COMPUTED_VALUE"""),"Springer")</f>
        <v>Springer</v>
      </c>
      <c r="J1338" s="1">
        <f ca="1">IFERROR(__xludf.DUMMYFUNCTION("""COMPUTED_VALUE"""),2001)</f>
        <v>2001</v>
      </c>
      <c r="K1338" s="1" t="str">
        <f ca="1">IFERROR(__xludf.DUMMYFUNCTION("""COMPUTED_VALUE"""),"Biomedical and Life Sciences")</f>
        <v>Biomedical and Life Sciences</v>
      </c>
      <c r="L1338" s="1" t="str">
        <f ca="1">IFERROR(__xludf.DUMMYFUNCTION("""COMPUTED_VALUE"""),"〇")</f>
        <v>〇</v>
      </c>
      <c r="M1338" s="1"/>
      <c r="N1338" s="1" t="str">
        <f ca="1">IFERROR(__xludf.DUMMYFUNCTION("""COMPUTED_VALUE"""),"TO11")</f>
        <v>TO11</v>
      </c>
      <c r="O1338" s="1"/>
      <c r="P1338" s="1"/>
    </row>
    <row r="1339" spans="1:16" ht="14.25" customHeight="1" x14ac:dyDescent="0.25">
      <c r="A1339" s="1"/>
      <c r="B1339" s="1">
        <f ca="1"/>
        <v>1327</v>
      </c>
      <c r="C1339" s="1">
        <f ca="1">IFERROR(__xludf.DUMMYFUNCTION("""COMPUTED_VALUE"""),2023)</f>
        <v>2023</v>
      </c>
      <c r="D1339" s="1">
        <f ca="1">IFERROR(__xludf.DUMMYFUNCTION("""COMPUTED_VALUE"""),10921)</f>
        <v>10921</v>
      </c>
      <c r="E1339" s="1" t="str">
        <f ca="1">IFERROR(__xludf.DUMMYFUNCTION("""COMPUTED_VALUE"""),"Journal of Nondestructive Evaluation")</f>
        <v>Journal of Nondestructive Evaluation</v>
      </c>
      <c r="F1339" s="1" t="str">
        <f ca="1">IFERROR(__xludf.DUMMYFUNCTION("""COMPUTED_VALUE"""),"1573-4862")</f>
        <v>1573-4862</v>
      </c>
      <c r="G1339" s="1" t="str">
        <f ca="1">IFERROR(__xludf.DUMMYFUNCTION("""COMPUTED_VALUE"""),"0195-9298")</f>
        <v>0195-9298</v>
      </c>
      <c r="H1339" s="27" t="str">
        <f ca="1">IFERROR(__xludf.DUMMYFUNCTION("""COMPUTED_VALUE"""),"https://link.springer.com/journal/10921")</f>
        <v>https://link.springer.com/journal/10921</v>
      </c>
      <c r="I1339" s="1" t="str">
        <f ca="1">IFERROR(__xludf.DUMMYFUNCTION("""COMPUTED_VALUE"""),"Springer")</f>
        <v>Springer</v>
      </c>
      <c r="J1339" s="1">
        <f ca="1">IFERROR(__xludf.DUMMYFUNCTION("""COMPUTED_VALUE"""),2000)</f>
        <v>2000</v>
      </c>
      <c r="K1339" s="1" t="str">
        <f ca="1">IFERROR(__xludf.DUMMYFUNCTION("""COMPUTED_VALUE"""),"Engineering")</f>
        <v>Engineering</v>
      </c>
      <c r="L1339" s="1" t="str">
        <f ca="1">IFERROR(__xludf.DUMMYFUNCTION("""COMPUTED_VALUE"""),"〇")</f>
        <v>〇</v>
      </c>
      <c r="M1339" s="1" t="str">
        <f ca="1">IFERROR(__xludf.DUMMYFUNCTION("""COMPUTED_VALUE"""),"〇")</f>
        <v>〇</v>
      </c>
      <c r="N1339" s="1"/>
      <c r="O1339" s="1"/>
      <c r="P1339" s="1"/>
    </row>
    <row r="1340" spans="1:16" ht="14.25" customHeight="1" x14ac:dyDescent="0.25">
      <c r="A1340" s="1"/>
      <c r="B1340" s="1">
        <f ca="1"/>
        <v>1328</v>
      </c>
      <c r="C1340" s="1">
        <f ca="1">IFERROR(__xludf.DUMMYFUNCTION("""COMPUTED_VALUE"""),2023)</f>
        <v>2023</v>
      </c>
      <c r="D1340" s="1">
        <f ca="1">IFERROR(__xludf.DUMMYFUNCTION("""COMPUTED_VALUE"""),332)</f>
        <v>332</v>
      </c>
      <c r="E1340" s="1" t="str">
        <f ca="1">IFERROR(__xludf.DUMMYFUNCTION("""COMPUTED_VALUE"""),"Journal of Nonlinear Science")</f>
        <v>Journal of Nonlinear Science</v>
      </c>
      <c r="F1340" s="1" t="str">
        <f ca="1">IFERROR(__xludf.DUMMYFUNCTION("""COMPUTED_VALUE"""),"1432-1467")</f>
        <v>1432-1467</v>
      </c>
      <c r="G1340" s="1" t="str">
        <f ca="1">IFERROR(__xludf.DUMMYFUNCTION("""COMPUTED_VALUE"""),"0938-8974")</f>
        <v>0938-8974</v>
      </c>
      <c r="H1340" s="27" t="str">
        <f ca="1">IFERROR(__xludf.DUMMYFUNCTION("""COMPUTED_VALUE"""),"https://link.springer.com/journal/332")</f>
        <v>https://link.springer.com/journal/332</v>
      </c>
      <c r="I1340" s="1" t="str">
        <f ca="1">IFERROR(__xludf.DUMMYFUNCTION("""COMPUTED_VALUE"""),"Springer")</f>
        <v>Springer</v>
      </c>
      <c r="J1340" s="1">
        <f ca="1">IFERROR(__xludf.DUMMYFUNCTION("""COMPUTED_VALUE"""),2000)</f>
        <v>2000</v>
      </c>
      <c r="K1340" s="1" t="str">
        <f ca="1">IFERROR(__xludf.DUMMYFUNCTION("""COMPUTED_VALUE"""),"Mathematics and Statistics")</f>
        <v>Mathematics and Statistics</v>
      </c>
      <c r="L1340" s="1" t="str">
        <f ca="1">IFERROR(__xludf.DUMMYFUNCTION("""COMPUTED_VALUE"""),"〇")</f>
        <v>〇</v>
      </c>
      <c r="M1340" s="1" t="str">
        <f ca="1">IFERROR(__xludf.DUMMYFUNCTION("""COMPUTED_VALUE"""),"〇")</f>
        <v>〇</v>
      </c>
      <c r="N1340" s="1"/>
      <c r="O1340" s="1"/>
      <c r="P1340" s="1"/>
    </row>
    <row r="1341" spans="1:16" ht="14.25" customHeight="1" x14ac:dyDescent="0.25">
      <c r="A1341" s="1"/>
      <c r="B1341" s="1">
        <f ca="1"/>
        <v>1329</v>
      </c>
      <c r="C1341" s="1">
        <f ca="1">IFERROR(__xludf.DUMMYFUNCTION("""COMPUTED_VALUE"""),2023)</f>
        <v>2023</v>
      </c>
      <c r="D1341" s="1">
        <f ca="1">IFERROR(__xludf.DUMMYFUNCTION("""COMPUTED_VALUE"""),10919)</f>
        <v>10919</v>
      </c>
      <c r="E1341" s="1" t="str">
        <f ca="1">IFERROR(__xludf.DUMMYFUNCTION("""COMPUTED_VALUE"""),"Journal of Nonverbal Behavior")</f>
        <v>Journal of Nonverbal Behavior</v>
      </c>
      <c r="F1341" s="1" t="str">
        <f ca="1">IFERROR(__xludf.DUMMYFUNCTION("""COMPUTED_VALUE"""),"1573-3653")</f>
        <v>1573-3653</v>
      </c>
      <c r="G1341" s="1" t="str">
        <f ca="1">IFERROR(__xludf.DUMMYFUNCTION("""COMPUTED_VALUE"""),"0191-5886")</f>
        <v>0191-5886</v>
      </c>
      <c r="H1341" s="27" t="str">
        <f ca="1">IFERROR(__xludf.DUMMYFUNCTION("""COMPUTED_VALUE"""),"https://link.springer.com/journal/10919")</f>
        <v>https://link.springer.com/journal/10919</v>
      </c>
      <c r="I1341" s="1" t="str">
        <f ca="1">IFERROR(__xludf.DUMMYFUNCTION("""COMPUTED_VALUE"""),"Springer")</f>
        <v>Springer</v>
      </c>
      <c r="J1341" s="1">
        <f ca="1">IFERROR(__xludf.DUMMYFUNCTION("""COMPUTED_VALUE"""),2000)</f>
        <v>2000</v>
      </c>
      <c r="K1341" s="1" t="str">
        <f ca="1">IFERROR(__xludf.DUMMYFUNCTION("""COMPUTED_VALUE"""),"Behavioral Science and Psychology")</f>
        <v>Behavioral Science and Psychology</v>
      </c>
      <c r="L1341" s="1" t="str">
        <f ca="1">IFERROR(__xludf.DUMMYFUNCTION("""COMPUTED_VALUE"""),"〇")</f>
        <v>〇</v>
      </c>
      <c r="M1341" s="1" t="str">
        <f ca="1">IFERROR(__xludf.DUMMYFUNCTION("""COMPUTED_VALUE"""),"〇")</f>
        <v>〇</v>
      </c>
      <c r="N1341" s="1"/>
      <c r="O1341" s="1"/>
      <c r="P1341" s="1"/>
    </row>
    <row r="1342" spans="1:16" ht="14.25" customHeight="1" x14ac:dyDescent="0.25">
      <c r="A1342" s="1"/>
      <c r="B1342" s="1">
        <f ca="1"/>
        <v>1330</v>
      </c>
      <c r="C1342" s="1">
        <f ca="1">IFERROR(__xludf.DUMMYFUNCTION("""COMPUTED_VALUE"""),2023)</f>
        <v>2023</v>
      </c>
      <c r="D1342" s="1">
        <f ca="1">IFERROR(__xludf.DUMMYFUNCTION("""COMPUTED_VALUE"""),12350)</f>
        <v>12350</v>
      </c>
      <c r="E1342" s="1" t="str">
        <f ca="1">IFERROR(__xludf.DUMMYFUNCTION("""COMPUTED_VALUE"""),"Journal of Nuclear Cardiology")</f>
        <v>Journal of Nuclear Cardiology</v>
      </c>
      <c r="F1342" s="1" t="str">
        <f ca="1">IFERROR(__xludf.DUMMYFUNCTION("""COMPUTED_VALUE"""),"1532-6551")</f>
        <v>1532-6551</v>
      </c>
      <c r="G1342" s="1" t="str">
        <f ca="1">IFERROR(__xludf.DUMMYFUNCTION("""COMPUTED_VALUE"""),"1071-3581")</f>
        <v>1071-3581</v>
      </c>
      <c r="H1342" s="27" t="str">
        <f ca="1">IFERROR(__xludf.DUMMYFUNCTION("""COMPUTED_VALUE"""),"https://link.springer.com/journal/12350")</f>
        <v>https://link.springer.com/journal/12350</v>
      </c>
      <c r="I1342" s="1" t="str">
        <f ca="1">IFERROR(__xludf.DUMMYFUNCTION("""COMPUTED_VALUE"""),"Springer")</f>
        <v>Springer</v>
      </c>
      <c r="J1342" s="1">
        <f ca="1">IFERROR(__xludf.DUMMYFUNCTION("""COMPUTED_VALUE"""),2000)</f>
        <v>2000</v>
      </c>
      <c r="K1342" s="1" t="str">
        <f ca="1">IFERROR(__xludf.DUMMYFUNCTION("""COMPUTED_VALUE"""),"Medicine")</f>
        <v>Medicine</v>
      </c>
      <c r="L1342" s="1" t="str">
        <f ca="1">IFERROR(__xludf.DUMMYFUNCTION("""COMPUTED_VALUE"""),"〇")</f>
        <v>〇</v>
      </c>
      <c r="M1342" s="1"/>
      <c r="N1342" s="1" t="str">
        <f ca="1">IFERROR(__xludf.DUMMYFUNCTION("""COMPUTED_VALUE"""),"TO9")</f>
        <v>TO9</v>
      </c>
      <c r="O1342" s="1"/>
      <c r="P1342" s="1"/>
    </row>
    <row r="1343" spans="1:16" ht="14.25" customHeight="1" x14ac:dyDescent="0.25">
      <c r="A1343" s="1"/>
      <c r="B1343" s="1">
        <f ca="1"/>
        <v>1331</v>
      </c>
      <c r="C1343" s="1">
        <f ca="1">IFERROR(__xludf.DUMMYFUNCTION("""COMPUTED_VALUE"""),2023)</f>
        <v>2023</v>
      </c>
      <c r="D1343" s="1">
        <f ca="1">IFERROR(__xludf.DUMMYFUNCTION("""COMPUTED_VALUE"""),10926)</f>
        <v>10926</v>
      </c>
      <c r="E1343" s="1" t="str">
        <f ca="1">IFERROR(__xludf.DUMMYFUNCTION("""COMPUTED_VALUE"""),"Journal of Occupational Rehabilitation")</f>
        <v>Journal of Occupational Rehabilitation</v>
      </c>
      <c r="F1343" s="1" t="str">
        <f ca="1">IFERROR(__xludf.DUMMYFUNCTION("""COMPUTED_VALUE"""),"1573-3688")</f>
        <v>1573-3688</v>
      </c>
      <c r="G1343" s="1" t="str">
        <f ca="1">IFERROR(__xludf.DUMMYFUNCTION("""COMPUTED_VALUE"""),"1053-0487")</f>
        <v>1053-0487</v>
      </c>
      <c r="H1343" s="27" t="str">
        <f ca="1">IFERROR(__xludf.DUMMYFUNCTION("""COMPUTED_VALUE"""),"https://link.springer.com/journal/10926")</f>
        <v>https://link.springer.com/journal/10926</v>
      </c>
      <c r="I1343" s="1" t="str">
        <f ca="1">IFERROR(__xludf.DUMMYFUNCTION("""COMPUTED_VALUE"""),"Springer")</f>
        <v>Springer</v>
      </c>
      <c r="J1343" s="1">
        <f ca="1">IFERROR(__xludf.DUMMYFUNCTION("""COMPUTED_VALUE"""),2000)</f>
        <v>2000</v>
      </c>
      <c r="K1343" s="1" t="str">
        <f ca="1">IFERROR(__xludf.DUMMYFUNCTION("""COMPUTED_VALUE"""),"Medicine")</f>
        <v>Medicine</v>
      </c>
      <c r="L1343" s="1" t="str">
        <f ca="1">IFERROR(__xludf.DUMMYFUNCTION("""COMPUTED_VALUE"""),"〇")</f>
        <v>〇</v>
      </c>
      <c r="M1343" s="1" t="str">
        <f ca="1">IFERROR(__xludf.DUMMYFUNCTION("""COMPUTED_VALUE"""),"〇")</f>
        <v>〇</v>
      </c>
      <c r="N1343" s="1"/>
      <c r="O1343" s="1"/>
      <c r="P1343" s="1"/>
    </row>
    <row r="1344" spans="1:16" ht="14.25" customHeight="1" x14ac:dyDescent="0.25">
      <c r="A1344" s="1"/>
      <c r="B1344" s="1">
        <f ca="1"/>
        <v>1332</v>
      </c>
      <c r="C1344" s="1">
        <f ca="1">IFERROR(__xludf.DUMMYFUNCTION("""COMPUTED_VALUE"""),2023)</f>
        <v>2023</v>
      </c>
      <c r="D1344" s="1">
        <f ca="1">IFERROR(__xludf.DUMMYFUNCTION("""COMPUTED_VALUE"""),40722)</f>
        <v>40722</v>
      </c>
      <c r="E1344" s="1" t="str">
        <f ca="1">IFERROR(__xludf.DUMMYFUNCTION("""COMPUTED_VALUE"""),"Journal of Ocean Engineering and Marine Energy")</f>
        <v>Journal of Ocean Engineering and Marine Energy</v>
      </c>
      <c r="F1344" s="1" t="str">
        <f ca="1">IFERROR(__xludf.DUMMYFUNCTION("""COMPUTED_VALUE"""),"2198-6452")</f>
        <v>2198-6452</v>
      </c>
      <c r="G1344" s="1" t="str">
        <f ca="1">IFERROR(__xludf.DUMMYFUNCTION("""COMPUTED_VALUE"""),"2198-6444")</f>
        <v>2198-6444</v>
      </c>
      <c r="H1344" s="27" t="str">
        <f ca="1">IFERROR(__xludf.DUMMYFUNCTION("""COMPUTED_VALUE"""),"https://link.springer.com/journal/40722")</f>
        <v>https://link.springer.com/journal/40722</v>
      </c>
      <c r="I1344" s="1" t="str">
        <f ca="1">IFERROR(__xludf.DUMMYFUNCTION("""COMPUTED_VALUE"""),"Springer")</f>
        <v>Springer</v>
      </c>
      <c r="J1344" s="1">
        <f ca="1">IFERROR(__xludf.DUMMYFUNCTION("""COMPUTED_VALUE"""),2015)</f>
        <v>2015</v>
      </c>
      <c r="K1344" s="1" t="str">
        <f ca="1">IFERROR(__xludf.DUMMYFUNCTION("""COMPUTED_VALUE"""),"Engineering")</f>
        <v>Engineering</v>
      </c>
      <c r="L1344" s="1" t="str">
        <f ca="1">IFERROR(__xludf.DUMMYFUNCTION("""COMPUTED_VALUE"""),"〇")</f>
        <v>〇</v>
      </c>
      <c r="M1344" s="1"/>
      <c r="N1344" s="1" t="str">
        <f ca="1">IFERROR(__xludf.DUMMYFUNCTION("""COMPUTED_VALUE"""),"SNS15")</f>
        <v>SNS15</v>
      </c>
      <c r="O1344" s="1"/>
      <c r="P1344" s="1"/>
    </row>
    <row r="1345" spans="1:16" ht="14.25" customHeight="1" x14ac:dyDescent="0.25">
      <c r="A1345" s="1"/>
      <c r="B1345" s="1">
        <f ca="1"/>
        <v>1333</v>
      </c>
      <c r="C1345" s="1">
        <f ca="1">IFERROR(__xludf.DUMMYFUNCTION("""COMPUTED_VALUE"""),2023)</f>
        <v>2023</v>
      </c>
      <c r="D1345" s="1">
        <f ca="1">IFERROR(__xludf.DUMMYFUNCTION("""COMPUTED_VALUE"""),11802)</f>
        <v>11802</v>
      </c>
      <c r="E1345" s="1" t="str">
        <f ca="1">IFERROR(__xludf.DUMMYFUNCTION("""COMPUTED_VALUE"""),"Journal of Ocean University of China")</f>
        <v>Journal of Ocean University of China</v>
      </c>
      <c r="F1345" s="1" t="str">
        <f ca="1">IFERROR(__xludf.DUMMYFUNCTION("""COMPUTED_VALUE"""),"1993-5021")</f>
        <v>1993-5021</v>
      </c>
      <c r="G1345" s="1" t="str">
        <f ca="1">IFERROR(__xludf.DUMMYFUNCTION("""COMPUTED_VALUE"""),"1672-5182")</f>
        <v>1672-5182</v>
      </c>
      <c r="H1345" s="27" t="str">
        <f ca="1">IFERROR(__xludf.DUMMYFUNCTION("""COMPUTED_VALUE"""),"https://link.springer.com/journal/11802")</f>
        <v>https://link.springer.com/journal/11802</v>
      </c>
      <c r="I1345" s="1" t="str">
        <f ca="1">IFERROR(__xludf.DUMMYFUNCTION("""COMPUTED_VALUE"""),"Science Press, co-published with Springer")</f>
        <v>Science Press, co-published with Springer</v>
      </c>
      <c r="J1345" s="1">
        <f ca="1">IFERROR(__xludf.DUMMYFUNCTION("""COMPUTED_VALUE"""),2002)</f>
        <v>2002</v>
      </c>
      <c r="K1345" s="1" t="str">
        <f ca="1">IFERROR(__xludf.DUMMYFUNCTION("""COMPUTED_VALUE"""),"Earth and Environmental Science")</f>
        <v>Earth and Environmental Science</v>
      </c>
      <c r="L1345" s="1" t="str">
        <f ca="1">IFERROR(__xludf.DUMMYFUNCTION("""COMPUTED_VALUE"""),"〇")</f>
        <v>〇</v>
      </c>
      <c r="M1345" s="1" t="str">
        <f ca="1">IFERROR(__xludf.DUMMYFUNCTION("""COMPUTED_VALUE"""),"〇")</f>
        <v>〇</v>
      </c>
      <c r="N1345" s="1" t="str">
        <f ca="1">IFERROR(__xludf.DUMMYFUNCTION("""COMPUTED_VALUE"""),"TO7")</f>
        <v>TO7</v>
      </c>
      <c r="O1345" s="1"/>
      <c r="P1345" s="1"/>
    </row>
    <row r="1346" spans="1:16" ht="14.25" customHeight="1" x14ac:dyDescent="0.25">
      <c r="A1346" s="1"/>
      <c r="B1346" s="1">
        <f ca="1"/>
        <v>1334</v>
      </c>
      <c r="C1346" s="1">
        <f ca="1">IFERROR(__xludf.DUMMYFUNCTION("""COMPUTED_VALUE"""),2023)</f>
        <v>2023</v>
      </c>
      <c r="D1346" s="1">
        <f ca="1">IFERROR(__xludf.DUMMYFUNCTION("""COMPUTED_VALUE"""),10872)</f>
        <v>10872</v>
      </c>
      <c r="E1346" s="1" t="str">
        <f ca="1">IFERROR(__xludf.DUMMYFUNCTION("""COMPUTED_VALUE"""),"Journal of Oceanography")</f>
        <v>Journal of Oceanography</v>
      </c>
      <c r="F1346" s="1" t="str">
        <f ca="1">IFERROR(__xludf.DUMMYFUNCTION("""COMPUTED_VALUE"""),"1573-868X")</f>
        <v>1573-868X</v>
      </c>
      <c r="G1346" s="1" t="str">
        <f ca="1">IFERROR(__xludf.DUMMYFUNCTION("""COMPUTED_VALUE"""),"0916-8370")</f>
        <v>0916-8370</v>
      </c>
      <c r="H1346" s="27" t="str">
        <f ca="1">IFERROR(__xludf.DUMMYFUNCTION("""COMPUTED_VALUE"""),"https://link.springer.com/journal/10872")</f>
        <v>https://link.springer.com/journal/10872</v>
      </c>
      <c r="I1346" s="1" t="str">
        <f ca="1">IFERROR(__xludf.DUMMYFUNCTION("""COMPUTED_VALUE"""),"Springer")</f>
        <v>Springer</v>
      </c>
      <c r="J1346" s="1">
        <f ca="1">IFERROR(__xludf.DUMMYFUNCTION("""COMPUTED_VALUE"""),2000)</f>
        <v>2000</v>
      </c>
      <c r="K1346" s="1" t="str">
        <f ca="1">IFERROR(__xludf.DUMMYFUNCTION("""COMPUTED_VALUE"""),"Earth and Environmental Science")</f>
        <v>Earth and Environmental Science</v>
      </c>
      <c r="L1346" s="1" t="str">
        <f ca="1">IFERROR(__xludf.DUMMYFUNCTION("""COMPUTED_VALUE"""),"〇")</f>
        <v>〇</v>
      </c>
      <c r="M1346" s="1" t="str">
        <f ca="1">IFERROR(__xludf.DUMMYFUNCTION("""COMPUTED_VALUE"""),"〇")</f>
        <v>〇</v>
      </c>
      <c r="N1346" s="1"/>
      <c r="O1346" s="1"/>
      <c r="P1346" s="1"/>
    </row>
    <row r="1347" spans="1:16" ht="14.25" customHeight="1" x14ac:dyDescent="0.25">
      <c r="A1347" s="1"/>
      <c r="B1347" s="1">
        <f ca="1"/>
        <v>1335</v>
      </c>
      <c r="C1347" s="1">
        <f ca="1">IFERROR(__xludf.DUMMYFUNCTION("""COMPUTED_VALUE"""),2023)</f>
        <v>2023</v>
      </c>
      <c r="D1347" s="1">
        <f ca="1">IFERROR(__xludf.DUMMYFUNCTION("""COMPUTED_VALUE"""),343)</f>
        <v>343</v>
      </c>
      <c r="E1347" s="1" t="str">
        <f ca="1">IFERROR(__xludf.DUMMYFUNCTION("""COMPUTED_VALUE"""),"Journal of Oceanology and Limnology")</f>
        <v>Journal of Oceanology and Limnology</v>
      </c>
      <c r="F1347" s="1" t="str">
        <f ca="1">IFERROR(__xludf.DUMMYFUNCTION("""COMPUTED_VALUE"""),"2523-3521")</f>
        <v>2523-3521</v>
      </c>
      <c r="G1347" s="1" t="str">
        <f ca="1">IFERROR(__xludf.DUMMYFUNCTION("""COMPUTED_VALUE"""),"2096-5508")</f>
        <v>2096-5508</v>
      </c>
      <c r="H1347" s="27" t="str">
        <f ca="1">IFERROR(__xludf.DUMMYFUNCTION("""COMPUTED_VALUE"""),"https://link.springer.com/journal/343")</f>
        <v>https://link.springer.com/journal/343</v>
      </c>
      <c r="I1347" s="1" t="str">
        <f ca="1">IFERROR(__xludf.DUMMYFUNCTION("""COMPUTED_VALUE"""),"Science Press, co-published with Springer")</f>
        <v>Science Press, co-published with Springer</v>
      </c>
      <c r="J1347" s="1">
        <f ca="1">IFERROR(__xludf.DUMMYFUNCTION("""COMPUTED_VALUE"""),2000)</f>
        <v>2000</v>
      </c>
      <c r="K1347" s="1" t="str">
        <f ca="1">IFERROR(__xludf.DUMMYFUNCTION("""COMPUTED_VALUE"""),"Earth and Environmental Science")</f>
        <v>Earth and Environmental Science</v>
      </c>
      <c r="L1347" s="1" t="str">
        <f ca="1">IFERROR(__xludf.DUMMYFUNCTION("""COMPUTED_VALUE"""),"〇")</f>
        <v>〇</v>
      </c>
      <c r="M1347" s="1" t="str">
        <f ca="1">IFERROR(__xludf.DUMMYFUNCTION("""COMPUTED_VALUE"""),"〇")</f>
        <v>〇</v>
      </c>
      <c r="N1347" s="1" t="str">
        <f ca="1">IFERROR(__xludf.DUMMYFUNCTION("""COMPUTED_VALUE"""),"TO7")</f>
        <v>TO7</v>
      </c>
      <c r="O1347" s="1"/>
      <c r="P1347" s="1"/>
    </row>
    <row r="1348" spans="1:16" ht="14.25" customHeight="1" x14ac:dyDescent="0.25">
      <c r="A1348" s="1"/>
      <c r="B1348" s="1">
        <f ca="1"/>
        <v>1336</v>
      </c>
      <c r="C1348" s="1">
        <f ca="1">IFERROR(__xludf.DUMMYFUNCTION("""COMPUTED_VALUE"""),2023)</f>
        <v>2023</v>
      </c>
      <c r="D1348" s="1">
        <f ca="1">IFERROR(__xludf.DUMMYFUNCTION("""COMPUTED_VALUE"""),12596)</f>
        <v>12596</v>
      </c>
      <c r="E1348" s="1" t="str">
        <f ca="1">IFERROR(__xludf.DUMMYFUNCTION("""COMPUTED_VALUE"""),"Journal of Optics")</f>
        <v>Journal of Optics</v>
      </c>
      <c r="F1348" s="1" t="str">
        <f ca="1">IFERROR(__xludf.DUMMYFUNCTION("""COMPUTED_VALUE"""),"0974-6900")</f>
        <v>0974-6900</v>
      </c>
      <c r="G1348" s="1" t="str">
        <f ca="1">IFERROR(__xludf.DUMMYFUNCTION("""COMPUTED_VALUE"""),"0972-8821")</f>
        <v>0972-8821</v>
      </c>
      <c r="H1348" s="27" t="str">
        <f ca="1">IFERROR(__xludf.DUMMYFUNCTION("""COMPUTED_VALUE"""),"https://link.springer.com/journal/12596")</f>
        <v>https://link.springer.com/journal/12596</v>
      </c>
      <c r="I1348" s="1" t="str">
        <f ca="1">IFERROR(__xludf.DUMMYFUNCTION("""COMPUTED_VALUE"""),"Springer")</f>
        <v>Springer</v>
      </c>
      <c r="J1348" s="1">
        <f ca="1">IFERROR(__xludf.DUMMYFUNCTION("""COMPUTED_VALUE"""),2000)</f>
        <v>2000</v>
      </c>
      <c r="K1348" s="1" t="str">
        <f ca="1">IFERROR(__xludf.DUMMYFUNCTION("""COMPUTED_VALUE"""),"Physics and Astronomy")</f>
        <v>Physics and Astronomy</v>
      </c>
      <c r="L1348" s="1" t="str">
        <f ca="1">IFERROR(__xludf.DUMMYFUNCTION("""COMPUTED_VALUE"""),"〇")</f>
        <v>〇</v>
      </c>
      <c r="M1348" s="1"/>
      <c r="N1348" s="1" t="str">
        <f ca="1">IFERROR(__xludf.DUMMYFUNCTION("""COMPUTED_VALUE"""),"TO9")</f>
        <v>TO9</v>
      </c>
      <c r="O1348" s="1"/>
      <c r="P1348" s="1"/>
    </row>
    <row r="1349" spans="1:16" ht="14.25" customHeight="1" x14ac:dyDescent="0.25">
      <c r="A1349" s="1"/>
      <c r="B1349" s="1">
        <f ca="1"/>
        <v>1337</v>
      </c>
      <c r="C1349" s="1">
        <f ca="1">IFERROR(__xludf.DUMMYFUNCTION("""COMPUTED_VALUE"""),2023)</f>
        <v>2023</v>
      </c>
      <c r="D1349" s="1">
        <f ca="1">IFERROR(__xludf.DUMMYFUNCTION("""COMPUTED_VALUE"""),10957)</f>
        <v>10957</v>
      </c>
      <c r="E1349" s="1" t="str">
        <f ca="1">IFERROR(__xludf.DUMMYFUNCTION("""COMPUTED_VALUE"""),"Journal of Optimization Theory and Applications")</f>
        <v>Journal of Optimization Theory and Applications</v>
      </c>
      <c r="F1349" s="1" t="str">
        <f ca="1">IFERROR(__xludf.DUMMYFUNCTION("""COMPUTED_VALUE"""),"1573-2878")</f>
        <v>1573-2878</v>
      </c>
      <c r="G1349" s="1" t="str">
        <f ca="1">IFERROR(__xludf.DUMMYFUNCTION("""COMPUTED_VALUE"""),"0022-3239")</f>
        <v>0022-3239</v>
      </c>
      <c r="H1349" s="27" t="str">
        <f ca="1">IFERROR(__xludf.DUMMYFUNCTION("""COMPUTED_VALUE"""),"https://link.springer.com/journal/10957")</f>
        <v>https://link.springer.com/journal/10957</v>
      </c>
      <c r="I1349" s="1" t="str">
        <f ca="1">IFERROR(__xludf.DUMMYFUNCTION("""COMPUTED_VALUE"""),"Springer")</f>
        <v>Springer</v>
      </c>
      <c r="J1349" s="1">
        <f ca="1">IFERROR(__xludf.DUMMYFUNCTION("""COMPUTED_VALUE"""),2000)</f>
        <v>2000</v>
      </c>
      <c r="K1349" s="1" t="str">
        <f ca="1">IFERROR(__xludf.DUMMYFUNCTION("""COMPUTED_VALUE"""),"Mathematics and Statistics")</f>
        <v>Mathematics and Statistics</v>
      </c>
      <c r="L1349" s="1" t="str">
        <f ca="1">IFERROR(__xludf.DUMMYFUNCTION("""COMPUTED_VALUE"""),"〇")</f>
        <v>〇</v>
      </c>
      <c r="M1349" s="1" t="str">
        <f ca="1">IFERROR(__xludf.DUMMYFUNCTION("""COMPUTED_VALUE"""),"〇")</f>
        <v>〇</v>
      </c>
      <c r="N1349" s="1"/>
      <c r="O1349" s="1"/>
      <c r="P1349" s="1"/>
    </row>
    <row r="1350" spans="1:16" ht="14.25" customHeight="1" x14ac:dyDescent="0.25">
      <c r="A1350" s="1"/>
      <c r="B1350" s="1">
        <f ca="1"/>
        <v>1338</v>
      </c>
      <c r="C1350" s="1">
        <f ca="1">IFERROR(__xludf.DUMMYFUNCTION("""COMPUTED_VALUE"""),2023)</f>
        <v>2023</v>
      </c>
      <c r="D1350" s="1">
        <f ca="1">IFERROR(__xludf.DUMMYFUNCTION("""COMPUTED_VALUE"""),41469)</f>
        <v>41469</v>
      </c>
      <c r="E1350" s="1" t="str">
        <f ca="1">IFERROR(__xludf.DUMMYFUNCTION("""COMPUTED_VALUE"""),"Journal of Organization Design")</f>
        <v>Journal of Organization Design</v>
      </c>
      <c r="F1350" s="1" t="str">
        <f ca="1">IFERROR(__xludf.DUMMYFUNCTION("""COMPUTED_VALUE"""),"2245-408X")</f>
        <v>2245-408X</v>
      </c>
      <c r="G1350" s="1"/>
      <c r="H1350" s="27" t="str">
        <f ca="1">IFERROR(__xludf.DUMMYFUNCTION("""COMPUTED_VALUE"""),"https://link.springer.com/journal/41469")</f>
        <v>https://link.springer.com/journal/41469</v>
      </c>
      <c r="I1350" s="1" t="str">
        <f ca="1">IFERROR(__xludf.DUMMYFUNCTION("""COMPUTED_VALUE"""),"Springer")</f>
        <v>Springer</v>
      </c>
      <c r="J1350" s="1">
        <f ca="1">IFERROR(__xludf.DUMMYFUNCTION("""COMPUTED_VALUE"""),2016)</f>
        <v>2016</v>
      </c>
      <c r="K1350" s="1" t="str">
        <f ca="1">IFERROR(__xludf.DUMMYFUNCTION("""COMPUTED_VALUE"""),"Business and Management")</f>
        <v>Business and Management</v>
      </c>
      <c r="L1350" s="1"/>
      <c r="M1350" s="1"/>
      <c r="N1350" s="1" t="str">
        <f ca="1">IFERROR(__xludf.DUMMYFUNCTION("""COMPUTED_VALUE"""),"TO16")</f>
        <v>TO16</v>
      </c>
      <c r="O1350" s="1"/>
      <c r="P1350" s="1"/>
    </row>
    <row r="1351" spans="1:16" ht="14.25" customHeight="1" x14ac:dyDescent="0.25">
      <c r="A1351" s="1"/>
      <c r="B1351" s="1">
        <f ca="1"/>
        <v>1339</v>
      </c>
      <c r="C1351" s="1">
        <f ca="1">IFERROR(__xludf.DUMMYFUNCTION("""COMPUTED_VALUE"""),2023)</f>
        <v>2023</v>
      </c>
      <c r="D1351" s="1">
        <f ca="1">IFERROR(__xludf.DUMMYFUNCTION("""COMPUTED_VALUE"""),10336)</f>
        <v>10336</v>
      </c>
      <c r="E1351" s="1" t="str">
        <f ca="1">IFERROR(__xludf.DUMMYFUNCTION("""COMPUTED_VALUE"""),"Journal of Ornithology")</f>
        <v>Journal of Ornithology</v>
      </c>
      <c r="F1351" s="1" t="str">
        <f ca="1">IFERROR(__xludf.DUMMYFUNCTION("""COMPUTED_VALUE"""),"2193-7206")</f>
        <v>2193-7206</v>
      </c>
      <c r="G1351" s="1" t="str">
        <f ca="1">IFERROR(__xludf.DUMMYFUNCTION("""COMPUTED_VALUE"""),"2193-7192")</f>
        <v>2193-7192</v>
      </c>
      <c r="H1351" s="27" t="str">
        <f ca="1">IFERROR(__xludf.DUMMYFUNCTION("""COMPUTED_VALUE"""),"https://link.springer.com/journal/10336")</f>
        <v>https://link.springer.com/journal/10336</v>
      </c>
      <c r="I1351" s="1" t="str">
        <f ca="1">IFERROR(__xludf.DUMMYFUNCTION("""COMPUTED_VALUE"""),"Springer")</f>
        <v>Springer</v>
      </c>
      <c r="J1351" s="1">
        <f ca="1">IFERROR(__xludf.DUMMYFUNCTION("""COMPUTED_VALUE"""),2000)</f>
        <v>2000</v>
      </c>
      <c r="K1351" s="1" t="str">
        <f ca="1">IFERROR(__xludf.DUMMYFUNCTION("""COMPUTED_VALUE"""),"Biomedical and Life Sciences")</f>
        <v>Biomedical and Life Sciences</v>
      </c>
      <c r="L1351" s="1" t="str">
        <f ca="1">IFERROR(__xludf.DUMMYFUNCTION("""COMPUTED_VALUE"""),"〇")</f>
        <v>〇</v>
      </c>
      <c r="M1351" s="1" t="str">
        <f ca="1">IFERROR(__xludf.DUMMYFUNCTION("""COMPUTED_VALUE"""),"〇")</f>
        <v>〇</v>
      </c>
      <c r="N1351" s="1"/>
      <c r="O1351" s="1"/>
      <c r="P1351" s="1"/>
    </row>
    <row r="1352" spans="1:16" ht="14.25" customHeight="1" x14ac:dyDescent="0.25">
      <c r="A1352" s="1"/>
      <c r="B1352" s="1">
        <f ca="1"/>
        <v>1340</v>
      </c>
      <c r="C1352" s="1">
        <f ca="1">IFERROR(__xludf.DUMMYFUNCTION("""COMPUTED_VALUE"""),2023)</f>
        <v>2023</v>
      </c>
      <c r="D1352" s="1">
        <f ca="1">IFERROR(__xludf.DUMMYFUNCTION("""COMPUTED_VALUE"""),56)</f>
        <v>56</v>
      </c>
      <c r="E1352" s="1" t="str">
        <f ca="1">IFERROR(__xludf.DUMMYFUNCTION("""COMPUTED_VALUE"""),"Journal of Orofacial Orthopedics / Fortschritte der Kieferorthopädie")</f>
        <v>Journal of Orofacial Orthopedics / Fortschritte der Kieferorthopädie</v>
      </c>
      <c r="F1352" s="1" t="str">
        <f ca="1">IFERROR(__xludf.DUMMYFUNCTION("""COMPUTED_VALUE"""),"1615-6714")</f>
        <v>1615-6714</v>
      </c>
      <c r="G1352" s="1" t="str">
        <f ca="1">IFERROR(__xludf.DUMMYFUNCTION("""COMPUTED_VALUE"""),"1434-5293")</f>
        <v>1434-5293</v>
      </c>
      <c r="H1352" s="27" t="str">
        <f ca="1">IFERROR(__xludf.DUMMYFUNCTION("""COMPUTED_VALUE"""),"https://link.springer.com/journal/56")</f>
        <v>https://link.springer.com/journal/56</v>
      </c>
      <c r="I1352" s="1" t="str">
        <f ca="1">IFERROR(__xludf.DUMMYFUNCTION("""COMPUTED_VALUE"""),"SpringerMedizin")</f>
        <v>SpringerMedizin</v>
      </c>
      <c r="J1352" s="1">
        <f ca="1">IFERROR(__xludf.DUMMYFUNCTION("""COMPUTED_VALUE"""),2000)</f>
        <v>2000</v>
      </c>
      <c r="K1352" s="1" t="str">
        <f ca="1">IFERROR(__xludf.DUMMYFUNCTION("""COMPUTED_VALUE"""),"Medicine")</f>
        <v>Medicine</v>
      </c>
      <c r="L1352" s="1" t="str">
        <f ca="1">IFERROR(__xludf.DUMMYFUNCTION("""COMPUTED_VALUE"""),"〇")</f>
        <v>〇</v>
      </c>
      <c r="M1352" s="1" t="str">
        <f ca="1">IFERROR(__xludf.DUMMYFUNCTION("""COMPUTED_VALUE"""),"〇")</f>
        <v>〇</v>
      </c>
      <c r="N1352" s="1"/>
      <c r="O1352" s="1"/>
      <c r="P1352" s="1"/>
    </row>
    <row r="1353" spans="1:16" ht="14.25" customHeight="1" x14ac:dyDescent="0.25">
      <c r="A1353" s="1"/>
      <c r="B1353" s="1">
        <f ca="1"/>
        <v>1341</v>
      </c>
      <c r="C1353" s="1">
        <f ca="1">IFERROR(__xludf.DUMMYFUNCTION("""COMPUTED_VALUE"""),2023)</f>
        <v>2023</v>
      </c>
      <c r="D1353" s="1">
        <f ca="1">IFERROR(__xludf.DUMMYFUNCTION("""COMPUTED_VALUE"""),42322)</f>
        <v>42322</v>
      </c>
      <c r="E1353" s="1" t="str">
        <f ca="1">IFERROR(__xludf.DUMMYFUNCTION("""COMPUTED_VALUE"""),"Journal of Outdoor and Environmental Education")</f>
        <v>Journal of Outdoor and Environmental Education</v>
      </c>
      <c r="F1353" s="1" t="str">
        <f ca="1">IFERROR(__xludf.DUMMYFUNCTION("""COMPUTED_VALUE"""),"2522-879X")</f>
        <v>2522-879X</v>
      </c>
      <c r="G1353" s="1" t="str">
        <f ca="1">IFERROR(__xludf.DUMMYFUNCTION("""COMPUTED_VALUE"""),"2206-3110")</f>
        <v>2206-3110</v>
      </c>
      <c r="H1353" s="27" t="str">
        <f ca="1">IFERROR(__xludf.DUMMYFUNCTION("""COMPUTED_VALUE"""),"https://link.springer.com/journal/42322")</f>
        <v>https://link.springer.com/journal/42322</v>
      </c>
      <c r="I1353" s="1" t="str">
        <f ca="1">IFERROR(__xludf.DUMMYFUNCTION("""COMPUTED_VALUE"""),"Springer")</f>
        <v>Springer</v>
      </c>
      <c r="J1353" s="1">
        <f ca="1">IFERROR(__xludf.DUMMYFUNCTION("""COMPUTED_VALUE"""),2000)</f>
        <v>2000</v>
      </c>
      <c r="K1353" s="1" t="str">
        <f ca="1">IFERROR(__xludf.DUMMYFUNCTION("""COMPUTED_VALUE"""),"Education")</f>
        <v>Education</v>
      </c>
      <c r="L1353" s="1" t="str">
        <f ca="1">IFERROR(__xludf.DUMMYFUNCTION("""COMPUTED_VALUE"""),"〇")</f>
        <v>〇</v>
      </c>
      <c r="M1353" s="1"/>
      <c r="N1353" s="1" t="str">
        <f ca="1">IFERROR(__xludf.DUMMYFUNCTION("""COMPUTED_VALUE"""),"TO18")</f>
        <v>TO18</v>
      </c>
      <c r="O1353" s="1"/>
      <c r="P1353" s="1"/>
    </row>
    <row r="1354" spans="1:16" ht="14.25" customHeight="1" x14ac:dyDescent="0.25">
      <c r="A1354" s="1"/>
      <c r="B1354" s="1">
        <f ca="1"/>
        <v>1342</v>
      </c>
      <c r="C1354" s="1">
        <f ca="1">IFERROR(__xludf.DUMMYFUNCTION("""COMPUTED_VALUE"""),2023)</f>
        <v>2023</v>
      </c>
      <c r="D1354" s="1">
        <f ca="1">IFERROR(__xludf.DUMMYFUNCTION("""COMPUTED_VALUE"""),41783)</f>
        <v>41783</v>
      </c>
      <c r="E1354" s="1" t="str">
        <f ca="1">IFERROR(__xludf.DUMMYFUNCTION("""COMPUTED_VALUE"""),"Journal of Packaging Technology and Research")</f>
        <v>Journal of Packaging Technology and Research</v>
      </c>
      <c r="F1354" s="1" t="str">
        <f ca="1">IFERROR(__xludf.DUMMYFUNCTION("""COMPUTED_VALUE"""),"2520-1042")</f>
        <v>2520-1042</v>
      </c>
      <c r="G1354" s="1" t="str">
        <f ca="1">IFERROR(__xludf.DUMMYFUNCTION("""COMPUTED_VALUE"""),"2520-1034")</f>
        <v>2520-1034</v>
      </c>
      <c r="H1354" s="27" t="str">
        <f ca="1">IFERROR(__xludf.DUMMYFUNCTION("""COMPUTED_VALUE"""),"https://link.springer.com/journal/41783")</f>
        <v>https://link.springer.com/journal/41783</v>
      </c>
      <c r="I1354" s="1" t="str">
        <f ca="1">IFERROR(__xludf.DUMMYFUNCTION("""COMPUTED_VALUE"""),"Springer")</f>
        <v>Springer</v>
      </c>
      <c r="J1354" s="1">
        <f ca="1">IFERROR(__xludf.DUMMYFUNCTION("""COMPUTED_VALUE"""),2017)</f>
        <v>2017</v>
      </c>
      <c r="K1354" s="1" t="str">
        <f ca="1">IFERROR(__xludf.DUMMYFUNCTION("""COMPUTED_VALUE"""),"Engineering")</f>
        <v>Engineering</v>
      </c>
      <c r="L1354" s="1" t="str">
        <f ca="1">IFERROR(__xludf.DUMMYFUNCTION("""COMPUTED_VALUE"""),"〇")</f>
        <v>〇</v>
      </c>
      <c r="M1354" s="1"/>
      <c r="N1354" s="1" t="str">
        <f ca="1">IFERROR(__xludf.DUMMYFUNCTION("""COMPUTED_VALUE"""),"SNS17")</f>
        <v>SNS17</v>
      </c>
      <c r="O1354" s="1"/>
      <c r="P1354" s="1"/>
    </row>
    <row r="1355" spans="1:16" ht="14.25" customHeight="1" x14ac:dyDescent="0.25">
      <c r="A1355" s="1"/>
      <c r="B1355" s="1">
        <f ca="1"/>
        <v>1343</v>
      </c>
      <c r="C1355" s="1">
        <f ca="1">IFERROR(__xludf.DUMMYFUNCTION("""COMPUTED_VALUE"""),2023)</f>
        <v>2023</v>
      </c>
      <c r="D1355" s="1">
        <f ca="1">IFERROR(__xludf.DUMMYFUNCTION("""COMPUTED_VALUE"""),10933)</f>
        <v>10933</v>
      </c>
      <c r="E1355" s="1" t="str">
        <f ca="1">IFERROR(__xludf.DUMMYFUNCTION("""COMPUTED_VALUE"""),"Journal of Paleolimnology")</f>
        <v>Journal of Paleolimnology</v>
      </c>
      <c r="F1355" s="1" t="str">
        <f ca="1">IFERROR(__xludf.DUMMYFUNCTION("""COMPUTED_VALUE"""),"1573-0417")</f>
        <v>1573-0417</v>
      </c>
      <c r="G1355" s="1" t="str">
        <f ca="1">IFERROR(__xludf.DUMMYFUNCTION("""COMPUTED_VALUE"""),"0921-2728")</f>
        <v>0921-2728</v>
      </c>
      <c r="H1355" s="27" t="str">
        <f ca="1">IFERROR(__xludf.DUMMYFUNCTION("""COMPUTED_VALUE"""),"https://link.springer.com/journal/10933")</f>
        <v>https://link.springer.com/journal/10933</v>
      </c>
      <c r="I1355" s="1" t="str">
        <f ca="1">IFERROR(__xludf.DUMMYFUNCTION("""COMPUTED_VALUE"""),"Springer")</f>
        <v>Springer</v>
      </c>
      <c r="J1355" s="1">
        <f ca="1">IFERROR(__xludf.DUMMYFUNCTION("""COMPUTED_VALUE"""),2000)</f>
        <v>2000</v>
      </c>
      <c r="K1355" s="1" t="str">
        <f ca="1">IFERROR(__xludf.DUMMYFUNCTION("""COMPUTED_VALUE"""),"Earth and Environmental Science")</f>
        <v>Earth and Environmental Science</v>
      </c>
      <c r="L1355" s="1" t="str">
        <f ca="1">IFERROR(__xludf.DUMMYFUNCTION("""COMPUTED_VALUE"""),"〇")</f>
        <v>〇</v>
      </c>
      <c r="M1355" s="1" t="str">
        <f ca="1">IFERROR(__xludf.DUMMYFUNCTION("""COMPUTED_VALUE"""),"〇")</f>
        <v>〇</v>
      </c>
      <c r="N1355" s="1"/>
      <c r="O1355" s="1"/>
      <c r="P1355" s="1"/>
    </row>
    <row r="1356" spans="1:16" ht="14.25" customHeight="1" x14ac:dyDescent="0.25">
      <c r="A1356" s="1"/>
      <c r="B1356" s="1">
        <f ca="1"/>
        <v>1344</v>
      </c>
      <c r="C1356" s="1">
        <f ca="1">IFERROR(__xludf.DUMMYFUNCTION("""COMPUTED_VALUE"""),2023)</f>
        <v>2023</v>
      </c>
      <c r="D1356" s="1">
        <f ca="1">IFERROR(__xludf.DUMMYFUNCTION("""COMPUTED_VALUE"""),41982)</f>
        <v>41982</v>
      </c>
      <c r="E1356" s="1" t="str">
        <f ca="1">IFERROR(__xludf.DUMMYFUNCTION("""COMPUTED_VALUE"""),"Journal of Paleolithic Archaeology")</f>
        <v>Journal of Paleolithic Archaeology</v>
      </c>
      <c r="F1356" s="1" t="str">
        <f ca="1">IFERROR(__xludf.DUMMYFUNCTION("""COMPUTED_VALUE"""),"2520-8217")</f>
        <v>2520-8217</v>
      </c>
      <c r="G1356" s="1"/>
      <c r="H1356" s="27" t="str">
        <f ca="1">IFERROR(__xludf.DUMMYFUNCTION("""COMPUTED_VALUE"""),"https://link.springer.com/journal/41982")</f>
        <v>https://link.springer.com/journal/41982</v>
      </c>
      <c r="I1356" s="1" t="str">
        <f ca="1">IFERROR(__xludf.DUMMYFUNCTION("""COMPUTED_VALUE"""),"Springer")</f>
        <v>Springer</v>
      </c>
      <c r="J1356" s="1">
        <f ca="1">IFERROR(__xludf.DUMMYFUNCTION("""COMPUTED_VALUE"""),2018)</f>
        <v>2018</v>
      </c>
      <c r="K1356" s="1" t="str">
        <f ca="1">IFERROR(__xludf.DUMMYFUNCTION("""COMPUTED_VALUE"""),"Social Sciences")</f>
        <v>Social Sciences</v>
      </c>
      <c r="L1356" s="1"/>
      <c r="M1356" s="1"/>
      <c r="N1356" s="1" t="str">
        <f ca="1">IFERROR(__xludf.DUMMYFUNCTION("""COMPUTED_VALUE"""),"SNS18")</f>
        <v>SNS18</v>
      </c>
      <c r="O1356" s="1"/>
      <c r="P1356" s="1"/>
    </row>
    <row r="1357" spans="1:16" ht="14.25" customHeight="1" x14ac:dyDescent="0.25">
      <c r="A1357" s="1"/>
      <c r="B1357" s="1">
        <f ca="1"/>
        <v>1345</v>
      </c>
      <c r="C1357" s="1">
        <f ca="1">IFERROR(__xludf.DUMMYFUNCTION("""COMPUTED_VALUE"""),2023)</f>
        <v>2023</v>
      </c>
      <c r="D1357" s="1">
        <f ca="1">IFERROR(__xludf.DUMMYFUNCTION("""COMPUTED_VALUE"""),12639)</f>
        <v>12639</v>
      </c>
      <c r="E1357" s="1" t="str">
        <f ca="1">IFERROR(__xludf.DUMMYFUNCTION("""COMPUTED_VALUE"""),"Journal of Parasitic Diseases")</f>
        <v>Journal of Parasitic Diseases</v>
      </c>
      <c r="F1357" s="1" t="str">
        <f ca="1">IFERROR(__xludf.DUMMYFUNCTION("""COMPUTED_VALUE"""),"0975-0703")</f>
        <v>0975-0703</v>
      </c>
      <c r="G1357" s="1" t="str">
        <f ca="1">IFERROR(__xludf.DUMMYFUNCTION("""COMPUTED_VALUE"""),"0971-7196")</f>
        <v>0971-7196</v>
      </c>
      <c r="H1357" s="27" t="str">
        <f ca="1">IFERROR(__xludf.DUMMYFUNCTION("""COMPUTED_VALUE"""),"https://link.springer.com/journal/12639")</f>
        <v>https://link.springer.com/journal/12639</v>
      </c>
      <c r="I1357" s="1" t="str">
        <f ca="1">IFERROR(__xludf.DUMMYFUNCTION("""COMPUTED_VALUE"""),"Springer")</f>
        <v>Springer</v>
      </c>
      <c r="J1357" s="1">
        <f ca="1">IFERROR(__xludf.DUMMYFUNCTION("""COMPUTED_VALUE"""),2009)</f>
        <v>2009</v>
      </c>
      <c r="K1357" s="1" t="str">
        <f ca="1">IFERROR(__xludf.DUMMYFUNCTION("""COMPUTED_VALUE"""),"Medicine")</f>
        <v>Medicine</v>
      </c>
      <c r="L1357" s="1" t="str">
        <f ca="1">IFERROR(__xludf.DUMMYFUNCTION("""COMPUTED_VALUE"""),"〇")</f>
        <v>〇</v>
      </c>
      <c r="M1357" s="1"/>
      <c r="N1357" s="1" t="str">
        <f ca="1">IFERROR(__xludf.DUMMYFUNCTION("""COMPUTED_VALUE"""),"TO9")</f>
        <v>TO9</v>
      </c>
      <c r="O1357" s="1"/>
      <c r="P1357" s="1"/>
    </row>
    <row r="1358" spans="1:16" ht="14.25" customHeight="1" x14ac:dyDescent="0.25">
      <c r="A1358" s="1"/>
      <c r="B1358" s="1">
        <f ca="1"/>
        <v>1346</v>
      </c>
      <c r="C1358" s="1">
        <f ca="1">IFERROR(__xludf.DUMMYFUNCTION("""COMPUTED_VALUE"""),2023)</f>
        <v>2023</v>
      </c>
      <c r="D1358" s="1">
        <f ca="1">IFERROR(__xludf.DUMMYFUNCTION("""COMPUTED_VALUE"""),42804)</f>
        <v>42804</v>
      </c>
      <c r="E1358" s="1" t="str">
        <f ca="1">IFERROR(__xludf.DUMMYFUNCTION("""COMPUTED_VALUE"""),"Journal of Pediatric Endoscopic Surgery")</f>
        <v>Journal of Pediatric Endoscopic Surgery</v>
      </c>
      <c r="F1358" s="1" t="str">
        <f ca="1">IFERROR(__xludf.DUMMYFUNCTION("""COMPUTED_VALUE"""),"2524-7883")</f>
        <v>2524-7883</v>
      </c>
      <c r="G1358" s="1" t="str">
        <f ca="1">IFERROR(__xludf.DUMMYFUNCTION("""COMPUTED_VALUE"""),"2524-7875")</f>
        <v>2524-7875</v>
      </c>
      <c r="H1358" s="27" t="str">
        <f ca="1">IFERROR(__xludf.DUMMYFUNCTION("""COMPUTED_VALUE"""),"https://link.springer.com/journal/42804")</f>
        <v>https://link.springer.com/journal/42804</v>
      </c>
      <c r="I1358" s="1" t="str">
        <f ca="1">IFERROR(__xludf.DUMMYFUNCTION("""COMPUTED_VALUE"""),"Springer")</f>
        <v>Springer</v>
      </c>
      <c r="J1358" s="1">
        <f ca="1">IFERROR(__xludf.DUMMYFUNCTION("""COMPUTED_VALUE"""),2019)</f>
        <v>2019</v>
      </c>
      <c r="K1358" s="1" t="str">
        <f ca="1">IFERROR(__xludf.DUMMYFUNCTION("""COMPUTED_VALUE"""),"Medicine")</f>
        <v>Medicine</v>
      </c>
      <c r="L1358" s="1" t="str">
        <f ca="1">IFERROR(__xludf.DUMMYFUNCTION("""COMPUTED_VALUE"""),"〇")</f>
        <v>〇</v>
      </c>
      <c r="M1358" s="1"/>
      <c r="N1358" s="1" t="str">
        <f ca="1">IFERROR(__xludf.DUMMYFUNCTION("""COMPUTED_VALUE"""),"SNS19")</f>
        <v>SNS19</v>
      </c>
      <c r="O1358" s="1"/>
      <c r="P1358" s="1"/>
    </row>
    <row r="1359" spans="1:16" ht="14.25" customHeight="1" x14ac:dyDescent="0.25">
      <c r="A1359" s="1"/>
      <c r="B1359" s="1">
        <f ca="1"/>
        <v>1347</v>
      </c>
      <c r="C1359" s="1">
        <f ca="1">IFERROR(__xludf.DUMMYFUNCTION("""COMPUTED_VALUE"""),2023)</f>
        <v>2023</v>
      </c>
      <c r="D1359" s="1">
        <f ca="1">IFERROR(__xludf.DUMMYFUNCTION("""COMPUTED_VALUE"""),40817)</f>
        <v>40817</v>
      </c>
      <c r="E1359" s="1" t="str">
        <f ca="1">IFERROR(__xludf.DUMMYFUNCTION("""COMPUTED_VALUE"""),"Journal of Pediatric Neuropsychology")</f>
        <v>Journal of Pediatric Neuropsychology</v>
      </c>
      <c r="F1359" s="1" t="str">
        <f ca="1">IFERROR(__xludf.DUMMYFUNCTION("""COMPUTED_VALUE"""),"2199-2673")</f>
        <v>2199-2673</v>
      </c>
      <c r="G1359" s="1"/>
      <c r="H1359" s="27" t="str">
        <f ca="1">IFERROR(__xludf.DUMMYFUNCTION("""COMPUTED_VALUE"""),"https://link.springer.com/journal/40817")</f>
        <v>https://link.springer.com/journal/40817</v>
      </c>
      <c r="I1359" s="1" t="str">
        <f ca="1">IFERROR(__xludf.DUMMYFUNCTION("""COMPUTED_VALUE"""),"Springer")</f>
        <v>Springer</v>
      </c>
      <c r="J1359" s="1">
        <f ca="1">IFERROR(__xludf.DUMMYFUNCTION("""COMPUTED_VALUE"""),2015)</f>
        <v>2015</v>
      </c>
      <c r="K1359" s="1" t="str">
        <f ca="1">IFERROR(__xludf.DUMMYFUNCTION("""COMPUTED_VALUE"""),"Behavioral Science and Psychology")</f>
        <v>Behavioral Science and Psychology</v>
      </c>
      <c r="L1359" s="1"/>
      <c r="M1359" s="1"/>
      <c r="N1359" s="1" t="str">
        <f ca="1">IFERROR(__xludf.DUMMYFUNCTION("""COMPUTED_VALUE"""),"SNS15")</f>
        <v>SNS15</v>
      </c>
      <c r="O1359" s="1"/>
      <c r="P1359" s="1"/>
    </row>
    <row r="1360" spans="1:16" ht="14.25" customHeight="1" x14ac:dyDescent="0.25">
      <c r="A1360" s="1"/>
      <c r="B1360" s="1">
        <f ca="1"/>
        <v>1348</v>
      </c>
      <c r="C1360" s="1">
        <f ca="1">IFERROR(__xludf.DUMMYFUNCTION("""COMPUTED_VALUE"""),2023)</f>
        <v>2023</v>
      </c>
      <c r="D1360" s="1">
        <f ca="1">IFERROR(__xludf.DUMMYFUNCTION("""COMPUTED_VALUE"""),42102)</f>
        <v>42102</v>
      </c>
      <c r="E1360" s="1" t="str">
        <f ca="1">IFERROR(__xludf.DUMMYFUNCTION("""COMPUTED_VALUE"""),"Journal of Peridynamics and Nonlocal Modeling")</f>
        <v>Journal of Peridynamics and Nonlocal Modeling</v>
      </c>
      <c r="F1360" s="1" t="str">
        <f ca="1">IFERROR(__xludf.DUMMYFUNCTION("""COMPUTED_VALUE"""),"2522-8978")</f>
        <v>2522-8978</v>
      </c>
      <c r="G1360" s="1" t="str">
        <f ca="1">IFERROR(__xludf.DUMMYFUNCTION("""COMPUTED_VALUE"""),"2522-896X")</f>
        <v>2522-896X</v>
      </c>
      <c r="H1360" s="27" t="str">
        <f ca="1">IFERROR(__xludf.DUMMYFUNCTION("""COMPUTED_VALUE"""),"https://link.springer.com/journal/42102")</f>
        <v>https://link.springer.com/journal/42102</v>
      </c>
      <c r="I1360" s="1" t="str">
        <f ca="1">IFERROR(__xludf.DUMMYFUNCTION("""COMPUTED_VALUE"""),"Springer")</f>
        <v>Springer</v>
      </c>
      <c r="J1360" s="1">
        <f ca="1">IFERROR(__xludf.DUMMYFUNCTION("""COMPUTED_VALUE"""),2019)</f>
        <v>2019</v>
      </c>
      <c r="K1360" s="1" t="str">
        <f ca="1">IFERROR(__xludf.DUMMYFUNCTION("""COMPUTED_VALUE"""),"Engineering")</f>
        <v>Engineering</v>
      </c>
      <c r="L1360" s="1" t="str">
        <f ca="1">IFERROR(__xludf.DUMMYFUNCTION("""COMPUTED_VALUE"""),"〇")</f>
        <v>〇</v>
      </c>
      <c r="M1360" s="1"/>
      <c r="N1360" s="1" t="str">
        <f ca="1">IFERROR(__xludf.DUMMYFUNCTION("""COMPUTED_VALUE"""),"SNS19")</f>
        <v>SNS19</v>
      </c>
      <c r="O1360" s="1"/>
      <c r="P1360" s="1"/>
    </row>
    <row r="1361" spans="1:16" ht="14.25" customHeight="1" x14ac:dyDescent="0.25">
      <c r="A1361" s="1"/>
      <c r="B1361" s="1">
        <f ca="1"/>
        <v>1349</v>
      </c>
      <c r="C1361" s="1">
        <f ca="1">IFERROR(__xludf.DUMMYFUNCTION("""COMPUTED_VALUE"""),2023)</f>
        <v>2023</v>
      </c>
      <c r="D1361" s="1">
        <f ca="1">IFERROR(__xludf.DUMMYFUNCTION("""COMPUTED_VALUE"""),10340)</f>
        <v>10340</v>
      </c>
      <c r="E1361" s="1" t="str">
        <f ca="1">IFERROR(__xludf.DUMMYFUNCTION("""COMPUTED_VALUE"""),"Journal of Pest Science")</f>
        <v>Journal of Pest Science</v>
      </c>
      <c r="F1361" s="1" t="str">
        <f ca="1">IFERROR(__xludf.DUMMYFUNCTION("""COMPUTED_VALUE"""),"1612-4766")</f>
        <v>1612-4766</v>
      </c>
      <c r="G1361" s="1" t="str">
        <f ca="1">IFERROR(__xludf.DUMMYFUNCTION("""COMPUTED_VALUE"""),"1612-4758")</f>
        <v>1612-4758</v>
      </c>
      <c r="H1361" s="27" t="str">
        <f ca="1">IFERROR(__xludf.DUMMYFUNCTION("""COMPUTED_VALUE"""),"https://link.springer.com/journal/10340")</f>
        <v>https://link.springer.com/journal/10340</v>
      </c>
      <c r="I1361" s="1" t="str">
        <f ca="1">IFERROR(__xludf.DUMMYFUNCTION("""COMPUTED_VALUE"""),"Springer")</f>
        <v>Springer</v>
      </c>
      <c r="J1361" s="1">
        <f ca="1">IFERROR(__xludf.DUMMYFUNCTION("""COMPUTED_VALUE"""),2000)</f>
        <v>2000</v>
      </c>
      <c r="K1361" s="1" t="str">
        <f ca="1">IFERROR(__xludf.DUMMYFUNCTION("""COMPUTED_VALUE"""),"Biomedical and Life Sciences")</f>
        <v>Biomedical and Life Sciences</v>
      </c>
      <c r="L1361" s="1" t="str">
        <f ca="1">IFERROR(__xludf.DUMMYFUNCTION("""COMPUTED_VALUE"""),"〇")</f>
        <v>〇</v>
      </c>
      <c r="M1361" s="1" t="str">
        <f ca="1">IFERROR(__xludf.DUMMYFUNCTION("""COMPUTED_VALUE"""),"〇")</f>
        <v>〇</v>
      </c>
      <c r="N1361" s="1"/>
      <c r="O1361" s="1"/>
      <c r="P1361" s="1"/>
    </row>
    <row r="1362" spans="1:16" ht="14.25" customHeight="1" x14ac:dyDescent="0.25">
      <c r="A1362" s="1"/>
      <c r="B1362" s="1">
        <f ca="1"/>
        <v>1350</v>
      </c>
      <c r="C1362" s="1">
        <f ca="1">IFERROR(__xludf.DUMMYFUNCTION("""COMPUTED_VALUE"""),2023)</f>
        <v>2023</v>
      </c>
      <c r="D1362" s="1">
        <f ca="1">IFERROR(__xludf.DUMMYFUNCTION("""COMPUTED_VALUE"""),12247)</f>
        <v>12247</v>
      </c>
      <c r="E1362" s="1" t="str">
        <f ca="1">IFERROR(__xludf.DUMMYFUNCTION("""COMPUTED_VALUE"""),"Journal of Pharmaceutical Innovation")</f>
        <v>Journal of Pharmaceutical Innovation</v>
      </c>
      <c r="F1362" s="1" t="str">
        <f ca="1">IFERROR(__xludf.DUMMYFUNCTION("""COMPUTED_VALUE"""),"1939-8042")</f>
        <v>1939-8042</v>
      </c>
      <c r="G1362" s="1"/>
      <c r="H1362" s="27" t="str">
        <f ca="1">IFERROR(__xludf.DUMMYFUNCTION("""COMPUTED_VALUE"""),"https://link.springer.com/journal/12247")</f>
        <v>https://link.springer.com/journal/12247</v>
      </c>
      <c r="I1362" s="1" t="str">
        <f ca="1">IFERROR(__xludf.DUMMYFUNCTION("""COMPUTED_VALUE"""),"Springer")</f>
        <v>Springer</v>
      </c>
      <c r="J1362" s="1">
        <f ca="1">IFERROR(__xludf.DUMMYFUNCTION("""COMPUTED_VALUE"""),2006)</f>
        <v>2006</v>
      </c>
      <c r="K1362" s="1" t="str">
        <f ca="1">IFERROR(__xludf.DUMMYFUNCTION("""COMPUTED_VALUE"""),"Biomedical and Life Sciences")</f>
        <v>Biomedical and Life Sciences</v>
      </c>
      <c r="L1362" s="1"/>
      <c r="M1362" s="1" t="str">
        <f ca="1">IFERROR(__xludf.DUMMYFUNCTION("""COMPUTED_VALUE"""),"〇")</f>
        <v>〇</v>
      </c>
      <c r="N1362" s="1" t="str">
        <f ca="1">IFERROR(__xludf.DUMMYFUNCTION("""COMPUTED_VALUE"""),"TO7")</f>
        <v>TO7</v>
      </c>
      <c r="O1362" s="1"/>
      <c r="P1362" s="1"/>
    </row>
    <row r="1363" spans="1:16" ht="14.25" customHeight="1" x14ac:dyDescent="0.25">
      <c r="A1363" s="1"/>
      <c r="B1363" s="1">
        <f ca="1"/>
        <v>1351</v>
      </c>
      <c r="C1363" s="1">
        <f ca="1">IFERROR(__xludf.DUMMYFUNCTION("""COMPUTED_VALUE"""),2023)</f>
        <v>2023</v>
      </c>
      <c r="D1363" s="1">
        <f ca="1">IFERROR(__xludf.DUMMYFUNCTION("""COMPUTED_VALUE"""),40005)</f>
        <v>40005</v>
      </c>
      <c r="E1363" s="1" t="str">
        <f ca="1">IFERROR(__xludf.DUMMYFUNCTION("""COMPUTED_VALUE"""),"Journal of Pharmaceutical Investigation")</f>
        <v>Journal of Pharmaceutical Investigation</v>
      </c>
      <c r="F1363" s="1" t="str">
        <f ca="1">IFERROR(__xludf.DUMMYFUNCTION("""COMPUTED_VALUE"""),"2093-6214")</f>
        <v>2093-6214</v>
      </c>
      <c r="G1363" s="1" t="str">
        <f ca="1">IFERROR(__xludf.DUMMYFUNCTION("""COMPUTED_VALUE"""),"2093-5552")</f>
        <v>2093-5552</v>
      </c>
      <c r="H1363" s="27" t="str">
        <f ca="1">IFERROR(__xludf.DUMMYFUNCTION("""COMPUTED_VALUE"""),"https://link.springer.com/journal/40005")</f>
        <v>https://link.springer.com/journal/40005</v>
      </c>
      <c r="I1363" s="1" t="str">
        <f ca="1">IFERROR(__xludf.DUMMYFUNCTION("""COMPUTED_VALUE"""),"Springer")</f>
        <v>Springer</v>
      </c>
      <c r="J1363" s="1">
        <f ca="1">IFERROR(__xludf.DUMMYFUNCTION("""COMPUTED_VALUE"""),2012)</f>
        <v>2012</v>
      </c>
      <c r="K1363" s="1" t="str">
        <f ca="1">IFERROR(__xludf.DUMMYFUNCTION("""COMPUTED_VALUE"""),"Biomedical and Life Sciences")</f>
        <v>Biomedical and Life Sciences</v>
      </c>
      <c r="L1363" s="1" t="str">
        <f ca="1">IFERROR(__xludf.DUMMYFUNCTION("""COMPUTED_VALUE"""),"〇")</f>
        <v>〇</v>
      </c>
      <c r="M1363" s="1"/>
      <c r="N1363" s="1" t="str">
        <f ca="1">IFERROR(__xludf.DUMMYFUNCTION("""COMPUTED_VALUE"""),"TO12")</f>
        <v>TO12</v>
      </c>
      <c r="O1363" s="1"/>
      <c r="P1363" s="1"/>
    </row>
    <row r="1364" spans="1:16" ht="14.25" customHeight="1" x14ac:dyDescent="0.25">
      <c r="A1364" s="1"/>
      <c r="B1364" s="1">
        <f ca="1"/>
        <v>1352</v>
      </c>
      <c r="C1364" s="1">
        <f ca="1">IFERROR(__xludf.DUMMYFUNCTION("""COMPUTED_VALUE"""),2023)</f>
        <v>2023</v>
      </c>
      <c r="D1364" s="1">
        <f ca="1">IFERROR(__xludf.DUMMYFUNCTION("""COMPUTED_VALUE"""),10928)</f>
        <v>10928</v>
      </c>
      <c r="E1364" s="1" t="str">
        <f ca="1">IFERROR(__xludf.DUMMYFUNCTION("""COMPUTED_VALUE"""),"Journal of Pharmacokinetics and Pharmacodynamics")</f>
        <v>Journal of Pharmacokinetics and Pharmacodynamics</v>
      </c>
      <c r="F1364" s="1" t="str">
        <f ca="1">IFERROR(__xludf.DUMMYFUNCTION("""COMPUTED_VALUE"""),"1573-8744")</f>
        <v>1573-8744</v>
      </c>
      <c r="G1364" s="1" t="str">
        <f ca="1">IFERROR(__xludf.DUMMYFUNCTION("""COMPUTED_VALUE"""),"1567-567X")</f>
        <v>1567-567X</v>
      </c>
      <c r="H1364" s="27" t="str">
        <f ca="1">IFERROR(__xludf.DUMMYFUNCTION("""COMPUTED_VALUE"""),"https://link.springer.com/journal/10928")</f>
        <v>https://link.springer.com/journal/10928</v>
      </c>
      <c r="I1364" s="1" t="str">
        <f ca="1">IFERROR(__xludf.DUMMYFUNCTION("""COMPUTED_VALUE"""),"Springer")</f>
        <v>Springer</v>
      </c>
      <c r="J1364" s="1">
        <f ca="1">IFERROR(__xludf.DUMMYFUNCTION("""COMPUTED_VALUE"""),2000)</f>
        <v>2000</v>
      </c>
      <c r="K1364" s="1" t="str">
        <f ca="1">IFERROR(__xludf.DUMMYFUNCTION("""COMPUTED_VALUE"""),"Biomedical and Life Sciences")</f>
        <v>Biomedical and Life Sciences</v>
      </c>
      <c r="L1364" s="1" t="str">
        <f ca="1">IFERROR(__xludf.DUMMYFUNCTION("""COMPUTED_VALUE"""),"〇")</f>
        <v>〇</v>
      </c>
      <c r="M1364" s="1" t="str">
        <f ca="1">IFERROR(__xludf.DUMMYFUNCTION("""COMPUTED_VALUE"""),"〇")</f>
        <v>〇</v>
      </c>
      <c r="N1364" s="1"/>
      <c r="O1364" s="1"/>
      <c r="P1364" s="1"/>
    </row>
    <row r="1365" spans="1:16" ht="14.25" customHeight="1" x14ac:dyDescent="0.25">
      <c r="A1365" s="1"/>
      <c r="B1365" s="1">
        <f ca="1"/>
        <v>1353</v>
      </c>
      <c r="C1365" s="1">
        <f ca="1">IFERROR(__xludf.DUMMYFUNCTION("""COMPUTED_VALUE"""),2023)</f>
        <v>2023</v>
      </c>
      <c r="D1365" s="1">
        <f ca="1">IFERROR(__xludf.DUMMYFUNCTION("""COMPUTED_VALUE"""),11669)</f>
        <v>11669</v>
      </c>
      <c r="E1365" s="1" t="str">
        <f ca="1">IFERROR(__xludf.DUMMYFUNCTION("""COMPUTED_VALUE"""),"Journal of Phase Equilibria and Diffusion")</f>
        <v>Journal of Phase Equilibria and Diffusion</v>
      </c>
      <c r="F1365" s="1" t="str">
        <f ca="1">IFERROR(__xludf.DUMMYFUNCTION("""COMPUTED_VALUE"""),"1863-7345")</f>
        <v>1863-7345</v>
      </c>
      <c r="G1365" s="1" t="str">
        <f ca="1">IFERROR(__xludf.DUMMYFUNCTION("""COMPUTED_VALUE"""),"1547-7037")</f>
        <v>1547-7037</v>
      </c>
      <c r="H1365" s="27" t="str">
        <f ca="1">IFERROR(__xludf.DUMMYFUNCTION("""COMPUTED_VALUE"""),"https://link.springer.com/journal/11669")</f>
        <v>https://link.springer.com/journal/11669</v>
      </c>
      <c r="I1365" s="1" t="str">
        <f ca="1">IFERROR(__xludf.DUMMYFUNCTION("""COMPUTED_VALUE"""),"Springer")</f>
        <v>Springer</v>
      </c>
      <c r="J1365" s="1">
        <f ca="1">IFERROR(__xludf.DUMMYFUNCTION("""COMPUTED_VALUE"""),2000)</f>
        <v>2000</v>
      </c>
      <c r="K1365" s="1" t="str">
        <f ca="1">IFERROR(__xludf.DUMMYFUNCTION("""COMPUTED_VALUE"""),"Physics and Astronomy")</f>
        <v>Physics and Astronomy</v>
      </c>
      <c r="L1365" s="1" t="str">
        <f ca="1">IFERROR(__xludf.DUMMYFUNCTION("""COMPUTED_VALUE"""),"〇")</f>
        <v>〇</v>
      </c>
      <c r="M1365" s="1" t="str">
        <f ca="1">IFERROR(__xludf.DUMMYFUNCTION("""COMPUTED_VALUE"""),"〇")</f>
        <v>〇</v>
      </c>
      <c r="N1365" s="1" t="str">
        <f ca="1">IFERROR(__xludf.DUMMYFUNCTION("""COMPUTED_VALUE"""),"TO7")</f>
        <v>TO7</v>
      </c>
      <c r="O1365" s="1"/>
      <c r="P1365" s="1"/>
    </row>
    <row r="1366" spans="1:16" ht="14.25" customHeight="1" x14ac:dyDescent="0.25">
      <c r="A1366" s="1"/>
      <c r="B1366" s="1">
        <f ca="1"/>
        <v>1354</v>
      </c>
      <c r="C1366" s="1">
        <f ca="1">IFERROR(__xludf.DUMMYFUNCTION("""COMPUTED_VALUE"""),2023)</f>
        <v>2023</v>
      </c>
      <c r="D1366" s="1">
        <f ca="1">IFERROR(__xludf.DUMMYFUNCTION("""COMPUTED_VALUE"""),10992)</f>
        <v>10992</v>
      </c>
      <c r="E1366" s="1" t="str">
        <f ca="1">IFERROR(__xludf.DUMMYFUNCTION("""COMPUTED_VALUE"""),"Journal of Philosophical Logic")</f>
        <v>Journal of Philosophical Logic</v>
      </c>
      <c r="F1366" s="1" t="str">
        <f ca="1">IFERROR(__xludf.DUMMYFUNCTION("""COMPUTED_VALUE"""),"1573-0433")</f>
        <v>1573-0433</v>
      </c>
      <c r="G1366" s="1" t="str">
        <f ca="1">IFERROR(__xludf.DUMMYFUNCTION("""COMPUTED_VALUE"""),"0022-3611")</f>
        <v>0022-3611</v>
      </c>
      <c r="H1366" s="27" t="str">
        <f ca="1">IFERROR(__xludf.DUMMYFUNCTION("""COMPUTED_VALUE"""),"https://link.springer.com/journal/10992")</f>
        <v>https://link.springer.com/journal/10992</v>
      </c>
      <c r="I1366" s="1" t="str">
        <f ca="1">IFERROR(__xludf.DUMMYFUNCTION("""COMPUTED_VALUE"""),"Springer")</f>
        <v>Springer</v>
      </c>
      <c r="J1366" s="1">
        <f ca="1">IFERROR(__xludf.DUMMYFUNCTION("""COMPUTED_VALUE"""),2000)</f>
        <v>2000</v>
      </c>
      <c r="K1366" s="1" t="str">
        <f ca="1">IFERROR(__xludf.DUMMYFUNCTION("""COMPUTED_VALUE"""),"Education")</f>
        <v>Education</v>
      </c>
      <c r="L1366" s="1" t="str">
        <f ca="1">IFERROR(__xludf.DUMMYFUNCTION("""COMPUTED_VALUE"""),"〇")</f>
        <v>〇</v>
      </c>
      <c r="M1366" s="1" t="str">
        <f ca="1">IFERROR(__xludf.DUMMYFUNCTION("""COMPUTED_VALUE"""),"〇")</f>
        <v>〇</v>
      </c>
      <c r="N1366" s="1"/>
      <c r="O1366" s="1"/>
      <c r="P1366" s="1"/>
    </row>
    <row r="1367" spans="1:16" ht="14.25" customHeight="1" x14ac:dyDescent="0.25">
      <c r="A1367" s="1"/>
      <c r="B1367" s="1">
        <f ca="1"/>
        <v>1355</v>
      </c>
      <c r="C1367" s="1">
        <f ca="1">IFERROR(__xludf.DUMMYFUNCTION("""COMPUTED_VALUE"""),2023)</f>
        <v>2023</v>
      </c>
      <c r="D1367" s="1">
        <f ca="1">IFERROR(__xludf.DUMMYFUNCTION("""COMPUTED_VALUE"""),13105)</f>
        <v>13105</v>
      </c>
      <c r="E1367" s="1" t="str">
        <f ca="1">IFERROR(__xludf.DUMMYFUNCTION("""COMPUTED_VALUE"""),"Journal of Physiology and Biochemistry")</f>
        <v>Journal of Physiology and Biochemistry</v>
      </c>
      <c r="F1367" s="1" t="str">
        <f ca="1">IFERROR(__xludf.DUMMYFUNCTION("""COMPUTED_VALUE"""),"1877-8755")</f>
        <v>1877-8755</v>
      </c>
      <c r="G1367" s="1" t="str">
        <f ca="1">IFERROR(__xludf.DUMMYFUNCTION("""COMPUTED_VALUE"""),"1138-7548")</f>
        <v>1138-7548</v>
      </c>
      <c r="H1367" s="27" t="str">
        <f ca="1">IFERROR(__xludf.DUMMYFUNCTION("""COMPUTED_VALUE"""),"https://link.springer.com/journal/13105")</f>
        <v>https://link.springer.com/journal/13105</v>
      </c>
      <c r="I1367" s="1" t="str">
        <f ca="1">IFERROR(__xludf.DUMMYFUNCTION("""COMPUTED_VALUE"""),"Springer")</f>
        <v>Springer</v>
      </c>
      <c r="J1367" s="1">
        <f ca="1">IFERROR(__xludf.DUMMYFUNCTION("""COMPUTED_VALUE"""),2000)</f>
        <v>2000</v>
      </c>
      <c r="K1367" s="1" t="str">
        <f ca="1">IFERROR(__xludf.DUMMYFUNCTION("""COMPUTED_VALUE"""),"Biomedical and Life Sciences")</f>
        <v>Biomedical and Life Sciences</v>
      </c>
      <c r="L1367" s="1" t="str">
        <f ca="1">IFERROR(__xludf.DUMMYFUNCTION("""COMPUTED_VALUE"""),"〇")</f>
        <v>〇</v>
      </c>
      <c r="M1367" s="1"/>
      <c r="N1367" s="1" t="str">
        <f ca="1">IFERROR(__xludf.DUMMYFUNCTION("""COMPUTED_VALUE"""),"TO10")</f>
        <v>TO10</v>
      </c>
      <c r="O1367" s="1"/>
      <c r="P1367" s="1"/>
    </row>
    <row r="1368" spans="1:16" ht="14.25" customHeight="1" x14ac:dyDescent="0.25">
      <c r="A1368" s="1"/>
      <c r="B1368" s="1">
        <f ca="1"/>
        <v>1356</v>
      </c>
      <c r="C1368" s="1">
        <f ca="1">IFERROR(__xludf.DUMMYFUNCTION("""COMPUTED_VALUE"""),2023)</f>
        <v>2023</v>
      </c>
      <c r="D1368" s="1">
        <f ca="1">IFERROR(__xludf.DUMMYFUNCTION("""COMPUTED_VALUE"""),13562)</f>
        <v>13562</v>
      </c>
      <c r="E1368" s="1" t="str">
        <f ca="1">IFERROR(__xludf.DUMMYFUNCTION("""COMPUTED_VALUE"""),"Journal of Plant Biochemistry and Biotechnology")</f>
        <v>Journal of Plant Biochemistry and Biotechnology</v>
      </c>
      <c r="F1368" s="1" t="str">
        <f ca="1">IFERROR(__xludf.DUMMYFUNCTION("""COMPUTED_VALUE"""),"0974-1275")</f>
        <v>0974-1275</v>
      </c>
      <c r="G1368" s="1" t="str">
        <f ca="1">IFERROR(__xludf.DUMMYFUNCTION("""COMPUTED_VALUE"""),"0971-7811")</f>
        <v>0971-7811</v>
      </c>
      <c r="H1368" s="27" t="str">
        <f ca="1">IFERROR(__xludf.DUMMYFUNCTION("""COMPUTED_VALUE"""),"https://link.springer.com/journal/13562")</f>
        <v>https://link.springer.com/journal/13562</v>
      </c>
      <c r="I1368" s="1" t="str">
        <f ca="1">IFERROR(__xludf.DUMMYFUNCTION("""COMPUTED_VALUE"""),"Springer")</f>
        <v>Springer</v>
      </c>
      <c r="J1368" s="1">
        <f ca="1">IFERROR(__xludf.DUMMYFUNCTION("""COMPUTED_VALUE"""),2000)</f>
        <v>2000</v>
      </c>
      <c r="K1368" s="1" t="str">
        <f ca="1">IFERROR(__xludf.DUMMYFUNCTION("""COMPUTED_VALUE"""),"Biomedical and Life Sciences")</f>
        <v>Biomedical and Life Sciences</v>
      </c>
      <c r="L1368" s="1" t="str">
        <f ca="1">IFERROR(__xludf.DUMMYFUNCTION("""COMPUTED_VALUE"""),"〇")</f>
        <v>〇</v>
      </c>
      <c r="M1368" s="1"/>
      <c r="N1368" s="1" t="str">
        <f ca="1">IFERROR(__xludf.DUMMYFUNCTION("""COMPUTED_VALUE"""),"TO11")</f>
        <v>TO11</v>
      </c>
      <c r="O1368" s="1"/>
      <c r="P1368" s="1"/>
    </row>
    <row r="1369" spans="1:16" ht="14.25" customHeight="1" x14ac:dyDescent="0.25">
      <c r="A1369" s="1"/>
      <c r="B1369" s="1">
        <f ca="1"/>
        <v>1357</v>
      </c>
      <c r="C1369" s="1">
        <f ca="1">IFERROR(__xludf.DUMMYFUNCTION("""COMPUTED_VALUE"""),2023)</f>
        <v>2023</v>
      </c>
      <c r="D1369" s="1">
        <f ca="1">IFERROR(__xludf.DUMMYFUNCTION("""COMPUTED_VALUE"""),12374)</f>
        <v>12374</v>
      </c>
      <c r="E1369" s="1" t="str">
        <f ca="1">IFERROR(__xludf.DUMMYFUNCTION("""COMPUTED_VALUE"""),"Journal of Plant Biology")</f>
        <v>Journal of Plant Biology</v>
      </c>
      <c r="F1369" s="1" t="str">
        <f ca="1">IFERROR(__xludf.DUMMYFUNCTION("""COMPUTED_VALUE"""),"1867-0725")</f>
        <v>1867-0725</v>
      </c>
      <c r="G1369" s="1" t="str">
        <f ca="1">IFERROR(__xludf.DUMMYFUNCTION("""COMPUTED_VALUE"""),"1226-9239")</f>
        <v>1226-9239</v>
      </c>
      <c r="H1369" s="27" t="str">
        <f ca="1">IFERROR(__xludf.DUMMYFUNCTION("""COMPUTED_VALUE"""),"https://link.springer.com/journal/12374")</f>
        <v>https://link.springer.com/journal/12374</v>
      </c>
      <c r="I1369" s="1" t="str">
        <f ca="1">IFERROR(__xludf.DUMMYFUNCTION("""COMPUTED_VALUE"""),"Springer")</f>
        <v>Springer</v>
      </c>
      <c r="J1369" s="1">
        <f ca="1">IFERROR(__xludf.DUMMYFUNCTION("""COMPUTED_VALUE"""),2000)</f>
        <v>2000</v>
      </c>
      <c r="K1369" s="1" t="str">
        <f ca="1">IFERROR(__xludf.DUMMYFUNCTION("""COMPUTED_VALUE"""),"Biomedical and Life Sciences")</f>
        <v>Biomedical and Life Sciences</v>
      </c>
      <c r="L1369" s="1" t="str">
        <f ca="1">IFERROR(__xludf.DUMMYFUNCTION("""COMPUTED_VALUE"""),"〇")</f>
        <v>〇</v>
      </c>
      <c r="M1369" s="1"/>
      <c r="N1369" s="1" t="str">
        <f ca="1">IFERROR(__xludf.DUMMYFUNCTION("""COMPUTED_VALUE"""),"TO9")</f>
        <v>TO9</v>
      </c>
      <c r="O1369" s="1"/>
      <c r="P1369" s="1"/>
    </row>
    <row r="1370" spans="1:16" ht="14.25" customHeight="1" x14ac:dyDescent="0.25">
      <c r="A1370" s="1"/>
      <c r="B1370" s="1">
        <f ca="1"/>
        <v>1358</v>
      </c>
      <c r="C1370" s="1">
        <f ca="1">IFERROR(__xludf.DUMMYFUNCTION("""COMPUTED_VALUE"""),2023)</f>
        <v>2023</v>
      </c>
      <c r="D1370" s="1">
        <f ca="1">IFERROR(__xludf.DUMMYFUNCTION("""COMPUTED_VALUE"""),41348)</f>
        <v>41348</v>
      </c>
      <c r="E1370" s="1" t="str">
        <f ca="1">IFERROR(__xludf.DUMMYFUNCTION("""COMPUTED_VALUE"""),"Journal of Plant Diseases and Protection")</f>
        <v>Journal of Plant Diseases and Protection</v>
      </c>
      <c r="F1370" s="1" t="str">
        <f ca="1">IFERROR(__xludf.DUMMYFUNCTION("""COMPUTED_VALUE"""),"1861-3837")</f>
        <v>1861-3837</v>
      </c>
      <c r="G1370" s="1" t="str">
        <f ca="1">IFERROR(__xludf.DUMMYFUNCTION("""COMPUTED_VALUE"""),"1861-3829")</f>
        <v>1861-3829</v>
      </c>
      <c r="H1370" s="27" t="str">
        <f ca="1">IFERROR(__xludf.DUMMYFUNCTION("""COMPUTED_VALUE"""),"https://link.springer.com/journal/41348")</f>
        <v>https://link.springer.com/journal/41348</v>
      </c>
      <c r="I1370" s="1" t="str">
        <f ca="1">IFERROR(__xludf.DUMMYFUNCTION("""COMPUTED_VALUE"""),"Springer")</f>
        <v>Springer</v>
      </c>
      <c r="J1370" s="1">
        <f ca="1">IFERROR(__xludf.DUMMYFUNCTION("""COMPUTED_VALUE"""),2003)</f>
        <v>2003</v>
      </c>
      <c r="K1370" s="1" t="str">
        <f ca="1">IFERROR(__xludf.DUMMYFUNCTION("""COMPUTED_VALUE"""),"Biomedical and Life Sciences")</f>
        <v>Biomedical and Life Sciences</v>
      </c>
      <c r="L1370" s="1" t="str">
        <f ca="1">IFERROR(__xludf.DUMMYFUNCTION("""COMPUTED_VALUE"""),"〇")</f>
        <v>〇</v>
      </c>
      <c r="M1370" s="1"/>
      <c r="N1370" s="1" t="str">
        <f ca="1">IFERROR(__xludf.DUMMYFUNCTION("""COMPUTED_VALUE"""),"TO16")</f>
        <v>TO16</v>
      </c>
      <c r="O1370" s="1"/>
      <c r="P1370" s="1"/>
    </row>
    <row r="1371" spans="1:16" ht="14.25" customHeight="1" x14ac:dyDescent="0.25">
      <c r="A1371" s="1"/>
      <c r="B1371" s="1">
        <f ca="1"/>
        <v>1359</v>
      </c>
      <c r="C1371" s="1">
        <f ca="1">IFERROR(__xludf.DUMMYFUNCTION("""COMPUTED_VALUE"""),2023)</f>
        <v>2023</v>
      </c>
      <c r="D1371" s="1">
        <f ca="1">IFERROR(__xludf.DUMMYFUNCTION("""COMPUTED_VALUE"""),344)</f>
        <v>344</v>
      </c>
      <c r="E1371" s="1" t="str">
        <f ca="1">IFERROR(__xludf.DUMMYFUNCTION("""COMPUTED_VALUE"""),"Journal of Plant Growth Regulation")</f>
        <v>Journal of Plant Growth Regulation</v>
      </c>
      <c r="F1371" s="1" t="str">
        <f ca="1">IFERROR(__xludf.DUMMYFUNCTION("""COMPUTED_VALUE"""),"1435-8107")</f>
        <v>1435-8107</v>
      </c>
      <c r="G1371" s="1" t="str">
        <f ca="1">IFERROR(__xludf.DUMMYFUNCTION("""COMPUTED_VALUE"""),"0721-7595")</f>
        <v>0721-7595</v>
      </c>
      <c r="H1371" s="27" t="str">
        <f ca="1">IFERROR(__xludf.DUMMYFUNCTION("""COMPUTED_VALUE"""),"https://link.springer.com/journal/344")</f>
        <v>https://link.springer.com/journal/344</v>
      </c>
      <c r="I1371" s="1" t="str">
        <f ca="1">IFERROR(__xludf.DUMMYFUNCTION("""COMPUTED_VALUE"""),"Springer")</f>
        <v>Springer</v>
      </c>
      <c r="J1371" s="1">
        <f ca="1">IFERROR(__xludf.DUMMYFUNCTION("""COMPUTED_VALUE"""),2000)</f>
        <v>2000</v>
      </c>
      <c r="K1371" s="1" t="str">
        <f ca="1">IFERROR(__xludf.DUMMYFUNCTION("""COMPUTED_VALUE"""),"Biomedical and Life Sciences")</f>
        <v>Biomedical and Life Sciences</v>
      </c>
      <c r="L1371" s="1" t="str">
        <f ca="1">IFERROR(__xludf.DUMMYFUNCTION("""COMPUTED_VALUE"""),"〇")</f>
        <v>〇</v>
      </c>
      <c r="M1371" s="1" t="str">
        <f ca="1">IFERROR(__xludf.DUMMYFUNCTION("""COMPUTED_VALUE"""),"〇")</f>
        <v>〇</v>
      </c>
      <c r="N1371" s="1"/>
      <c r="O1371" s="1"/>
      <c r="P1371" s="1"/>
    </row>
    <row r="1372" spans="1:16" ht="14.25" customHeight="1" x14ac:dyDescent="0.25">
      <c r="A1372" s="1"/>
      <c r="B1372" s="1">
        <f ca="1"/>
        <v>1360</v>
      </c>
      <c r="C1372" s="1">
        <f ca="1">IFERROR(__xludf.DUMMYFUNCTION("""COMPUTED_VALUE"""),2023)</f>
        <v>2023</v>
      </c>
      <c r="D1372" s="1">
        <f ca="1">IFERROR(__xludf.DUMMYFUNCTION("""COMPUTED_VALUE"""),42161)</f>
        <v>42161</v>
      </c>
      <c r="E1372" s="1" t="str">
        <f ca="1">IFERROR(__xludf.DUMMYFUNCTION("""COMPUTED_VALUE"""),"Journal of Plant Pathology")</f>
        <v>Journal of Plant Pathology</v>
      </c>
      <c r="F1372" s="1" t="str">
        <f ca="1">IFERROR(__xludf.DUMMYFUNCTION("""COMPUTED_VALUE"""),"2239-7264")</f>
        <v>2239-7264</v>
      </c>
      <c r="G1372" s="1"/>
      <c r="H1372" s="27" t="str">
        <f ca="1">IFERROR(__xludf.DUMMYFUNCTION("""COMPUTED_VALUE"""),"https://link.springer.com/journal/42161")</f>
        <v>https://link.springer.com/journal/42161</v>
      </c>
      <c r="I1372" s="1" t="str">
        <f ca="1">IFERROR(__xludf.DUMMYFUNCTION("""COMPUTED_VALUE"""),"Springer")</f>
        <v>Springer</v>
      </c>
      <c r="J1372" s="1">
        <f ca="1">IFERROR(__xludf.DUMMYFUNCTION("""COMPUTED_VALUE"""),2018)</f>
        <v>2018</v>
      </c>
      <c r="K1372" s="1" t="str">
        <f ca="1">IFERROR(__xludf.DUMMYFUNCTION("""COMPUTED_VALUE"""),"Biomedical and Life Sciences")</f>
        <v>Biomedical and Life Sciences</v>
      </c>
      <c r="L1372" s="1"/>
      <c r="M1372" s="1"/>
      <c r="N1372" s="1" t="str">
        <f ca="1">IFERROR(__xludf.DUMMYFUNCTION("""COMPUTED_VALUE"""),"TO18")</f>
        <v>TO18</v>
      </c>
      <c r="O1372" s="1"/>
      <c r="P1372" s="1"/>
    </row>
    <row r="1373" spans="1:16" ht="14.25" customHeight="1" x14ac:dyDescent="0.25">
      <c r="A1373" s="1"/>
      <c r="B1373" s="1">
        <f ca="1"/>
        <v>1361</v>
      </c>
      <c r="C1373" s="1">
        <f ca="1">IFERROR(__xludf.DUMMYFUNCTION("""COMPUTED_VALUE"""),2023)</f>
        <v>2023</v>
      </c>
      <c r="D1373" s="1">
        <f ca="1">IFERROR(__xludf.DUMMYFUNCTION("""COMPUTED_VALUE"""),10265)</f>
        <v>10265</v>
      </c>
      <c r="E1373" s="1" t="str">
        <f ca="1">IFERROR(__xludf.DUMMYFUNCTION("""COMPUTED_VALUE"""),"Journal of Plant Research")</f>
        <v>Journal of Plant Research</v>
      </c>
      <c r="F1373" s="1" t="str">
        <f ca="1">IFERROR(__xludf.DUMMYFUNCTION("""COMPUTED_VALUE"""),"1618-0860")</f>
        <v>1618-0860</v>
      </c>
      <c r="G1373" s="1" t="str">
        <f ca="1">IFERROR(__xludf.DUMMYFUNCTION("""COMPUTED_VALUE"""),"0918-9440")</f>
        <v>0918-9440</v>
      </c>
      <c r="H1373" s="27" t="str">
        <f ca="1">IFERROR(__xludf.DUMMYFUNCTION("""COMPUTED_VALUE"""),"https://link.springer.com/journal/10265")</f>
        <v>https://link.springer.com/journal/10265</v>
      </c>
      <c r="I1373" s="1" t="str">
        <f ca="1">IFERROR(__xludf.DUMMYFUNCTION("""COMPUTED_VALUE"""),"Springer")</f>
        <v>Springer</v>
      </c>
      <c r="J1373" s="1">
        <f ca="1">IFERROR(__xludf.DUMMYFUNCTION("""COMPUTED_VALUE"""),2000)</f>
        <v>2000</v>
      </c>
      <c r="K1373" s="1" t="str">
        <f ca="1">IFERROR(__xludf.DUMMYFUNCTION("""COMPUTED_VALUE"""),"Biomedical and Life Sciences")</f>
        <v>Biomedical and Life Sciences</v>
      </c>
      <c r="L1373" s="1" t="str">
        <f ca="1">IFERROR(__xludf.DUMMYFUNCTION("""COMPUTED_VALUE"""),"〇")</f>
        <v>〇</v>
      </c>
      <c r="M1373" s="1" t="str">
        <f ca="1">IFERROR(__xludf.DUMMYFUNCTION("""COMPUTED_VALUE"""),"〇")</f>
        <v>〇</v>
      </c>
      <c r="N1373" s="1"/>
      <c r="O1373" s="1"/>
      <c r="P1373" s="1"/>
    </row>
    <row r="1374" spans="1:16" ht="14.25" customHeight="1" x14ac:dyDescent="0.25">
      <c r="A1374" s="1"/>
      <c r="B1374" s="1">
        <f ca="1"/>
        <v>1362</v>
      </c>
      <c r="C1374" s="1">
        <f ca="1">IFERROR(__xludf.DUMMYFUNCTION("""COMPUTED_VALUE"""),2023)</f>
        <v>2023</v>
      </c>
      <c r="D1374" s="1">
        <f ca="1">IFERROR(__xludf.DUMMYFUNCTION("""COMPUTED_VALUE"""),11896)</f>
        <v>11896</v>
      </c>
      <c r="E1374" s="1" t="str">
        <f ca="1">IFERROR(__xludf.DUMMYFUNCTION("""COMPUTED_VALUE"""),"Journal of Police and Criminal Psychology")</f>
        <v>Journal of Police and Criminal Psychology</v>
      </c>
      <c r="F1374" s="1" t="str">
        <f ca="1">IFERROR(__xludf.DUMMYFUNCTION("""COMPUTED_VALUE"""),"1936-6469")</f>
        <v>1936-6469</v>
      </c>
      <c r="G1374" s="1" t="str">
        <f ca="1">IFERROR(__xludf.DUMMYFUNCTION("""COMPUTED_VALUE"""),"0882-0783")</f>
        <v>0882-0783</v>
      </c>
      <c r="H1374" s="27" t="str">
        <f ca="1">IFERROR(__xludf.DUMMYFUNCTION("""COMPUTED_VALUE"""),"https://link.springer.com/journal/11896")</f>
        <v>https://link.springer.com/journal/11896</v>
      </c>
      <c r="I1374" s="1" t="str">
        <f ca="1">IFERROR(__xludf.DUMMYFUNCTION("""COMPUTED_VALUE"""),"Springer")</f>
        <v>Springer</v>
      </c>
      <c r="J1374" s="1">
        <f ca="1">IFERROR(__xludf.DUMMYFUNCTION("""COMPUTED_VALUE"""),2000)</f>
        <v>2000</v>
      </c>
      <c r="K1374" s="1" t="str">
        <f ca="1">IFERROR(__xludf.DUMMYFUNCTION("""COMPUTED_VALUE"""),"Behavioral Science and Psychology")</f>
        <v>Behavioral Science and Psychology</v>
      </c>
      <c r="L1374" s="1" t="str">
        <f ca="1">IFERROR(__xludf.DUMMYFUNCTION("""COMPUTED_VALUE"""),"〇")</f>
        <v>〇</v>
      </c>
      <c r="M1374" s="1" t="str">
        <f ca="1">IFERROR(__xludf.DUMMYFUNCTION("""COMPUTED_VALUE"""),"〇")</f>
        <v>〇</v>
      </c>
      <c r="N1374" s="1" t="str">
        <f ca="1">IFERROR(__xludf.DUMMYFUNCTION("""COMPUTED_VALUE"""),"TO7")</f>
        <v>TO7</v>
      </c>
      <c r="O1374" s="1"/>
      <c r="P1374" s="1"/>
    </row>
    <row r="1375" spans="1:16" ht="14.25" customHeight="1" x14ac:dyDescent="0.25">
      <c r="A1375" s="1"/>
      <c r="B1375" s="1">
        <f ca="1"/>
        <v>1363</v>
      </c>
      <c r="C1375" s="1">
        <f ca="1">IFERROR(__xludf.DUMMYFUNCTION("""COMPUTED_VALUE"""),2023)</f>
        <v>2023</v>
      </c>
      <c r="D1375" s="1">
        <f ca="1">IFERROR(__xludf.DUMMYFUNCTION("""COMPUTED_VALUE"""),42972)</f>
        <v>42972</v>
      </c>
      <c r="E1375" s="1" t="str">
        <f ca="1">IFERROR(__xludf.DUMMYFUNCTION("""COMPUTED_VALUE"""),"Journal of Policy Practice and Research")</f>
        <v>Journal of Policy Practice and Research</v>
      </c>
      <c r="F1375" s="1" t="str">
        <f ca="1">IFERROR(__xludf.DUMMYFUNCTION("""COMPUTED_VALUE"""),"2662-1517")</f>
        <v>2662-1517</v>
      </c>
      <c r="G1375" s="1"/>
      <c r="H1375" s="27" t="str">
        <f ca="1">IFERROR(__xludf.DUMMYFUNCTION("""COMPUTED_VALUE"""),"https://link.springer.com/journal/42972")</f>
        <v>https://link.springer.com/journal/42972</v>
      </c>
      <c r="I1375" s="1" t="str">
        <f ca="1">IFERROR(__xludf.DUMMYFUNCTION("""COMPUTED_VALUE"""),"Springer")</f>
        <v>Springer</v>
      </c>
      <c r="J1375" s="1">
        <f ca="1">IFERROR(__xludf.DUMMYFUNCTION("""COMPUTED_VALUE"""),2020)</f>
        <v>2020</v>
      </c>
      <c r="K1375" s="1" t="str">
        <f ca="1">IFERROR(__xludf.DUMMYFUNCTION("""COMPUTED_VALUE"""),"Social Sciences")</f>
        <v>Social Sciences</v>
      </c>
      <c r="L1375" s="1"/>
      <c r="M1375" s="1"/>
      <c r="N1375" s="1" t="str">
        <f ca="1">IFERROR(__xludf.DUMMYFUNCTION("""COMPUTED_VALUE"""),"SNS20")</f>
        <v>SNS20</v>
      </c>
      <c r="O1375" s="1"/>
      <c r="P1375" s="1"/>
    </row>
    <row r="1376" spans="1:16" ht="14.25" customHeight="1" x14ac:dyDescent="0.25">
      <c r="A1376" s="1"/>
      <c r="B1376" s="1">
        <f ca="1"/>
        <v>1364</v>
      </c>
      <c r="C1376" s="1">
        <f ca="1">IFERROR(__xludf.DUMMYFUNCTION("""COMPUTED_VALUE"""),2023)</f>
        <v>2023</v>
      </c>
      <c r="D1376" s="1">
        <f ca="1">IFERROR(__xludf.DUMMYFUNCTION("""COMPUTED_VALUE"""),10965)</f>
        <v>10965</v>
      </c>
      <c r="E1376" s="1" t="str">
        <f ca="1">IFERROR(__xludf.DUMMYFUNCTION("""COMPUTED_VALUE"""),"Journal of Polymer Research")</f>
        <v>Journal of Polymer Research</v>
      </c>
      <c r="F1376" s="1" t="str">
        <f ca="1">IFERROR(__xludf.DUMMYFUNCTION("""COMPUTED_VALUE"""),"1572-8935")</f>
        <v>1572-8935</v>
      </c>
      <c r="G1376" s="1" t="str">
        <f ca="1">IFERROR(__xludf.DUMMYFUNCTION("""COMPUTED_VALUE"""),"1022-9760")</f>
        <v>1022-9760</v>
      </c>
      <c r="H1376" s="27" t="str">
        <f ca="1">IFERROR(__xludf.DUMMYFUNCTION("""COMPUTED_VALUE"""),"https://link.springer.com/journal/10965")</f>
        <v>https://link.springer.com/journal/10965</v>
      </c>
      <c r="I1376" s="1" t="str">
        <f ca="1">IFERROR(__xludf.DUMMYFUNCTION("""COMPUTED_VALUE"""),"Springer")</f>
        <v>Springer</v>
      </c>
      <c r="J1376" s="1">
        <f ca="1">IFERROR(__xludf.DUMMYFUNCTION("""COMPUTED_VALUE"""),2000)</f>
        <v>2000</v>
      </c>
      <c r="K1376" s="1" t="str">
        <f ca="1">IFERROR(__xludf.DUMMYFUNCTION("""COMPUTED_VALUE"""),"Chemistry and Materials Science")</f>
        <v>Chemistry and Materials Science</v>
      </c>
      <c r="L1376" s="1" t="str">
        <f ca="1">IFERROR(__xludf.DUMMYFUNCTION("""COMPUTED_VALUE"""),"〇")</f>
        <v>〇</v>
      </c>
      <c r="M1376" s="1" t="str">
        <f ca="1">IFERROR(__xludf.DUMMYFUNCTION("""COMPUTED_VALUE"""),"〇")</f>
        <v>〇</v>
      </c>
      <c r="N1376" s="1"/>
      <c r="O1376" s="1"/>
      <c r="P1376" s="1"/>
    </row>
    <row r="1377" spans="1:16" ht="14.25" customHeight="1" x14ac:dyDescent="0.25">
      <c r="A1377" s="1"/>
      <c r="B1377" s="1">
        <f ca="1"/>
        <v>1365</v>
      </c>
      <c r="C1377" s="1">
        <f ca="1">IFERROR(__xludf.DUMMYFUNCTION("""COMPUTED_VALUE"""),2023)</f>
        <v>2023</v>
      </c>
      <c r="D1377" s="1">
        <f ca="1">IFERROR(__xludf.DUMMYFUNCTION("""COMPUTED_VALUE"""),10924)</f>
        <v>10924</v>
      </c>
      <c r="E1377" s="1" t="str">
        <f ca="1">IFERROR(__xludf.DUMMYFUNCTION("""COMPUTED_VALUE"""),"Journal of Polymers and the Environment")</f>
        <v>Journal of Polymers and the Environment</v>
      </c>
      <c r="F1377" s="1" t="str">
        <f ca="1">IFERROR(__xludf.DUMMYFUNCTION("""COMPUTED_VALUE"""),"1572-8919")</f>
        <v>1572-8919</v>
      </c>
      <c r="G1377" s="1" t="str">
        <f ca="1">IFERROR(__xludf.DUMMYFUNCTION("""COMPUTED_VALUE"""),"1566-2543")</f>
        <v>1566-2543</v>
      </c>
      <c r="H1377" s="27" t="str">
        <f ca="1">IFERROR(__xludf.DUMMYFUNCTION("""COMPUTED_VALUE"""),"https://link.springer.com/journal/10924")</f>
        <v>https://link.springer.com/journal/10924</v>
      </c>
      <c r="I1377" s="1" t="str">
        <f ca="1">IFERROR(__xludf.DUMMYFUNCTION("""COMPUTED_VALUE"""),"Springer")</f>
        <v>Springer</v>
      </c>
      <c r="J1377" s="1">
        <f ca="1">IFERROR(__xludf.DUMMYFUNCTION("""COMPUTED_VALUE"""),2000)</f>
        <v>2000</v>
      </c>
      <c r="K1377" s="1" t="str">
        <f ca="1">IFERROR(__xludf.DUMMYFUNCTION("""COMPUTED_VALUE"""),"Chemistry and Materials Science")</f>
        <v>Chemistry and Materials Science</v>
      </c>
      <c r="L1377" s="1" t="str">
        <f ca="1">IFERROR(__xludf.DUMMYFUNCTION("""COMPUTED_VALUE"""),"〇")</f>
        <v>〇</v>
      </c>
      <c r="M1377" s="1" t="str">
        <f ca="1">IFERROR(__xludf.DUMMYFUNCTION("""COMPUTED_VALUE"""),"〇")</f>
        <v>〇</v>
      </c>
      <c r="N1377" s="1"/>
      <c r="O1377" s="1"/>
      <c r="P1377" s="1"/>
    </row>
    <row r="1378" spans="1:16" ht="14.25" customHeight="1" x14ac:dyDescent="0.25">
      <c r="A1378" s="1"/>
      <c r="B1378" s="1">
        <f ca="1"/>
        <v>1366</v>
      </c>
      <c r="C1378" s="1">
        <f ca="1">IFERROR(__xludf.DUMMYFUNCTION("""COMPUTED_VALUE"""),2023)</f>
        <v>2023</v>
      </c>
      <c r="D1378" s="1">
        <f ca="1">IFERROR(__xludf.DUMMYFUNCTION("""COMPUTED_VALUE"""),12062)</f>
        <v>12062</v>
      </c>
      <c r="E1378" s="1" t="str">
        <f ca="1">IFERROR(__xludf.DUMMYFUNCTION("""COMPUTED_VALUE"""),"Journal of Population Ageing")</f>
        <v>Journal of Population Ageing</v>
      </c>
      <c r="F1378" s="1" t="str">
        <f ca="1">IFERROR(__xludf.DUMMYFUNCTION("""COMPUTED_VALUE"""),"1874-7876")</f>
        <v>1874-7876</v>
      </c>
      <c r="G1378" s="1" t="str">
        <f ca="1">IFERROR(__xludf.DUMMYFUNCTION("""COMPUTED_VALUE"""),"1874-7884")</f>
        <v>1874-7884</v>
      </c>
      <c r="H1378" s="27" t="str">
        <f ca="1">IFERROR(__xludf.DUMMYFUNCTION("""COMPUTED_VALUE"""),"https://link.springer.com/journal/12062")</f>
        <v>https://link.springer.com/journal/12062</v>
      </c>
      <c r="I1378" s="1" t="str">
        <f ca="1">IFERROR(__xludf.DUMMYFUNCTION("""COMPUTED_VALUE"""),"Springer")</f>
        <v>Springer</v>
      </c>
      <c r="J1378" s="1">
        <f ca="1">IFERROR(__xludf.DUMMYFUNCTION("""COMPUTED_VALUE"""),2008)</f>
        <v>2008</v>
      </c>
      <c r="K1378" s="1" t="str">
        <f ca="1">IFERROR(__xludf.DUMMYFUNCTION("""COMPUTED_VALUE"""),"Social Sciences")</f>
        <v>Social Sciences</v>
      </c>
      <c r="L1378" s="1" t="str">
        <f ca="1">IFERROR(__xludf.DUMMYFUNCTION("""COMPUTED_VALUE"""),"〇")</f>
        <v>〇</v>
      </c>
      <c r="M1378" s="1" t="str">
        <f ca="1">IFERROR(__xludf.DUMMYFUNCTION("""COMPUTED_VALUE"""),"〇")</f>
        <v>〇</v>
      </c>
      <c r="N1378" s="1" t="str">
        <f ca="1">IFERROR(__xludf.DUMMYFUNCTION("""COMPUTED_VALUE"""),"SNS8")</f>
        <v>SNS8</v>
      </c>
      <c r="O1378" s="1"/>
      <c r="P1378" s="1"/>
    </row>
    <row r="1379" spans="1:16" ht="14.25" customHeight="1" x14ac:dyDescent="0.25">
      <c r="A1379" s="1"/>
      <c r="B1379" s="1">
        <f ca="1"/>
        <v>1367</v>
      </c>
      <c r="C1379" s="1">
        <f ca="1">IFERROR(__xludf.DUMMYFUNCTION("""COMPUTED_VALUE"""),2023)</f>
        <v>2023</v>
      </c>
      <c r="D1379" s="1">
        <f ca="1">IFERROR(__xludf.DUMMYFUNCTION("""COMPUTED_VALUE"""),148)</f>
        <v>148</v>
      </c>
      <c r="E1379" s="1" t="str">
        <f ca="1">IFERROR(__xludf.DUMMYFUNCTION("""COMPUTED_VALUE"""),"Journal of Population Economics")</f>
        <v>Journal of Population Economics</v>
      </c>
      <c r="F1379" s="1" t="str">
        <f ca="1">IFERROR(__xludf.DUMMYFUNCTION("""COMPUTED_VALUE"""),"1432-1475")</f>
        <v>1432-1475</v>
      </c>
      <c r="G1379" s="1" t="str">
        <f ca="1">IFERROR(__xludf.DUMMYFUNCTION("""COMPUTED_VALUE"""),"0933-1433")</f>
        <v>0933-1433</v>
      </c>
      <c r="H1379" s="27" t="str">
        <f ca="1">IFERROR(__xludf.DUMMYFUNCTION("""COMPUTED_VALUE"""),"https://link.springer.com/journal/148")</f>
        <v>https://link.springer.com/journal/148</v>
      </c>
      <c r="I1379" s="1" t="str">
        <f ca="1">IFERROR(__xludf.DUMMYFUNCTION("""COMPUTED_VALUE"""),"Springer")</f>
        <v>Springer</v>
      </c>
      <c r="J1379" s="1">
        <f ca="1">IFERROR(__xludf.DUMMYFUNCTION("""COMPUTED_VALUE"""),2000)</f>
        <v>2000</v>
      </c>
      <c r="K1379" s="1" t="str">
        <f ca="1">IFERROR(__xludf.DUMMYFUNCTION("""COMPUTED_VALUE"""),"Economics and Finance")</f>
        <v>Economics and Finance</v>
      </c>
      <c r="L1379" s="1" t="str">
        <f ca="1">IFERROR(__xludf.DUMMYFUNCTION("""COMPUTED_VALUE"""),"〇")</f>
        <v>〇</v>
      </c>
      <c r="M1379" s="1" t="str">
        <f ca="1">IFERROR(__xludf.DUMMYFUNCTION("""COMPUTED_VALUE"""),"〇")</f>
        <v>〇</v>
      </c>
      <c r="N1379" s="1"/>
      <c r="O1379" s="1"/>
      <c r="P1379" s="1"/>
    </row>
    <row r="1380" spans="1:16" ht="14.25" customHeight="1" x14ac:dyDescent="0.25">
      <c r="A1380" s="1"/>
      <c r="B1380" s="1">
        <f ca="1"/>
        <v>1368</v>
      </c>
      <c r="C1380" s="1">
        <f ca="1">IFERROR(__xludf.DUMMYFUNCTION("""COMPUTED_VALUE"""),2023)</f>
        <v>2023</v>
      </c>
      <c r="D1380" s="1">
        <f ca="1">IFERROR(__xludf.DUMMYFUNCTION("""COMPUTED_VALUE"""),12546)</f>
        <v>12546</v>
      </c>
      <c r="E1380" s="1" t="str">
        <f ca="1">IFERROR(__xludf.DUMMYFUNCTION("""COMPUTED_VALUE"""),"Journal of Population Research")</f>
        <v>Journal of Population Research</v>
      </c>
      <c r="F1380" s="1" t="str">
        <f ca="1">IFERROR(__xludf.DUMMYFUNCTION("""COMPUTED_VALUE"""),"1835-9469")</f>
        <v>1835-9469</v>
      </c>
      <c r="G1380" s="1" t="str">
        <f ca="1">IFERROR(__xludf.DUMMYFUNCTION("""COMPUTED_VALUE"""),"1443-2447")</f>
        <v>1443-2447</v>
      </c>
      <c r="H1380" s="27" t="str">
        <f ca="1">IFERROR(__xludf.DUMMYFUNCTION("""COMPUTED_VALUE"""),"https://link.springer.com/journal/12546")</f>
        <v>https://link.springer.com/journal/12546</v>
      </c>
      <c r="I1380" s="1" t="str">
        <f ca="1">IFERROR(__xludf.DUMMYFUNCTION("""COMPUTED_VALUE"""),"Springer")</f>
        <v>Springer</v>
      </c>
      <c r="J1380" s="1">
        <f ca="1">IFERROR(__xludf.DUMMYFUNCTION("""COMPUTED_VALUE"""),2000)</f>
        <v>2000</v>
      </c>
      <c r="K1380" s="1" t="str">
        <f ca="1">IFERROR(__xludf.DUMMYFUNCTION("""COMPUTED_VALUE"""),"Social Sciences")</f>
        <v>Social Sciences</v>
      </c>
      <c r="L1380" s="1" t="str">
        <f ca="1">IFERROR(__xludf.DUMMYFUNCTION("""COMPUTED_VALUE"""),"〇")</f>
        <v>〇</v>
      </c>
      <c r="M1380" s="1"/>
      <c r="N1380" s="1" t="str">
        <f ca="1">IFERROR(__xludf.DUMMYFUNCTION("""COMPUTED_VALUE"""),"TO9")</f>
        <v>TO9</v>
      </c>
      <c r="O1380" s="1"/>
      <c r="P1380" s="1"/>
    </row>
    <row r="1381" spans="1:16" ht="14.25" customHeight="1" x14ac:dyDescent="0.25">
      <c r="A1381" s="1"/>
      <c r="B1381" s="1">
        <f ca="1"/>
        <v>1369</v>
      </c>
      <c r="C1381" s="1">
        <f ca="1">IFERROR(__xludf.DUMMYFUNCTION("""COMPUTED_VALUE"""),2023)</f>
        <v>2023</v>
      </c>
      <c r="D1381" s="1">
        <f ca="1">IFERROR(__xludf.DUMMYFUNCTION("""COMPUTED_VALUE"""),10934)</f>
        <v>10934</v>
      </c>
      <c r="E1381" s="1" t="str">
        <f ca="1">IFERROR(__xludf.DUMMYFUNCTION("""COMPUTED_VALUE"""),"Journal of Porous Materials")</f>
        <v>Journal of Porous Materials</v>
      </c>
      <c r="F1381" s="1" t="str">
        <f ca="1">IFERROR(__xludf.DUMMYFUNCTION("""COMPUTED_VALUE"""),"1573-4854")</f>
        <v>1573-4854</v>
      </c>
      <c r="G1381" s="1" t="str">
        <f ca="1">IFERROR(__xludf.DUMMYFUNCTION("""COMPUTED_VALUE"""),"1380-2224")</f>
        <v>1380-2224</v>
      </c>
      <c r="H1381" s="27" t="str">
        <f ca="1">IFERROR(__xludf.DUMMYFUNCTION("""COMPUTED_VALUE"""),"https://link.springer.com/journal/10934")</f>
        <v>https://link.springer.com/journal/10934</v>
      </c>
      <c r="I1381" s="1" t="str">
        <f ca="1">IFERROR(__xludf.DUMMYFUNCTION("""COMPUTED_VALUE"""),"Springer")</f>
        <v>Springer</v>
      </c>
      <c r="J1381" s="1">
        <f ca="1">IFERROR(__xludf.DUMMYFUNCTION("""COMPUTED_VALUE"""),2000)</f>
        <v>2000</v>
      </c>
      <c r="K1381" s="1" t="str">
        <f ca="1">IFERROR(__xludf.DUMMYFUNCTION("""COMPUTED_VALUE"""),"Chemistry and Materials Science")</f>
        <v>Chemistry and Materials Science</v>
      </c>
      <c r="L1381" s="1" t="str">
        <f ca="1">IFERROR(__xludf.DUMMYFUNCTION("""COMPUTED_VALUE"""),"〇")</f>
        <v>〇</v>
      </c>
      <c r="M1381" s="1" t="str">
        <f ca="1">IFERROR(__xludf.DUMMYFUNCTION("""COMPUTED_VALUE"""),"〇")</f>
        <v>〇</v>
      </c>
      <c r="N1381" s="1"/>
      <c r="O1381" s="1"/>
      <c r="P1381" s="1"/>
    </row>
    <row r="1382" spans="1:16" ht="14.25" customHeight="1" x14ac:dyDescent="0.25">
      <c r="A1382" s="1"/>
      <c r="B1382" s="1">
        <f ca="1"/>
        <v>1370</v>
      </c>
      <c r="C1382" s="1">
        <f ca="1">IFERROR(__xludf.DUMMYFUNCTION("""COMPUTED_VALUE"""),2023)</f>
        <v>2023</v>
      </c>
      <c r="D1382" s="1">
        <f ca="1">IFERROR(__xludf.DUMMYFUNCTION("""COMPUTED_VALUE"""),43236)</f>
        <v>43236</v>
      </c>
      <c r="E1382" s="1" t="str">
        <f ca="1">IFERROR(__xludf.DUMMYFUNCTION("""COMPUTED_VALUE"""),"Journal of Power Electronics")</f>
        <v>Journal of Power Electronics</v>
      </c>
      <c r="F1382" s="1" t="str">
        <f ca="1">IFERROR(__xludf.DUMMYFUNCTION("""COMPUTED_VALUE"""),"2093-4718")</f>
        <v>2093-4718</v>
      </c>
      <c r="G1382" s="1" t="str">
        <f ca="1">IFERROR(__xludf.DUMMYFUNCTION("""COMPUTED_VALUE"""),"1598-2092")</f>
        <v>1598-2092</v>
      </c>
      <c r="H1382" s="27" t="str">
        <f ca="1">IFERROR(__xludf.DUMMYFUNCTION("""COMPUTED_VALUE"""),"https://link.springer.com/journal/43236")</f>
        <v>https://link.springer.com/journal/43236</v>
      </c>
      <c r="I1382" s="1" t="str">
        <f ca="1">IFERROR(__xludf.DUMMYFUNCTION("""COMPUTED_VALUE"""),"Springer")</f>
        <v>Springer</v>
      </c>
      <c r="J1382" s="1">
        <f ca="1">IFERROR(__xludf.DUMMYFUNCTION("""COMPUTED_VALUE"""),2020)</f>
        <v>2020</v>
      </c>
      <c r="K1382" s="1" t="str">
        <f ca="1">IFERROR(__xludf.DUMMYFUNCTION("""COMPUTED_VALUE"""),"Engineering")</f>
        <v>Engineering</v>
      </c>
      <c r="L1382" s="1" t="str">
        <f ca="1">IFERROR(__xludf.DUMMYFUNCTION("""COMPUTED_VALUE"""),"〇")</f>
        <v>〇</v>
      </c>
      <c r="M1382" s="1"/>
      <c r="N1382" s="1" t="str">
        <f ca="1">IFERROR(__xludf.DUMMYFUNCTION("""COMPUTED_VALUE"""),"TO20")</f>
        <v>TO20</v>
      </c>
      <c r="O1382" s="1"/>
      <c r="P1382" s="1"/>
    </row>
    <row r="1383" spans="1:16" ht="14.25" customHeight="1" x14ac:dyDescent="0.25">
      <c r="A1383" s="1"/>
      <c r="B1383" s="1">
        <f ca="1"/>
        <v>1371</v>
      </c>
      <c r="C1383" s="1">
        <f ca="1">IFERROR(__xludf.DUMMYFUNCTION("""COMPUTED_VALUE"""),2023)</f>
        <v>2023</v>
      </c>
      <c r="D1383" s="1">
        <f ca="1">IFERROR(__xludf.DUMMYFUNCTION("""COMPUTED_VALUE"""),10935)</f>
        <v>10935</v>
      </c>
      <c r="E1383" s="1" t="str">
        <f ca="1">IFERROR(__xludf.DUMMYFUNCTION("""COMPUTED_VALUE"""),"Journal of Prevention")</f>
        <v>Journal of Prevention</v>
      </c>
      <c r="F1383" s="1" t="str">
        <f ca="1">IFERROR(__xludf.DUMMYFUNCTION("""COMPUTED_VALUE"""),"2731-5541")</f>
        <v>2731-5541</v>
      </c>
      <c r="G1383" s="1" t="str">
        <f ca="1">IFERROR(__xludf.DUMMYFUNCTION("""COMPUTED_VALUE"""),"2731-5533")</f>
        <v>2731-5533</v>
      </c>
      <c r="H1383" s="27" t="str">
        <f ca="1">IFERROR(__xludf.DUMMYFUNCTION("""COMPUTED_VALUE"""),"https://link.springer.com/journal/10935")</f>
        <v>https://link.springer.com/journal/10935</v>
      </c>
      <c r="I1383" s="1" t="str">
        <f ca="1">IFERROR(__xludf.DUMMYFUNCTION("""COMPUTED_VALUE"""),"Springer")</f>
        <v>Springer</v>
      </c>
      <c r="J1383" s="1">
        <f ca="1">IFERROR(__xludf.DUMMYFUNCTION("""COMPUTED_VALUE"""),2000)</f>
        <v>2000</v>
      </c>
      <c r="K1383" s="1" t="str">
        <f ca="1">IFERROR(__xludf.DUMMYFUNCTION("""COMPUTED_VALUE"""),"Medicine")</f>
        <v>Medicine</v>
      </c>
      <c r="L1383" s="1" t="str">
        <f ca="1">IFERROR(__xludf.DUMMYFUNCTION("""COMPUTED_VALUE"""),"〇")</f>
        <v>〇</v>
      </c>
      <c r="M1383" s="1" t="str">
        <f ca="1">IFERROR(__xludf.DUMMYFUNCTION("""COMPUTED_VALUE"""),"〇")</f>
        <v>〇</v>
      </c>
      <c r="N1383" s="1"/>
      <c r="O1383" s="1"/>
      <c r="P1383" s="1"/>
    </row>
    <row r="1384" spans="1:16" ht="14.25" customHeight="1" x14ac:dyDescent="0.25">
      <c r="A1384" s="1"/>
      <c r="B1384" s="1">
        <f ca="1"/>
        <v>1372</v>
      </c>
      <c r="C1384" s="1">
        <f ca="1">IFERROR(__xludf.DUMMYFUNCTION("""COMPUTED_VALUE"""),2023)</f>
        <v>2023</v>
      </c>
      <c r="D1384" s="1">
        <f ca="1">IFERROR(__xludf.DUMMYFUNCTION("""COMPUTED_VALUE"""),11123)</f>
        <v>11123</v>
      </c>
      <c r="E1384" s="1" t="str">
        <f ca="1">IFERROR(__xludf.DUMMYFUNCTION("""COMPUTED_VALUE"""),"Journal of Productivity Analysis")</f>
        <v>Journal of Productivity Analysis</v>
      </c>
      <c r="F1384" s="1" t="str">
        <f ca="1">IFERROR(__xludf.DUMMYFUNCTION("""COMPUTED_VALUE"""),"1573-0441")</f>
        <v>1573-0441</v>
      </c>
      <c r="G1384" s="1" t="str">
        <f ca="1">IFERROR(__xludf.DUMMYFUNCTION("""COMPUTED_VALUE"""),"0895-562X")</f>
        <v>0895-562X</v>
      </c>
      <c r="H1384" s="27" t="str">
        <f ca="1">IFERROR(__xludf.DUMMYFUNCTION("""COMPUTED_VALUE"""),"https://link.springer.com/journal/11123")</f>
        <v>https://link.springer.com/journal/11123</v>
      </c>
      <c r="I1384" s="1" t="str">
        <f ca="1">IFERROR(__xludf.DUMMYFUNCTION("""COMPUTED_VALUE"""),"Springer")</f>
        <v>Springer</v>
      </c>
      <c r="J1384" s="1">
        <f ca="1">IFERROR(__xludf.DUMMYFUNCTION("""COMPUTED_VALUE"""),2000)</f>
        <v>2000</v>
      </c>
      <c r="K1384" s="1" t="str">
        <f ca="1">IFERROR(__xludf.DUMMYFUNCTION("""COMPUTED_VALUE"""),"Economics and Finance")</f>
        <v>Economics and Finance</v>
      </c>
      <c r="L1384" s="1" t="str">
        <f ca="1">IFERROR(__xludf.DUMMYFUNCTION("""COMPUTED_VALUE"""),"〇")</f>
        <v>〇</v>
      </c>
      <c r="M1384" s="1" t="str">
        <f ca="1">IFERROR(__xludf.DUMMYFUNCTION("""COMPUTED_VALUE"""),"〇")</f>
        <v>〇</v>
      </c>
      <c r="N1384" s="1"/>
      <c r="O1384" s="1"/>
      <c r="P1384" s="1"/>
    </row>
    <row r="1385" spans="1:16" ht="14.25" customHeight="1" x14ac:dyDescent="0.25">
      <c r="A1385" s="1"/>
      <c r="B1385" s="1">
        <f ca="1"/>
        <v>1373</v>
      </c>
      <c r="C1385" s="1">
        <f ca="1">IFERROR(__xludf.DUMMYFUNCTION("""COMPUTED_VALUE"""),2023)</f>
        <v>2023</v>
      </c>
      <c r="D1385" s="1">
        <f ca="1">IFERROR(__xludf.DUMMYFUNCTION("""COMPUTED_VALUE"""),42485)</f>
        <v>42485</v>
      </c>
      <c r="E1385" s="1" t="str">
        <f ca="1">IFERROR(__xludf.DUMMYFUNCTION("""COMPUTED_VALUE"""),"Journal of Proteins and Proteomics")</f>
        <v>Journal of Proteins and Proteomics</v>
      </c>
      <c r="F1385" s="1" t="str">
        <f ca="1">IFERROR(__xludf.DUMMYFUNCTION("""COMPUTED_VALUE"""),"2524-4663")</f>
        <v>2524-4663</v>
      </c>
      <c r="G1385" s="1"/>
      <c r="H1385" s="27" t="str">
        <f ca="1">IFERROR(__xludf.DUMMYFUNCTION("""COMPUTED_VALUE"""),"https://link.springer.com/journal/42485")</f>
        <v>https://link.springer.com/journal/42485</v>
      </c>
      <c r="I1385" s="1" t="str">
        <f ca="1">IFERROR(__xludf.DUMMYFUNCTION("""COMPUTED_VALUE"""),"Springer")</f>
        <v>Springer</v>
      </c>
      <c r="J1385" s="1">
        <f ca="1">IFERROR(__xludf.DUMMYFUNCTION("""COMPUTED_VALUE"""),2019)</f>
        <v>2019</v>
      </c>
      <c r="K1385" s="1" t="str">
        <f ca="1">IFERROR(__xludf.DUMMYFUNCTION("""COMPUTED_VALUE"""),"Biomedical and Life Sciences")</f>
        <v>Biomedical and Life Sciences</v>
      </c>
      <c r="L1385" s="1"/>
      <c r="M1385" s="1"/>
      <c r="N1385" s="1" t="str">
        <f ca="1">IFERROR(__xludf.DUMMYFUNCTION("""COMPUTED_VALUE"""),"TO19")</f>
        <v>TO19</v>
      </c>
      <c r="O1385" s="1"/>
      <c r="P1385" s="1"/>
    </row>
    <row r="1386" spans="1:16" ht="14.25" customHeight="1" x14ac:dyDescent="0.25">
      <c r="A1386" s="1"/>
      <c r="B1386" s="1">
        <f ca="1"/>
        <v>1374</v>
      </c>
      <c r="C1386" s="1">
        <f ca="1">IFERROR(__xludf.DUMMYFUNCTION("""COMPUTED_VALUE"""),2023)</f>
        <v>2023</v>
      </c>
      <c r="D1386" s="1">
        <f ca="1">IFERROR(__xludf.DUMMYFUNCTION("""COMPUTED_VALUE"""),11868)</f>
        <v>11868</v>
      </c>
      <c r="E1386" s="1" t="str">
        <f ca="1">IFERROR(__xludf.DUMMYFUNCTION("""COMPUTED_VALUE"""),"Journal of Pseudo-Differential Operators and Applications")</f>
        <v>Journal of Pseudo-Differential Operators and Applications</v>
      </c>
      <c r="F1386" s="1" t="str">
        <f ca="1">IFERROR(__xludf.DUMMYFUNCTION("""COMPUTED_VALUE"""),"1662-999X")</f>
        <v>1662-999X</v>
      </c>
      <c r="G1386" s="1" t="str">
        <f ca="1">IFERROR(__xludf.DUMMYFUNCTION("""COMPUTED_VALUE"""),"1662-9981")</f>
        <v>1662-9981</v>
      </c>
      <c r="H1386" s="27" t="str">
        <f ca="1">IFERROR(__xludf.DUMMYFUNCTION("""COMPUTED_VALUE"""),"https://link.springer.com/journal/11868")</f>
        <v>https://link.springer.com/journal/11868</v>
      </c>
      <c r="I1386" s="1" t="str">
        <f ca="1">IFERROR(__xludf.DUMMYFUNCTION("""COMPUTED_VALUE"""),"Birkhäuser")</f>
        <v>Birkhäuser</v>
      </c>
      <c r="J1386" s="1">
        <f ca="1">IFERROR(__xludf.DUMMYFUNCTION("""COMPUTED_VALUE"""),2010)</f>
        <v>2010</v>
      </c>
      <c r="K1386" s="1" t="str">
        <f ca="1">IFERROR(__xludf.DUMMYFUNCTION("""COMPUTED_VALUE"""),"Mathematics and Statistics")</f>
        <v>Mathematics and Statistics</v>
      </c>
      <c r="L1386" s="1" t="str">
        <f ca="1">IFERROR(__xludf.DUMMYFUNCTION("""COMPUTED_VALUE"""),"〇")</f>
        <v>〇</v>
      </c>
      <c r="M1386" s="1" t="str">
        <f ca="1">IFERROR(__xludf.DUMMYFUNCTION("""COMPUTED_VALUE"""),"〇")</f>
        <v>〇</v>
      </c>
      <c r="N1386" s="1" t="str">
        <f ca="1">IFERROR(__xludf.DUMMYFUNCTION("""COMPUTED_VALUE"""),"SNS10")</f>
        <v>SNS10</v>
      </c>
      <c r="O1386" s="1"/>
      <c r="P1386" s="1"/>
    </row>
    <row r="1387" spans="1:16" ht="14.25" customHeight="1" x14ac:dyDescent="0.25">
      <c r="A1387" s="1"/>
      <c r="B1387" s="1">
        <f ca="1"/>
        <v>1375</v>
      </c>
      <c r="C1387" s="1">
        <f ca="1">IFERROR(__xludf.DUMMYFUNCTION("""COMPUTED_VALUE"""),2023)</f>
        <v>2023</v>
      </c>
      <c r="D1387" s="1">
        <f ca="1">IFERROR(__xludf.DUMMYFUNCTION("""COMPUTED_VALUE"""),10936)</f>
        <v>10936</v>
      </c>
      <c r="E1387" s="1" t="str">
        <f ca="1">IFERROR(__xludf.DUMMYFUNCTION("""COMPUTED_VALUE"""),"Journal of Psycholinguistic Research")</f>
        <v>Journal of Psycholinguistic Research</v>
      </c>
      <c r="F1387" s="1" t="str">
        <f ca="1">IFERROR(__xludf.DUMMYFUNCTION("""COMPUTED_VALUE"""),"1573-6555")</f>
        <v>1573-6555</v>
      </c>
      <c r="G1387" s="1" t="str">
        <f ca="1">IFERROR(__xludf.DUMMYFUNCTION("""COMPUTED_VALUE"""),"0090-6905")</f>
        <v>0090-6905</v>
      </c>
      <c r="H1387" s="27" t="str">
        <f ca="1">IFERROR(__xludf.DUMMYFUNCTION("""COMPUTED_VALUE"""),"https://link.springer.com/journal/10936")</f>
        <v>https://link.springer.com/journal/10936</v>
      </c>
      <c r="I1387" s="1" t="str">
        <f ca="1">IFERROR(__xludf.DUMMYFUNCTION("""COMPUTED_VALUE"""),"Springer")</f>
        <v>Springer</v>
      </c>
      <c r="J1387" s="1">
        <f ca="1">IFERROR(__xludf.DUMMYFUNCTION("""COMPUTED_VALUE"""),2000)</f>
        <v>2000</v>
      </c>
      <c r="K1387" s="1" t="str">
        <f ca="1">IFERROR(__xludf.DUMMYFUNCTION("""COMPUTED_VALUE"""),"Behavioral Science and Psychology")</f>
        <v>Behavioral Science and Psychology</v>
      </c>
      <c r="L1387" s="1" t="str">
        <f ca="1">IFERROR(__xludf.DUMMYFUNCTION("""COMPUTED_VALUE"""),"〇")</f>
        <v>〇</v>
      </c>
      <c r="M1387" s="1" t="str">
        <f ca="1">IFERROR(__xludf.DUMMYFUNCTION("""COMPUTED_VALUE"""),"〇")</f>
        <v>〇</v>
      </c>
      <c r="N1387" s="1"/>
      <c r="O1387" s="1"/>
      <c r="P1387" s="1"/>
    </row>
    <row r="1388" spans="1:16" ht="14.25" customHeight="1" x14ac:dyDescent="0.25">
      <c r="A1388" s="1"/>
      <c r="B1388" s="1">
        <f ca="1"/>
        <v>1376</v>
      </c>
      <c r="C1388" s="1">
        <f ca="1">IFERROR(__xludf.DUMMYFUNCTION("""COMPUTED_VALUE"""),2023)</f>
        <v>2023</v>
      </c>
      <c r="D1388" s="1">
        <f ca="1">IFERROR(__xludf.DUMMYFUNCTION("""COMPUTED_VALUE"""),10862)</f>
        <v>10862</v>
      </c>
      <c r="E1388" s="1" t="str">
        <f ca="1">IFERROR(__xludf.DUMMYFUNCTION("""COMPUTED_VALUE"""),"Journal of Psychopathology and Behavioral Assessment")</f>
        <v>Journal of Psychopathology and Behavioral Assessment</v>
      </c>
      <c r="F1388" s="1" t="str">
        <f ca="1">IFERROR(__xludf.DUMMYFUNCTION("""COMPUTED_VALUE"""),"1573-3505")</f>
        <v>1573-3505</v>
      </c>
      <c r="G1388" s="1" t="str">
        <f ca="1">IFERROR(__xludf.DUMMYFUNCTION("""COMPUTED_VALUE"""),"0882-2689")</f>
        <v>0882-2689</v>
      </c>
      <c r="H1388" s="27" t="str">
        <f ca="1">IFERROR(__xludf.DUMMYFUNCTION("""COMPUTED_VALUE"""),"https://link.springer.com/journal/10862")</f>
        <v>https://link.springer.com/journal/10862</v>
      </c>
      <c r="I1388" s="1" t="str">
        <f ca="1">IFERROR(__xludf.DUMMYFUNCTION("""COMPUTED_VALUE"""),"Springer")</f>
        <v>Springer</v>
      </c>
      <c r="J1388" s="1">
        <f ca="1">IFERROR(__xludf.DUMMYFUNCTION("""COMPUTED_VALUE"""),2000)</f>
        <v>2000</v>
      </c>
      <c r="K1388" s="1" t="str">
        <f ca="1">IFERROR(__xludf.DUMMYFUNCTION("""COMPUTED_VALUE"""),"Behavioral Science and Psychology")</f>
        <v>Behavioral Science and Psychology</v>
      </c>
      <c r="L1388" s="1" t="str">
        <f ca="1">IFERROR(__xludf.DUMMYFUNCTION("""COMPUTED_VALUE"""),"〇")</f>
        <v>〇</v>
      </c>
      <c r="M1388" s="1" t="str">
        <f ca="1">IFERROR(__xludf.DUMMYFUNCTION("""COMPUTED_VALUE"""),"〇")</f>
        <v>〇</v>
      </c>
      <c r="N1388" s="1"/>
      <c r="O1388" s="1"/>
      <c r="P1388" s="1"/>
    </row>
    <row r="1389" spans="1:16" ht="14.25" customHeight="1" x14ac:dyDescent="0.25">
      <c r="A1389" s="1"/>
      <c r="B1389" s="1">
        <f ca="1"/>
        <v>1377</v>
      </c>
      <c r="C1389" s="1">
        <f ca="1">IFERROR(__xludf.DUMMYFUNCTION("""COMPUTED_VALUE"""),2023)</f>
        <v>2023</v>
      </c>
      <c r="D1389" s="1">
        <f ca="1">IFERROR(__xludf.DUMMYFUNCTION("""COMPUTED_VALUE"""),40737)</f>
        <v>40737</v>
      </c>
      <c r="E1389" s="1" t="str">
        <f ca="1">IFERROR(__xludf.DUMMYFUNCTION("""COMPUTED_VALUE"""),"Journal of Psychosocial Rehabilitation and Mental Health")</f>
        <v>Journal of Psychosocial Rehabilitation and Mental Health</v>
      </c>
      <c r="F1389" s="1" t="str">
        <f ca="1">IFERROR(__xludf.DUMMYFUNCTION("""COMPUTED_VALUE"""),"2198-963X")</f>
        <v>2198-963X</v>
      </c>
      <c r="G1389" s="1"/>
      <c r="H1389" s="27" t="str">
        <f ca="1">IFERROR(__xludf.DUMMYFUNCTION("""COMPUTED_VALUE"""),"https://link.springer.com/journal/40737")</f>
        <v>https://link.springer.com/journal/40737</v>
      </c>
      <c r="I1389" s="1" t="str">
        <f ca="1">IFERROR(__xludf.DUMMYFUNCTION("""COMPUTED_VALUE"""),"Springer")</f>
        <v>Springer</v>
      </c>
      <c r="J1389" s="1">
        <f ca="1">IFERROR(__xludf.DUMMYFUNCTION("""COMPUTED_VALUE"""),2014)</f>
        <v>2014</v>
      </c>
      <c r="K1389" s="1" t="str">
        <f ca="1">IFERROR(__xludf.DUMMYFUNCTION("""COMPUTED_VALUE"""),"Behavioral Science and Psychology")</f>
        <v>Behavioral Science and Psychology</v>
      </c>
      <c r="L1389" s="1"/>
      <c r="M1389" s="1"/>
      <c r="N1389" s="1"/>
      <c r="O1389" s="1"/>
      <c r="P1389" s="1"/>
    </row>
    <row r="1390" spans="1:16" ht="14.25" customHeight="1" x14ac:dyDescent="0.25">
      <c r="A1390" s="1"/>
      <c r="B1390" s="1">
        <f ca="1"/>
        <v>1378</v>
      </c>
      <c r="C1390" s="1">
        <f ca="1">IFERROR(__xludf.DUMMYFUNCTION("""COMPUTED_VALUE"""),2023)</f>
        <v>2023</v>
      </c>
      <c r="D1390" s="1">
        <f ca="1">IFERROR(__xludf.DUMMYFUNCTION("""COMPUTED_VALUE"""),10389)</f>
        <v>10389</v>
      </c>
      <c r="E1390" s="1" t="str">
        <f ca="1">IFERROR(__xludf.DUMMYFUNCTION("""COMPUTED_VALUE"""),"Journal of Public Health")</f>
        <v>Journal of Public Health</v>
      </c>
      <c r="F1390" s="1" t="str">
        <f ca="1">IFERROR(__xludf.DUMMYFUNCTION("""COMPUTED_VALUE"""),"1613-2238")</f>
        <v>1613-2238</v>
      </c>
      <c r="G1390" s="1" t="str">
        <f ca="1">IFERROR(__xludf.DUMMYFUNCTION("""COMPUTED_VALUE"""),"2198-1833")</f>
        <v>2198-1833</v>
      </c>
      <c r="H1390" s="27" t="str">
        <f ca="1">IFERROR(__xludf.DUMMYFUNCTION("""COMPUTED_VALUE"""),"https://link.springer.com/journal/10389")</f>
        <v>https://link.springer.com/journal/10389</v>
      </c>
      <c r="I1390" s="1" t="str">
        <f ca="1">IFERROR(__xludf.DUMMYFUNCTION("""COMPUTED_VALUE"""),"Springer")</f>
        <v>Springer</v>
      </c>
      <c r="J1390" s="1">
        <f ca="1">IFERROR(__xludf.DUMMYFUNCTION("""COMPUTED_VALUE"""),2000)</f>
        <v>2000</v>
      </c>
      <c r="K1390" s="1" t="str">
        <f ca="1">IFERROR(__xludf.DUMMYFUNCTION("""COMPUTED_VALUE"""),"Medicine")</f>
        <v>Medicine</v>
      </c>
      <c r="L1390" s="1" t="str">
        <f ca="1">IFERROR(__xludf.DUMMYFUNCTION("""COMPUTED_VALUE"""),"〇")</f>
        <v>〇</v>
      </c>
      <c r="M1390" s="1" t="str">
        <f ca="1">IFERROR(__xludf.DUMMYFUNCTION("""COMPUTED_VALUE"""),"〇")</f>
        <v>〇</v>
      </c>
      <c r="N1390" s="1"/>
      <c r="O1390" s="1"/>
      <c r="P1390" s="1"/>
    </row>
    <row r="1391" spans="1:16" ht="14.25" customHeight="1" x14ac:dyDescent="0.25">
      <c r="A1391" s="1"/>
      <c r="B1391" s="1">
        <f ca="1"/>
        <v>1379</v>
      </c>
      <c r="C1391" s="1">
        <f ca="1">IFERROR(__xludf.DUMMYFUNCTION("""COMPUTED_VALUE"""),2023)</f>
        <v>2023</v>
      </c>
      <c r="D1391" s="1">
        <f ca="1">IFERROR(__xludf.DUMMYFUNCTION("""COMPUTED_VALUE"""),10940)</f>
        <v>10940</v>
      </c>
      <c r="E1391" s="1" t="str">
        <f ca="1">IFERROR(__xludf.DUMMYFUNCTION("""COMPUTED_VALUE"""),"Journal of Quantitative Criminology")</f>
        <v>Journal of Quantitative Criminology</v>
      </c>
      <c r="F1391" s="1" t="str">
        <f ca="1">IFERROR(__xludf.DUMMYFUNCTION("""COMPUTED_VALUE"""),"1573-7799")</f>
        <v>1573-7799</v>
      </c>
      <c r="G1391" s="1" t="str">
        <f ca="1">IFERROR(__xludf.DUMMYFUNCTION("""COMPUTED_VALUE"""),"0748-4518")</f>
        <v>0748-4518</v>
      </c>
      <c r="H1391" s="27" t="str">
        <f ca="1">IFERROR(__xludf.DUMMYFUNCTION("""COMPUTED_VALUE"""),"https://link.springer.com/journal/10940")</f>
        <v>https://link.springer.com/journal/10940</v>
      </c>
      <c r="I1391" s="1" t="str">
        <f ca="1">IFERROR(__xludf.DUMMYFUNCTION("""COMPUTED_VALUE"""),"Springer")</f>
        <v>Springer</v>
      </c>
      <c r="J1391" s="1">
        <f ca="1">IFERROR(__xludf.DUMMYFUNCTION("""COMPUTED_VALUE"""),2000)</f>
        <v>2000</v>
      </c>
      <c r="K1391" s="1" t="str">
        <f ca="1">IFERROR(__xludf.DUMMYFUNCTION("""COMPUTED_VALUE"""),"Law and Criminology")</f>
        <v>Law and Criminology</v>
      </c>
      <c r="L1391" s="1" t="str">
        <f ca="1">IFERROR(__xludf.DUMMYFUNCTION("""COMPUTED_VALUE"""),"〇")</f>
        <v>〇</v>
      </c>
      <c r="M1391" s="1" t="str">
        <f ca="1">IFERROR(__xludf.DUMMYFUNCTION("""COMPUTED_VALUE"""),"〇")</f>
        <v>〇</v>
      </c>
      <c r="N1391" s="1"/>
      <c r="O1391" s="1"/>
      <c r="P1391" s="1"/>
    </row>
    <row r="1392" spans="1:16" ht="14.25" customHeight="1" x14ac:dyDescent="0.25">
      <c r="A1392" s="1"/>
      <c r="B1392" s="1">
        <f ca="1"/>
        <v>1380</v>
      </c>
      <c r="C1392" s="1">
        <f ca="1">IFERROR(__xludf.DUMMYFUNCTION("""COMPUTED_VALUE"""),2023)</f>
        <v>2023</v>
      </c>
      <c r="D1392" s="1">
        <f ca="1">IFERROR(__xludf.DUMMYFUNCTION("""COMPUTED_VALUE"""),40953)</f>
        <v>40953</v>
      </c>
      <c r="E1392" s="1" t="str">
        <f ca="1">IFERROR(__xludf.DUMMYFUNCTION("""COMPUTED_VALUE"""),"Journal of Quantitative Economics")</f>
        <v>Journal of Quantitative Economics</v>
      </c>
      <c r="F1392" s="1" t="str">
        <f ca="1">IFERROR(__xludf.DUMMYFUNCTION("""COMPUTED_VALUE"""),"2364-1045")</f>
        <v>2364-1045</v>
      </c>
      <c r="G1392" s="1" t="str">
        <f ca="1">IFERROR(__xludf.DUMMYFUNCTION("""COMPUTED_VALUE"""),"0971-1554")</f>
        <v>0971-1554</v>
      </c>
      <c r="H1392" s="27" t="str">
        <f ca="1">IFERROR(__xludf.DUMMYFUNCTION("""COMPUTED_VALUE"""),"https://link.springer.com/journal/40953")</f>
        <v>https://link.springer.com/journal/40953</v>
      </c>
      <c r="I1392" s="1" t="str">
        <f ca="1">IFERROR(__xludf.DUMMYFUNCTION("""COMPUTED_VALUE"""),"Springer")</f>
        <v>Springer</v>
      </c>
      <c r="J1392" s="1">
        <f ca="1">IFERROR(__xludf.DUMMYFUNCTION("""COMPUTED_VALUE"""),2003)</f>
        <v>2003</v>
      </c>
      <c r="K1392" s="1" t="str">
        <f ca="1">IFERROR(__xludf.DUMMYFUNCTION("""COMPUTED_VALUE"""),"Economics and Finance")</f>
        <v>Economics and Finance</v>
      </c>
      <c r="L1392" s="1" t="str">
        <f ca="1">IFERROR(__xludf.DUMMYFUNCTION("""COMPUTED_VALUE"""),"〇")</f>
        <v>〇</v>
      </c>
      <c r="M1392" s="1"/>
      <c r="N1392" s="1" t="str">
        <f ca="1">IFERROR(__xludf.DUMMYFUNCTION("""COMPUTED_VALUE"""),"TO15")</f>
        <v>TO15</v>
      </c>
      <c r="O1392" s="1"/>
      <c r="P1392" s="1"/>
    </row>
    <row r="1393" spans="1:16" ht="14.25" customHeight="1" x14ac:dyDescent="0.25">
      <c r="A1393" s="1"/>
      <c r="B1393" s="1">
        <f ca="1"/>
        <v>1381</v>
      </c>
      <c r="C1393" s="1">
        <f ca="1">IFERROR(__xludf.DUMMYFUNCTION("""COMPUTED_VALUE"""),2023)</f>
        <v>2023</v>
      </c>
      <c r="D1393" s="1">
        <f ca="1">IFERROR(__xludf.DUMMYFUNCTION("""COMPUTED_VALUE"""),40615)</f>
        <v>40615</v>
      </c>
      <c r="E1393" s="1" t="str">
        <f ca="1">IFERROR(__xludf.DUMMYFUNCTION("""COMPUTED_VALUE"""),"Journal of Racial and Ethnic Health Disparities")</f>
        <v>Journal of Racial and Ethnic Health Disparities</v>
      </c>
      <c r="F1393" s="1" t="str">
        <f ca="1">IFERROR(__xludf.DUMMYFUNCTION("""COMPUTED_VALUE"""),"2196-8837")</f>
        <v>2196-8837</v>
      </c>
      <c r="G1393" s="1"/>
      <c r="H1393" s="27" t="str">
        <f ca="1">IFERROR(__xludf.DUMMYFUNCTION("""COMPUTED_VALUE"""),"https://link.springer.com/journal/40615")</f>
        <v>https://link.springer.com/journal/40615</v>
      </c>
      <c r="I1393" s="1" t="str">
        <f ca="1">IFERROR(__xludf.DUMMYFUNCTION("""COMPUTED_VALUE"""),"Springer")</f>
        <v>Springer</v>
      </c>
      <c r="J1393" s="1">
        <f ca="1">IFERROR(__xludf.DUMMYFUNCTION("""COMPUTED_VALUE"""),2014)</f>
        <v>2014</v>
      </c>
      <c r="K1393" s="1" t="str">
        <f ca="1">IFERROR(__xludf.DUMMYFUNCTION("""COMPUTED_VALUE"""),"Medicine")</f>
        <v>Medicine</v>
      </c>
      <c r="L1393" s="1"/>
      <c r="M1393" s="1"/>
      <c r="N1393" s="1" t="str">
        <f ca="1">IFERROR(__xludf.DUMMYFUNCTION("""COMPUTED_VALUE"""),"SNS14")</f>
        <v>SNS14</v>
      </c>
      <c r="O1393" s="1"/>
      <c r="P1393" s="1"/>
    </row>
    <row r="1394" spans="1:16" ht="14.25" customHeight="1" x14ac:dyDescent="0.25">
      <c r="A1394" s="1"/>
      <c r="B1394" s="1">
        <f ca="1"/>
        <v>1382</v>
      </c>
      <c r="C1394" s="1">
        <f ca="1">IFERROR(__xludf.DUMMYFUNCTION("""COMPUTED_VALUE"""),2023)</f>
        <v>2023</v>
      </c>
      <c r="D1394" s="1">
        <f ca="1">IFERROR(__xludf.DUMMYFUNCTION("""COMPUTED_VALUE"""),10967)</f>
        <v>10967</v>
      </c>
      <c r="E1394" s="1" t="str">
        <f ca="1">IFERROR(__xludf.DUMMYFUNCTION("""COMPUTED_VALUE"""),"Journal of Radioanalytical and Nuclear Chemistry")</f>
        <v>Journal of Radioanalytical and Nuclear Chemistry</v>
      </c>
      <c r="F1394" s="1" t="str">
        <f ca="1">IFERROR(__xludf.DUMMYFUNCTION("""COMPUTED_VALUE"""),"1588-2780")</f>
        <v>1588-2780</v>
      </c>
      <c r="G1394" s="1" t="str">
        <f ca="1">IFERROR(__xludf.DUMMYFUNCTION("""COMPUTED_VALUE"""),"0236-5731")</f>
        <v>0236-5731</v>
      </c>
      <c r="H1394" s="27" t="str">
        <f ca="1">IFERROR(__xludf.DUMMYFUNCTION("""COMPUTED_VALUE"""),"https://link.springer.com/journal/10967")</f>
        <v>https://link.springer.com/journal/10967</v>
      </c>
      <c r="I1394" s="1" t="str">
        <f ca="1">IFERROR(__xludf.DUMMYFUNCTION("""COMPUTED_VALUE"""),"Akadémiai Kiadó, co-published with Springer")</f>
        <v>Akadémiai Kiadó, co-published with Springer</v>
      </c>
      <c r="J1394" s="1">
        <f ca="1">IFERROR(__xludf.DUMMYFUNCTION("""COMPUTED_VALUE"""),2000)</f>
        <v>2000</v>
      </c>
      <c r="K1394" s="1" t="str">
        <f ca="1">IFERROR(__xludf.DUMMYFUNCTION("""COMPUTED_VALUE"""),"Chemistry and Materials Science")</f>
        <v>Chemistry and Materials Science</v>
      </c>
      <c r="L1394" s="1" t="str">
        <f ca="1">IFERROR(__xludf.DUMMYFUNCTION("""COMPUTED_VALUE"""),"〇")</f>
        <v>〇</v>
      </c>
      <c r="M1394" s="1" t="str">
        <f ca="1">IFERROR(__xludf.DUMMYFUNCTION("""COMPUTED_VALUE"""),"〇")</f>
        <v>〇</v>
      </c>
      <c r="N1394" s="1"/>
      <c r="O1394" s="1"/>
      <c r="P1394" s="1"/>
    </row>
    <row r="1395" spans="1:16" ht="14.25" customHeight="1" x14ac:dyDescent="0.25">
      <c r="A1395" s="1"/>
      <c r="B1395" s="1">
        <f ca="1"/>
        <v>1383</v>
      </c>
      <c r="C1395" s="1">
        <f ca="1">IFERROR(__xludf.DUMMYFUNCTION("""COMPUTED_VALUE"""),2023)</f>
        <v>2023</v>
      </c>
      <c r="D1395" s="1">
        <f ca="1">IFERROR(__xludf.DUMMYFUNCTION("""COMPUTED_VALUE"""),10942)</f>
        <v>10942</v>
      </c>
      <c r="E1395" s="1" t="str">
        <f ca="1">IFERROR(__xludf.DUMMYFUNCTION("""COMPUTED_VALUE"""),"Journal of Rational-Emotive &amp; Cognitive-Behavior Therapy")</f>
        <v>Journal of Rational-Emotive &amp; Cognitive-Behavior Therapy</v>
      </c>
      <c r="F1395" s="1" t="str">
        <f ca="1">IFERROR(__xludf.DUMMYFUNCTION("""COMPUTED_VALUE"""),"1573-6563")</f>
        <v>1573-6563</v>
      </c>
      <c r="G1395" s="1" t="str">
        <f ca="1">IFERROR(__xludf.DUMMYFUNCTION("""COMPUTED_VALUE"""),"0894-9085")</f>
        <v>0894-9085</v>
      </c>
      <c r="H1395" s="27" t="str">
        <f ca="1">IFERROR(__xludf.DUMMYFUNCTION("""COMPUTED_VALUE"""),"https://link.springer.com/journal/10942")</f>
        <v>https://link.springer.com/journal/10942</v>
      </c>
      <c r="I1395" s="1" t="str">
        <f ca="1">IFERROR(__xludf.DUMMYFUNCTION("""COMPUTED_VALUE"""),"Springer")</f>
        <v>Springer</v>
      </c>
      <c r="J1395" s="1">
        <f ca="1">IFERROR(__xludf.DUMMYFUNCTION("""COMPUTED_VALUE"""),2000)</f>
        <v>2000</v>
      </c>
      <c r="K1395" s="1" t="str">
        <f ca="1">IFERROR(__xludf.DUMMYFUNCTION("""COMPUTED_VALUE"""),"Behavioral Science and Psychology")</f>
        <v>Behavioral Science and Psychology</v>
      </c>
      <c r="L1395" s="1" t="str">
        <f ca="1">IFERROR(__xludf.DUMMYFUNCTION("""COMPUTED_VALUE"""),"〇")</f>
        <v>〇</v>
      </c>
      <c r="M1395" s="1" t="str">
        <f ca="1">IFERROR(__xludf.DUMMYFUNCTION("""COMPUTED_VALUE"""),"〇")</f>
        <v>〇</v>
      </c>
      <c r="N1395" s="1"/>
      <c r="O1395" s="1"/>
      <c r="P1395" s="1"/>
    </row>
    <row r="1396" spans="1:16" ht="14.25" customHeight="1" x14ac:dyDescent="0.25">
      <c r="A1396" s="1"/>
      <c r="B1396" s="1">
        <f ca="1"/>
        <v>1384</v>
      </c>
      <c r="C1396" s="1">
        <f ca="1">IFERROR(__xludf.DUMMYFUNCTION("""COMPUTED_VALUE"""),2023)</f>
        <v>2023</v>
      </c>
      <c r="D1396" s="1">
        <f ca="1">IFERROR(__xludf.DUMMYFUNCTION("""COMPUTED_VALUE"""),11554)</f>
        <v>11554</v>
      </c>
      <c r="E1396" s="1" t="str">
        <f ca="1">IFERROR(__xludf.DUMMYFUNCTION("""COMPUTED_VALUE"""),"Journal of Real-Time Image Processing")</f>
        <v>Journal of Real-Time Image Processing</v>
      </c>
      <c r="F1396" s="1" t="str">
        <f ca="1">IFERROR(__xludf.DUMMYFUNCTION("""COMPUTED_VALUE"""),"1861-8219")</f>
        <v>1861-8219</v>
      </c>
      <c r="G1396" s="1" t="str">
        <f ca="1">IFERROR(__xludf.DUMMYFUNCTION("""COMPUTED_VALUE"""),"1861-8200")</f>
        <v>1861-8200</v>
      </c>
      <c r="H1396" s="27" t="str">
        <f ca="1">IFERROR(__xludf.DUMMYFUNCTION("""COMPUTED_VALUE"""),"https://link.springer.com/journal/11554")</f>
        <v>https://link.springer.com/journal/11554</v>
      </c>
      <c r="I1396" s="1" t="str">
        <f ca="1">IFERROR(__xludf.DUMMYFUNCTION("""COMPUTED_VALUE"""),"Springer")</f>
        <v>Springer</v>
      </c>
      <c r="J1396" s="1">
        <f ca="1">IFERROR(__xludf.DUMMYFUNCTION("""COMPUTED_VALUE"""),2006)</f>
        <v>2006</v>
      </c>
      <c r="K1396" s="1" t="str">
        <f ca="1">IFERROR(__xludf.DUMMYFUNCTION("""COMPUTED_VALUE"""),"Computer Science")</f>
        <v>Computer Science</v>
      </c>
      <c r="L1396" s="1" t="str">
        <f ca="1">IFERROR(__xludf.DUMMYFUNCTION("""COMPUTED_VALUE"""),"〇")</f>
        <v>〇</v>
      </c>
      <c r="M1396" s="1" t="str">
        <f ca="1">IFERROR(__xludf.DUMMYFUNCTION("""COMPUTED_VALUE"""),"〇")</f>
        <v>〇</v>
      </c>
      <c r="N1396" s="1"/>
      <c r="O1396" s="1"/>
      <c r="P1396" s="1"/>
    </row>
    <row r="1397" spans="1:16" ht="14.25" customHeight="1" x14ac:dyDescent="0.25">
      <c r="A1397" s="1"/>
      <c r="B1397" s="1">
        <f ca="1"/>
        <v>1385</v>
      </c>
      <c r="C1397" s="1">
        <f ca="1">IFERROR(__xludf.DUMMYFUNCTION("""COMPUTED_VALUE"""),2023)</f>
        <v>2023</v>
      </c>
      <c r="D1397" s="1">
        <f ca="1">IFERROR(__xludf.DUMMYFUNCTION("""COMPUTED_VALUE"""),11149)</f>
        <v>11149</v>
      </c>
      <c r="E1397" s="1" t="str">
        <f ca="1">IFERROR(__xludf.DUMMYFUNCTION("""COMPUTED_VALUE"""),"Journal of Regulatory Economics")</f>
        <v>Journal of Regulatory Economics</v>
      </c>
      <c r="F1397" s="1" t="str">
        <f ca="1">IFERROR(__xludf.DUMMYFUNCTION("""COMPUTED_VALUE"""),"1573-0468")</f>
        <v>1573-0468</v>
      </c>
      <c r="G1397" s="1" t="str">
        <f ca="1">IFERROR(__xludf.DUMMYFUNCTION("""COMPUTED_VALUE"""),"0922-680X")</f>
        <v>0922-680X</v>
      </c>
      <c r="H1397" s="27" t="str">
        <f ca="1">IFERROR(__xludf.DUMMYFUNCTION("""COMPUTED_VALUE"""),"https://link.springer.com/journal/11149")</f>
        <v>https://link.springer.com/journal/11149</v>
      </c>
      <c r="I1397" s="1" t="str">
        <f ca="1">IFERROR(__xludf.DUMMYFUNCTION("""COMPUTED_VALUE"""),"Springer")</f>
        <v>Springer</v>
      </c>
      <c r="J1397" s="1">
        <f ca="1">IFERROR(__xludf.DUMMYFUNCTION("""COMPUTED_VALUE"""),2000)</f>
        <v>2000</v>
      </c>
      <c r="K1397" s="1" t="str">
        <f ca="1">IFERROR(__xludf.DUMMYFUNCTION("""COMPUTED_VALUE"""),"Economics and Finance")</f>
        <v>Economics and Finance</v>
      </c>
      <c r="L1397" s="1" t="str">
        <f ca="1">IFERROR(__xludf.DUMMYFUNCTION("""COMPUTED_VALUE"""),"〇")</f>
        <v>〇</v>
      </c>
      <c r="M1397" s="1" t="str">
        <f ca="1">IFERROR(__xludf.DUMMYFUNCTION("""COMPUTED_VALUE"""),"〇")</f>
        <v>〇</v>
      </c>
      <c r="N1397" s="1"/>
      <c r="O1397" s="1"/>
      <c r="P1397" s="1"/>
    </row>
    <row r="1398" spans="1:16" ht="14.25" customHeight="1" x14ac:dyDescent="0.25">
      <c r="A1398" s="1"/>
      <c r="B1398" s="1">
        <f ca="1"/>
        <v>1386</v>
      </c>
      <c r="C1398" s="1">
        <f ca="1">IFERROR(__xludf.DUMMYFUNCTION("""COMPUTED_VALUE"""),2023)</f>
        <v>2023</v>
      </c>
      <c r="D1398" s="1">
        <f ca="1">IFERROR(__xludf.DUMMYFUNCTION("""COMPUTED_VALUE"""),40860)</f>
        <v>40860</v>
      </c>
      <c r="E1398" s="1" t="str">
        <f ca="1">IFERROR(__xludf.DUMMYFUNCTION("""COMPUTED_VALUE"""),"Journal of Reliable Intelligent Environments")</f>
        <v>Journal of Reliable Intelligent Environments</v>
      </c>
      <c r="F1398" s="1" t="str">
        <f ca="1">IFERROR(__xludf.DUMMYFUNCTION("""COMPUTED_VALUE"""),"2199-4676")</f>
        <v>2199-4676</v>
      </c>
      <c r="G1398" s="1" t="str">
        <f ca="1">IFERROR(__xludf.DUMMYFUNCTION("""COMPUTED_VALUE"""),"2199-4668")</f>
        <v>2199-4668</v>
      </c>
      <c r="H1398" s="27" t="str">
        <f ca="1">IFERROR(__xludf.DUMMYFUNCTION("""COMPUTED_VALUE"""),"https://link.springer.com/journal/40860")</f>
        <v>https://link.springer.com/journal/40860</v>
      </c>
      <c r="I1398" s="1" t="str">
        <f ca="1">IFERROR(__xludf.DUMMYFUNCTION("""COMPUTED_VALUE"""),"Springer")</f>
        <v>Springer</v>
      </c>
      <c r="J1398" s="1">
        <f ca="1">IFERROR(__xludf.DUMMYFUNCTION("""COMPUTED_VALUE"""),2015)</f>
        <v>2015</v>
      </c>
      <c r="K1398" s="1" t="str">
        <f ca="1">IFERROR(__xludf.DUMMYFUNCTION("""COMPUTED_VALUE"""),"Computer Science")</f>
        <v>Computer Science</v>
      </c>
      <c r="L1398" s="1" t="str">
        <f ca="1">IFERROR(__xludf.DUMMYFUNCTION("""COMPUTED_VALUE"""),"〇")</f>
        <v>〇</v>
      </c>
      <c r="M1398" s="1"/>
      <c r="N1398" s="1" t="str">
        <f ca="1">IFERROR(__xludf.DUMMYFUNCTION("""COMPUTED_VALUE"""),"SNS15")</f>
        <v>SNS15</v>
      </c>
      <c r="O1398" s="1"/>
      <c r="P1398" s="1"/>
    </row>
    <row r="1399" spans="1:16" ht="14.25" customHeight="1" x14ac:dyDescent="0.25">
      <c r="A1399" s="1"/>
      <c r="B1399" s="1">
        <f ca="1"/>
        <v>1387</v>
      </c>
      <c r="C1399" s="1">
        <f ca="1">IFERROR(__xludf.DUMMYFUNCTION("""COMPUTED_VALUE"""),2023)</f>
        <v>2023</v>
      </c>
      <c r="D1399" s="1">
        <f ca="1">IFERROR(__xludf.DUMMYFUNCTION("""COMPUTED_VALUE"""),10943)</f>
        <v>10943</v>
      </c>
      <c r="E1399" s="1" t="str">
        <f ca="1">IFERROR(__xludf.DUMMYFUNCTION("""COMPUTED_VALUE"""),"Journal of Religion and Health")</f>
        <v>Journal of Religion and Health</v>
      </c>
      <c r="F1399" s="1" t="str">
        <f ca="1">IFERROR(__xludf.DUMMYFUNCTION("""COMPUTED_VALUE"""),"1573-6571")</f>
        <v>1573-6571</v>
      </c>
      <c r="G1399" s="1" t="str">
        <f ca="1">IFERROR(__xludf.DUMMYFUNCTION("""COMPUTED_VALUE"""),"0022-4197")</f>
        <v>0022-4197</v>
      </c>
      <c r="H1399" s="27" t="str">
        <f ca="1">IFERROR(__xludf.DUMMYFUNCTION("""COMPUTED_VALUE"""),"https://link.springer.com/journal/10943")</f>
        <v>https://link.springer.com/journal/10943</v>
      </c>
      <c r="I1399" s="1" t="str">
        <f ca="1">IFERROR(__xludf.DUMMYFUNCTION("""COMPUTED_VALUE"""),"Springer")</f>
        <v>Springer</v>
      </c>
      <c r="J1399" s="1">
        <f ca="1">IFERROR(__xludf.DUMMYFUNCTION("""COMPUTED_VALUE"""),2000)</f>
        <v>2000</v>
      </c>
      <c r="K1399" s="1" t="str">
        <f ca="1">IFERROR(__xludf.DUMMYFUNCTION("""COMPUTED_VALUE"""),"Medicine")</f>
        <v>Medicine</v>
      </c>
      <c r="L1399" s="1" t="str">
        <f ca="1">IFERROR(__xludf.DUMMYFUNCTION("""COMPUTED_VALUE"""),"〇")</f>
        <v>〇</v>
      </c>
      <c r="M1399" s="1" t="str">
        <f ca="1">IFERROR(__xludf.DUMMYFUNCTION("""COMPUTED_VALUE"""),"〇")</f>
        <v>〇</v>
      </c>
      <c r="N1399" s="1"/>
      <c r="O1399" s="1"/>
      <c r="P1399" s="1"/>
    </row>
    <row r="1400" spans="1:16" ht="14.25" customHeight="1" x14ac:dyDescent="0.25">
      <c r="A1400" s="1"/>
      <c r="B1400" s="1">
        <f ca="1"/>
        <v>1388</v>
      </c>
      <c r="C1400" s="1">
        <f ca="1">IFERROR(__xludf.DUMMYFUNCTION("""COMPUTED_VALUE"""),2023)</f>
        <v>2023</v>
      </c>
      <c r="D1400" s="1">
        <f ca="1">IFERROR(__xludf.DUMMYFUNCTION("""COMPUTED_VALUE"""),40839)</f>
        <v>40839</v>
      </c>
      <c r="E1400" s="1" t="str">
        <f ca="1">IFERROR(__xludf.DUMMYFUNCTION("""COMPUTED_VALUE"""),"Journal of Religious Education")</f>
        <v>Journal of Religious Education</v>
      </c>
      <c r="F1400" s="1" t="str">
        <f ca="1">IFERROR(__xludf.DUMMYFUNCTION("""COMPUTED_VALUE"""),"2199-4625")</f>
        <v>2199-4625</v>
      </c>
      <c r="G1400" s="1" t="str">
        <f ca="1">IFERROR(__xludf.DUMMYFUNCTION("""COMPUTED_VALUE"""),"1442-018X")</f>
        <v>1442-018X</v>
      </c>
      <c r="H1400" s="27" t="str">
        <f ca="1">IFERROR(__xludf.DUMMYFUNCTION("""COMPUTED_VALUE"""),"https://link.springer.com/journal/40839")</f>
        <v>https://link.springer.com/journal/40839</v>
      </c>
      <c r="I1400" s="1" t="str">
        <f ca="1">IFERROR(__xludf.DUMMYFUNCTION("""COMPUTED_VALUE"""),"Springer")</f>
        <v>Springer</v>
      </c>
      <c r="J1400" s="1">
        <f ca="1">IFERROR(__xludf.DUMMYFUNCTION("""COMPUTED_VALUE"""),2014)</f>
        <v>2014</v>
      </c>
      <c r="K1400" s="1" t="str">
        <f ca="1">IFERROR(__xludf.DUMMYFUNCTION("""COMPUTED_VALUE"""),"Education")</f>
        <v>Education</v>
      </c>
      <c r="L1400" s="1" t="str">
        <f ca="1">IFERROR(__xludf.DUMMYFUNCTION("""COMPUTED_VALUE"""),"〇")</f>
        <v>〇</v>
      </c>
      <c r="M1400" s="1"/>
      <c r="N1400" s="1" t="str">
        <f ca="1">IFERROR(__xludf.DUMMYFUNCTION("""COMPUTED_VALUE"""),"TO14")</f>
        <v>TO14</v>
      </c>
      <c r="O1400" s="1"/>
      <c r="P1400" s="1"/>
    </row>
    <row r="1401" spans="1:16" ht="14.25" customHeight="1" x14ac:dyDescent="0.25">
      <c r="A1401" s="1"/>
      <c r="B1401" s="1">
        <f ca="1"/>
        <v>1389</v>
      </c>
      <c r="C1401" s="1">
        <f ca="1">IFERROR(__xludf.DUMMYFUNCTION("""COMPUTED_VALUE"""),2023)</f>
        <v>2023</v>
      </c>
      <c r="D1401" s="1">
        <f ca="1">IFERROR(__xludf.DUMMYFUNCTION("""COMPUTED_VALUE"""),13243)</f>
        <v>13243</v>
      </c>
      <c r="E1401" s="1" t="str">
        <f ca="1">IFERROR(__xludf.DUMMYFUNCTION("""COMPUTED_VALUE"""),"Journal of Remanufacturing")</f>
        <v>Journal of Remanufacturing</v>
      </c>
      <c r="F1401" s="1" t="str">
        <f ca="1">IFERROR(__xludf.DUMMYFUNCTION("""COMPUTED_VALUE"""),"2210-4690")</f>
        <v>2210-4690</v>
      </c>
      <c r="G1401" s="1" t="str">
        <f ca="1">IFERROR(__xludf.DUMMYFUNCTION("""COMPUTED_VALUE"""),"2210-464X")</f>
        <v>2210-464X</v>
      </c>
      <c r="H1401" s="27" t="str">
        <f ca="1">IFERROR(__xludf.DUMMYFUNCTION("""COMPUTED_VALUE"""),"https://link.springer.com/journal/13243")</f>
        <v>https://link.springer.com/journal/13243</v>
      </c>
      <c r="I1401" s="1" t="str">
        <f ca="1">IFERROR(__xludf.DUMMYFUNCTION("""COMPUTED_VALUE"""),"Springer")</f>
        <v>Springer</v>
      </c>
      <c r="J1401" s="1">
        <f ca="1">IFERROR(__xludf.DUMMYFUNCTION("""COMPUTED_VALUE"""),2011)</f>
        <v>2011</v>
      </c>
      <c r="K1401" s="1" t="str">
        <f ca="1">IFERROR(__xludf.DUMMYFUNCTION("""COMPUTED_VALUE"""),"Engineering")</f>
        <v>Engineering</v>
      </c>
      <c r="L1401" s="1" t="str">
        <f ca="1">IFERROR(__xludf.DUMMYFUNCTION("""COMPUTED_VALUE"""),"〇")</f>
        <v>〇</v>
      </c>
      <c r="M1401" s="1"/>
      <c r="N1401" s="1"/>
      <c r="O1401" s="1"/>
      <c r="P1401" s="1"/>
    </row>
    <row r="1402" spans="1:16" ht="14.25" customHeight="1" x14ac:dyDescent="0.25">
      <c r="A1402" s="1"/>
      <c r="B1402" s="1">
        <f ca="1"/>
        <v>1390</v>
      </c>
      <c r="C1402" s="1">
        <f ca="1">IFERROR(__xludf.DUMMYFUNCTION("""COMPUTED_VALUE"""),2023)</f>
        <v>2023</v>
      </c>
      <c r="D1402" s="1">
        <f ca="1">IFERROR(__xludf.DUMMYFUNCTION("""COMPUTED_VALUE"""),11166)</f>
        <v>11166</v>
      </c>
      <c r="E1402" s="1" t="str">
        <f ca="1">IFERROR(__xludf.DUMMYFUNCTION("""COMPUTED_VALUE"""),"Journal of Risk and Uncertainty")</f>
        <v>Journal of Risk and Uncertainty</v>
      </c>
      <c r="F1402" s="1" t="str">
        <f ca="1">IFERROR(__xludf.DUMMYFUNCTION("""COMPUTED_VALUE"""),"1573-0476")</f>
        <v>1573-0476</v>
      </c>
      <c r="G1402" s="1" t="str">
        <f ca="1">IFERROR(__xludf.DUMMYFUNCTION("""COMPUTED_VALUE"""),"0895-5646")</f>
        <v>0895-5646</v>
      </c>
      <c r="H1402" s="27" t="str">
        <f ca="1">IFERROR(__xludf.DUMMYFUNCTION("""COMPUTED_VALUE"""),"https://link.springer.com/journal/11166")</f>
        <v>https://link.springer.com/journal/11166</v>
      </c>
      <c r="I1402" s="1" t="str">
        <f ca="1">IFERROR(__xludf.DUMMYFUNCTION("""COMPUTED_VALUE"""),"Springer")</f>
        <v>Springer</v>
      </c>
      <c r="J1402" s="1">
        <f ca="1">IFERROR(__xludf.DUMMYFUNCTION("""COMPUTED_VALUE"""),2000)</f>
        <v>2000</v>
      </c>
      <c r="K1402" s="1" t="str">
        <f ca="1">IFERROR(__xludf.DUMMYFUNCTION("""COMPUTED_VALUE"""),"Economics and Finance")</f>
        <v>Economics and Finance</v>
      </c>
      <c r="L1402" s="1" t="str">
        <f ca="1">IFERROR(__xludf.DUMMYFUNCTION("""COMPUTED_VALUE"""),"〇")</f>
        <v>〇</v>
      </c>
      <c r="M1402" s="1" t="str">
        <f ca="1">IFERROR(__xludf.DUMMYFUNCTION("""COMPUTED_VALUE"""),"〇")</f>
        <v>〇</v>
      </c>
      <c r="N1402" s="1"/>
      <c r="O1402" s="1"/>
      <c r="P1402" s="1"/>
    </row>
    <row r="1403" spans="1:16" ht="14.25" customHeight="1" x14ac:dyDescent="0.25">
      <c r="A1403" s="1"/>
      <c r="B1403" s="1">
        <f ca="1"/>
        <v>1391</v>
      </c>
      <c r="C1403" s="1">
        <f ca="1">IFERROR(__xludf.DUMMYFUNCTION("""COMPUTED_VALUE"""),2023)</f>
        <v>2023</v>
      </c>
      <c r="D1403" s="1">
        <f ca="1">IFERROR(__xludf.DUMMYFUNCTION("""COMPUTED_VALUE"""),11701)</f>
        <v>11701</v>
      </c>
      <c r="E1403" s="1" t="str">
        <f ca="1">IFERROR(__xludf.DUMMYFUNCTION("""COMPUTED_VALUE"""),"Journal of Robotic Surgery")</f>
        <v>Journal of Robotic Surgery</v>
      </c>
      <c r="F1403" s="1" t="str">
        <f ca="1">IFERROR(__xludf.DUMMYFUNCTION("""COMPUTED_VALUE"""),"1863-2491")</f>
        <v>1863-2491</v>
      </c>
      <c r="G1403" s="1"/>
      <c r="H1403" s="27" t="str">
        <f ca="1">IFERROR(__xludf.DUMMYFUNCTION("""COMPUTED_VALUE"""),"https://link.springer.com/journal/11701")</f>
        <v>https://link.springer.com/journal/11701</v>
      </c>
      <c r="I1403" s="1" t="str">
        <f ca="1">IFERROR(__xludf.DUMMYFUNCTION("""COMPUTED_VALUE"""),"Springer")</f>
        <v>Springer</v>
      </c>
      <c r="J1403" s="1">
        <f ca="1">IFERROR(__xludf.DUMMYFUNCTION("""COMPUTED_VALUE"""),2007)</f>
        <v>2007</v>
      </c>
      <c r="K1403" s="1" t="str">
        <f ca="1">IFERROR(__xludf.DUMMYFUNCTION("""COMPUTED_VALUE"""),"Medicine")</f>
        <v>Medicine</v>
      </c>
      <c r="L1403" s="1"/>
      <c r="M1403" s="1" t="str">
        <f ca="1">IFERROR(__xludf.DUMMYFUNCTION("""COMPUTED_VALUE"""),"〇")</f>
        <v>〇</v>
      </c>
      <c r="N1403" s="1" t="str">
        <f ca="1">IFERROR(__xludf.DUMMYFUNCTION("""COMPUTED_VALUE"""),"SNS7")</f>
        <v>SNS7</v>
      </c>
      <c r="O1403" s="1"/>
      <c r="P1403" s="1"/>
    </row>
    <row r="1404" spans="1:16" ht="14.25" customHeight="1" x14ac:dyDescent="0.25">
      <c r="A1404" s="1"/>
      <c r="B1404" s="1">
        <f ca="1"/>
        <v>1392</v>
      </c>
      <c r="C1404" s="1">
        <f ca="1">IFERROR(__xludf.DUMMYFUNCTION("""COMPUTED_VALUE"""),2023)</f>
        <v>2023</v>
      </c>
      <c r="D1404" s="1">
        <f ca="1">IFERROR(__xludf.DUMMYFUNCTION("""COMPUTED_VALUE"""),42464)</f>
        <v>42464</v>
      </c>
      <c r="E1404" s="1" t="str">
        <f ca="1">IFERROR(__xludf.DUMMYFUNCTION("""COMPUTED_VALUE"""),"Journal of Rubber Research")</f>
        <v>Journal of Rubber Research</v>
      </c>
      <c r="F1404" s="1" t="str">
        <f ca="1">IFERROR(__xludf.DUMMYFUNCTION("""COMPUTED_VALUE"""),"2524-3993")</f>
        <v>2524-3993</v>
      </c>
      <c r="G1404" s="1" t="str">
        <f ca="1">IFERROR(__xludf.DUMMYFUNCTION("""COMPUTED_VALUE"""),"1511-1768")</f>
        <v>1511-1768</v>
      </c>
      <c r="H1404" s="27" t="str">
        <f ca="1">IFERROR(__xludf.DUMMYFUNCTION("""COMPUTED_VALUE"""),"https://link.springer.com/journal/42464")</f>
        <v>https://link.springer.com/journal/42464</v>
      </c>
      <c r="I1404" s="1" t="str">
        <f ca="1">IFERROR(__xludf.DUMMYFUNCTION("""COMPUTED_VALUE"""),"Springer")</f>
        <v>Springer</v>
      </c>
      <c r="J1404" s="1">
        <f ca="1">IFERROR(__xludf.DUMMYFUNCTION("""COMPUTED_VALUE"""),2017)</f>
        <v>2017</v>
      </c>
      <c r="K1404" s="1" t="str">
        <f ca="1">IFERROR(__xludf.DUMMYFUNCTION("""COMPUTED_VALUE"""),"Chemistry and Materials Science")</f>
        <v>Chemistry and Materials Science</v>
      </c>
      <c r="L1404" s="1" t="str">
        <f ca="1">IFERROR(__xludf.DUMMYFUNCTION("""COMPUTED_VALUE"""),"〇")</f>
        <v>〇</v>
      </c>
      <c r="M1404" s="1"/>
      <c r="N1404" s="1" t="str">
        <f ca="1">IFERROR(__xludf.DUMMYFUNCTION("""COMPUTED_VALUE"""),"TO19")</f>
        <v>TO19</v>
      </c>
      <c r="O1404" s="1"/>
      <c r="P1404" s="1"/>
    </row>
    <row r="1405" spans="1:16" ht="14.25" customHeight="1" x14ac:dyDescent="0.25">
      <c r="A1405" s="1"/>
      <c r="B1405" s="1">
        <f ca="1"/>
        <v>1393</v>
      </c>
      <c r="C1405" s="1">
        <f ca="1">IFERROR(__xludf.DUMMYFUNCTION("""COMPUTED_VALUE"""),2023)</f>
        <v>2023</v>
      </c>
      <c r="D1405" s="1">
        <f ca="1">IFERROR(__xludf.DUMMYFUNCTION("""COMPUTED_VALUE"""),10946)</f>
        <v>10946</v>
      </c>
      <c r="E1405" s="1" t="str">
        <f ca="1">IFERROR(__xludf.DUMMYFUNCTION("""COMPUTED_VALUE"""),"Journal of Russian Laser Research")</f>
        <v>Journal of Russian Laser Research</v>
      </c>
      <c r="F1405" s="1" t="str">
        <f ca="1">IFERROR(__xludf.DUMMYFUNCTION("""COMPUTED_VALUE"""),"1573-8760")</f>
        <v>1573-8760</v>
      </c>
      <c r="G1405" s="1" t="str">
        <f ca="1">IFERROR(__xludf.DUMMYFUNCTION("""COMPUTED_VALUE"""),"1071-2836")</f>
        <v>1071-2836</v>
      </c>
      <c r="H1405" s="27" t="str">
        <f ca="1">IFERROR(__xludf.DUMMYFUNCTION("""COMPUTED_VALUE"""),"https://link.springer.com/journal/10946")</f>
        <v>https://link.springer.com/journal/10946</v>
      </c>
      <c r="I1405" s="1" t="str">
        <f ca="1">IFERROR(__xludf.DUMMYFUNCTION("""COMPUTED_VALUE"""),"Springer")</f>
        <v>Springer</v>
      </c>
      <c r="J1405" s="1">
        <f ca="1">IFERROR(__xludf.DUMMYFUNCTION("""COMPUTED_VALUE"""),2000)</f>
        <v>2000</v>
      </c>
      <c r="K1405" s="1" t="str">
        <f ca="1">IFERROR(__xludf.DUMMYFUNCTION("""COMPUTED_VALUE"""),"Physics and Astronomy")</f>
        <v>Physics and Astronomy</v>
      </c>
      <c r="L1405" s="1" t="str">
        <f ca="1">IFERROR(__xludf.DUMMYFUNCTION("""COMPUTED_VALUE"""),"〇")</f>
        <v>〇</v>
      </c>
      <c r="M1405" s="1" t="str">
        <f ca="1">IFERROR(__xludf.DUMMYFUNCTION("""COMPUTED_VALUE"""),"〇")</f>
        <v>〇</v>
      </c>
      <c r="N1405" s="1"/>
      <c r="O1405" s="1"/>
      <c r="P1405" s="1"/>
    </row>
    <row r="1406" spans="1:16" ht="14.25" customHeight="1" x14ac:dyDescent="0.25">
      <c r="A1406" s="1"/>
      <c r="B1406" s="1">
        <f ca="1"/>
        <v>1394</v>
      </c>
      <c r="C1406" s="1">
        <f ca="1">IFERROR(__xludf.DUMMYFUNCTION("""COMPUTED_VALUE"""),2023)</f>
        <v>2023</v>
      </c>
      <c r="D1406" s="1">
        <f ca="1">IFERROR(__xludf.DUMMYFUNCTION("""COMPUTED_VALUE"""),10951)</f>
        <v>10951</v>
      </c>
      <c r="E1406" s="1" t="str">
        <f ca="1">IFERROR(__xludf.DUMMYFUNCTION("""COMPUTED_VALUE"""),"Journal of Scheduling")</f>
        <v>Journal of Scheduling</v>
      </c>
      <c r="F1406" s="1" t="str">
        <f ca="1">IFERROR(__xludf.DUMMYFUNCTION("""COMPUTED_VALUE"""),"1099-1425")</f>
        <v>1099-1425</v>
      </c>
      <c r="G1406" s="1" t="str">
        <f ca="1">IFERROR(__xludf.DUMMYFUNCTION("""COMPUTED_VALUE"""),"1094-6136")</f>
        <v>1094-6136</v>
      </c>
      <c r="H1406" s="27" t="str">
        <f ca="1">IFERROR(__xludf.DUMMYFUNCTION("""COMPUTED_VALUE"""),"https://link.springer.com/journal/10951")</f>
        <v>https://link.springer.com/journal/10951</v>
      </c>
      <c r="I1406" s="1" t="str">
        <f ca="1">IFERROR(__xludf.DUMMYFUNCTION("""COMPUTED_VALUE"""),"Springer")</f>
        <v>Springer</v>
      </c>
      <c r="J1406" s="1">
        <f ca="1">IFERROR(__xludf.DUMMYFUNCTION("""COMPUTED_VALUE"""),2003)</f>
        <v>2003</v>
      </c>
      <c r="K1406" s="1" t="str">
        <f ca="1">IFERROR(__xludf.DUMMYFUNCTION("""COMPUTED_VALUE"""),"Business and Management")</f>
        <v>Business and Management</v>
      </c>
      <c r="L1406" s="1" t="str">
        <f ca="1">IFERROR(__xludf.DUMMYFUNCTION("""COMPUTED_VALUE"""),"〇")</f>
        <v>〇</v>
      </c>
      <c r="M1406" s="1" t="str">
        <f ca="1">IFERROR(__xludf.DUMMYFUNCTION("""COMPUTED_VALUE"""),"〇")</f>
        <v>〇</v>
      </c>
      <c r="N1406" s="1"/>
      <c r="O1406" s="1"/>
      <c r="P1406" s="1"/>
    </row>
    <row r="1407" spans="1:16" ht="14.25" customHeight="1" x14ac:dyDescent="0.25">
      <c r="A1407" s="1"/>
      <c r="B1407" s="1">
        <f ca="1"/>
        <v>1395</v>
      </c>
      <c r="C1407" s="1">
        <f ca="1">IFERROR(__xludf.DUMMYFUNCTION("""COMPUTED_VALUE"""),2023)</f>
        <v>2023</v>
      </c>
      <c r="D1407" s="1">
        <f ca="1">IFERROR(__xludf.DUMMYFUNCTION("""COMPUTED_VALUE"""),10956)</f>
        <v>10956</v>
      </c>
      <c r="E1407" s="1" t="str">
        <f ca="1">IFERROR(__xludf.DUMMYFUNCTION("""COMPUTED_VALUE"""),"Journal of Science Education and Technology")</f>
        <v>Journal of Science Education and Technology</v>
      </c>
      <c r="F1407" s="1" t="str">
        <f ca="1">IFERROR(__xludf.DUMMYFUNCTION("""COMPUTED_VALUE"""),"1573-1839")</f>
        <v>1573-1839</v>
      </c>
      <c r="G1407" s="1" t="str">
        <f ca="1">IFERROR(__xludf.DUMMYFUNCTION("""COMPUTED_VALUE"""),"1059-0145")</f>
        <v>1059-0145</v>
      </c>
      <c r="H1407" s="27" t="str">
        <f ca="1">IFERROR(__xludf.DUMMYFUNCTION("""COMPUTED_VALUE"""),"https://link.springer.com/journal/10956")</f>
        <v>https://link.springer.com/journal/10956</v>
      </c>
      <c r="I1407" s="1" t="str">
        <f ca="1">IFERROR(__xludf.DUMMYFUNCTION("""COMPUTED_VALUE"""),"Springer")</f>
        <v>Springer</v>
      </c>
      <c r="J1407" s="1">
        <f ca="1">IFERROR(__xludf.DUMMYFUNCTION("""COMPUTED_VALUE"""),2000)</f>
        <v>2000</v>
      </c>
      <c r="K1407" s="1" t="str">
        <f ca="1">IFERROR(__xludf.DUMMYFUNCTION("""COMPUTED_VALUE"""),"Education")</f>
        <v>Education</v>
      </c>
      <c r="L1407" s="1" t="str">
        <f ca="1">IFERROR(__xludf.DUMMYFUNCTION("""COMPUTED_VALUE"""),"〇")</f>
        <v>〇</v>
      </c>
      <c r="M1407" s="1" t="str">
        <f ca="1">IFERROR(__xludf.DUMMYFUNCTION("""COMPUTED_VALUE"""),"〇")</f>
        <v>〇</v>
      </c>
      <c r="N1407" s="1"/>
      <c r="O1407" s="1"/>
      <c r="P1407" s="1"/>
    </row>
    <row r="1408" spans="1:16" ht="14.25" customHeight="1" x14ac:dyDescent="0.25">
      <c r="A1408" s="1"/>
      <c r="B1408" s="1">
        <f ca="1"/>
        <v>1396</v>
      </c>
      <c r="C1408" s="1">
        <f ca="1">IFERROR(__xludf.DUMMYFUNCTION("""COMPUTED_VALUE"""),2023)</f>
        <v>2023</v>
      </c>
      <c r="D1408" s="1">
        <f ca="1">IFERROR(__xludf.DUMMYFUNCTION("""COMPUTED_VALUE"""),42978)</f>
        <v>42978</v>
      </c>
      <c r="E1408" s="1" t="str">
        <f ca="1">IFERROR(__xludf.DUMMYFUNCTION("""COMPUTED_VALUE"""),"Journal of Science in Sport and Exercise")</f>
        <v>Journal of Science in Sport and Exercise</v>
      </c>
      <c r="F1408" s="1" t="str">
        <f ca="1">IFERROR(__xludf.DUMMYFUNCTION("""COMPUTED_VALUE"""),"2662-1371")</f>
        <v>2662-1371</v>
      </c>
      <c r="G1408" s="1" t="str">
        <f ca="1">IFERROR(__xludf.DUMMYFUNCTION("""COMPUTED_VALUE"""),"2096-6709")</f>
        <v>2096-6709</v>
      </c>
      <c r="H1408" s="27" t="str">
        <f ca="1">IFERROR(__xludf.DUMMYFUNCTION("""COMPUTED_VALUE"""),"https://link.springer.com/journal/42978")</f>
        <v>https://link.springer.com/journal/42978</v>
      </c>
      <c r="I1408" s="1" t="str">
        <f ca="1">IFERROR(__xludf.DUMMYFUNCTION("""COMPUTED_VALUE"""),"Springer")</f>
        <v>Springer</v>
      </c>
      <c r="J1408" s="1">
        <f ca="1">IFERROR(__xludf.DUMMYFUNCTION("""COMPUTED_VALUE"""),2019)</f>
        <v>2019</v>
      </c>
      <c r="K1408" s="1" t="str">
        <f ca="1">IFERROR(__xludf.DUMMYFUNCTION("""COMPUTED_VALUE"""),"Biomedical and Life Sciences")</f>
        <v>Biomedical and Life Sciences</v>
      </c>
      <c r="L1408" s="1" t="str">
        <f ca="1">IFERROR(__xludf.DUMMYFUNCTION("""COMPUTED_VALUE"""),"〇")</f>
        <v>〇</v>
      </c>
      <c r="M1408" s="1"/>
      <c r="N1408" s="1" t="str">
        <f ca="1">IFERROR(__xludf.DUMMYFUNCTION("""COMPUTED_VALUE"""),"SNS19")</f>
        <v>SNS19</v>
      </c>
      <c r="O1408" s="1"/>
      <c r="P1408" s="1"/>
    </row>
    <row r="1409" spans="1:16" ht="14.25" customHeight="1" x14ac:dyDescent="0.25">
      <c r="A1409" s="1"/>
      <c r="B1409" s="1">
        <f ca="1"/>
        <v>1397</v>
      </c>
      <c r="C1409" s="1">
        <f ca="1">IFERROR(__xludf.DUMMYFUNCTION("""COMPUTED_VALUE"""),2023)</f>
        <v>2023</v>
      </c>
      <c r="D1409" s="1">
        <f ca="1">IFERROR(__xludf.DUMMYFUNCTION("""COMPUTED_VALUE"""),10915)</f>
        <v>10915</v>
      </c>
      <c r="E1409" s="1" t="str">
        <f ca="1">IFERROR(__xludf.DUMMYFUNCTION("""COMPUTED_VALUE"""),"Journal of Scientific Computing")</f>
        <v>Journal of Scientific Computing</v>
      </c>
      <c r="F1409" s="1" t="str">
        <f ca="1">IFERROR(__xludf.DUMMYFUNCTION("""COMPUTED_VALUE"""),"1573-7691")</f>
        <v>1573-7691</v>
      </c>
      <c r="G1409" s="1" t="str">
        <f ca="1">IFERROR(__xludf.DUMMYFUNCTION("""COMPUTED_VALUE"""),"0885-7474")</f>
        <v>0885-7474</v>
      </c>
      <c r="H1409" s="27" t="str">
        <f ca="1">IFERROR(__xludf.DUMMYFUNCTION("""COMPUTED_VALUE"""),"https://link.springer.com/journal/10915")</f>
        <v>https://link.springer.com/journal/10915</v>
      </c>
      <c r="I1409" s="1" t="str">
        <f ca="1">IFERROR(__xludf.DUMMYFUNCTION("""COMPUTED_VALUE"""),"Springer")</f>
        <v>Springer</v>
      </c>
      <c r="J1409" s="1">
        <f ca="1">IFERROR(__xludf.DUMMYFUNCTION("""COMPUTED_VALUE"""),2000)</f>
        <v>2000</v>
      </c>
      <c r="K1409" s="1" t="str">
        <f ca="1">IFERROR(__xludf.DUMMYFUNCTION("""COMPUTED_VALUE"""),"Mathematics and Statistics")</f>
        <v>Mathematics and Statistics</v>
      </c>
      <c r="L1409" s="1" t="str">
        <f ca="1">IFERROR(__xludf.DUMMYFUNCTION("""COMPUTED_VALUE"""),"〇")</f>
        <v>〇</v>
      </c>
      <c r="M1409" s="1" t="str">
        <f ca="1">IFERROR(__xludf.DUMMYFUNCTION("""COMPUTED_VALUE"""),"〇")</f>
        <v>〇</v>
      </c>
      <c r="N1409" s="1"/>
      <c r="O1409" s="1"/>
      <c r="P1409" s="1"/>
    </row>
    <row r="1410" spans="1:16" ht="14.25" customHeight="1" x14ac:dyDescent="0.25">
      <c r="A1410" s="1"/>
      <c r="B1410" s="1">
        <f ca="1"/>
        <v>1398</v>
      </c>
      <c r="C1410" s="1">
        <f ca="1">IFERROR(__xludf.DUMMYFUNCTION("""COMPUTED_VALUE"""),2023)</f>
        <v>2023</v>
      </c>
      <c r="D1410" s="1">
        <f ca="1">IFERROR(__xludf.DUMMYFUNCTION("""COMPUTED_VALUE"""),43217)</f>
        <v>43217</v>
      </c>
      <c r="E1410" s="1" t="str">
        <f ca="1">IFERROR(__xludf.DUMMYFUNCTION("""COMPUTED_VALUE"""),"Journal of Sedimentary Environments")</f>
        <v>Journal of Sedimentary Environments</v>
      </c>
      <c r="F1410" s="1" t="str">
        <f ca="1">IFERROR(__xludf.DUMMYFUNCTION("""COMPUTED_VALUE"""),"2447-9462")</f>
        <v>2447-9462</v>
      </c>
      <c r="G1410" s="1" t="str">
        <f ca="1">IFERROR(__xludf.DUMMYFUNCTION("""COMPUTED_VALUE"""),"2662-5571")</f>
        <v>2662-5571</v>
      </c>
      <c r="H1410" s="27" t="str">
        <f ca="1">IFERROR(__xludf.DUMMYFUNCTION("""COMPUTED_VALUE"""),"https://link.springer.com/journal/43217")</f>
        <v>https://link.springer.com/journal/43217</v>
      </c>
      <c r="I1410" s="1" t="str">
        <f ca="1">IFERROR(__xludf.DUMMYFUNCTION("""COMPUTED_VALUE"""),"Springer")</f>
        <v>Springer</v>
      </c>
      <c r="J1410" s="1">
        <f ca="1">IFERROR(__xludf.DUMMYFUNCTION("""COMPUTED_VALUE"""),2020)</f>
        <v>2020</v>
      </c>
      <c r="K1410" s="1" t="str">
        <f ca="1">IFERROR(__xludf.DUMMYFUNCTION("""COMPUTED_VALUE"""),"Earth and Environmental Science")</f>
        <v>Earth and Environmental Science</v>
      </c>
      <c r="L1410" s="1" t="str">
        <f ca="1">IFERROR(__xludf.DUMMYFUNCTION("""COMPUTED_VALUE"""),"〇")</f>
        <v>〇</v>
      </c>
      <c r="M1410" s="1"/>
      <c r="N1410" s="1" t="str">
        <f ca="1">IFERROR(__xludf.DUMMYFUNCTION("""COMPUTED_VALUE"""),"TO20")</f>
        <v>TO20</v>
      </c>
      <c r="O1410" s="1"/>
      <c r="P1410" s="1"/>
    </row>
    <row r="1411" spans="1:16" ht="14.25" customHeight="1" x14ac:dyDescent="0.25">
      <c r="A1411" s="1"/>
      <c r="B1411" s="1">
        <f ca="1"/>
        <v>1399</v>
      </c>
      <c r="C1411" s="1">
        <f ca="1">IFERROR(__xludf.DUMMYFUNCTION("""COMPUTED_VALUE"""),2023)</f>
        <v>2023</v>
      </c>
      <c r="D1411" s="1">
        <f ca="1">IFERROR(__xludf.DUMMYFUNCTION("""COMPUTED_VALUE"""),10950)</f>
        <v>10950</v>
      </c>
      <c r="E1411" s="1" t="str">
        <f ca="1">IFERROR(__xludf.DUMMYFUNCTION("""COMPUTED_VALUE"""),"Journal of Seismology")</f>
        <v>Journal of Seismology</v>
      </c>
      <c r="F1411" s="1" t="str">
        <f ca="1">IFERROR(__xludf.DUMMYFUNCTION("""COMPUTED_VALUE"""),"1573-157X")</f>
        <v>1573-157X</v>
      </c>
      <c r="G1411" s="1" t="str">
        <f ca="1">IFERROR(__xludf.DUMMYFUNCTION("""COMPUTED_VALUE"""),"1383-4649")</f>
        <v>1383-4649</v>
      </c>
      <c r="H1411" s="27" t="str">
        <f ca="1">IFERROR(__xludf.DUMMYFUNCTION("""COMPUTED_VALUE"""),"https://link.springer.com/journal/10950")</f>
        <v>https://link.springer.com/journal/10950</v>
      </c>
      <c r="I1411" s="1" t="str">
        <f ca="1">IFERROR(__xludf.DUMMYFUNCTION("""COMPUTED_VALUE"""),"Springer")</f>
        <v>Springer</v>
      </c>
      <c r="J1411" s="1">
        <f ca="1">IFERROR(__xludf.DUMMYFUNCTION("""COMPUTED_VALUE"""),2000)</f>
        <v>2000</v>
      </c>
      <c r="K1411" s="1" t="str">
        <f ca="1">IFERROR(__xludf.DUMMYFUNCTION("""COMPUTED_VALUE"""),"Earth and Environmental Science")</f>
        <v>Earth and Environmental Science</v>
      </c>
      <c r="L1411" s="1" t="str">
        <f ca="1">IFERROR(__xludf.DUMMYFUNCTION("""COMPUTED_VALUE"""),"〇")</f>
        <v>〇</v>
      </c>
      <c r="M1411" s="1" t="str">
        <f ca="1">IFERROR(__xludf.DUMMYFUNCTION("""COMPUTED_VALUE"""),"〇")</f>
        <v>〇</v>
      </c>
      <c r="N1411" s="1"/>
      <c r="O1411" s="1"/>
      <c r="P1411" s="1"/>
    </row>
    <row r="1412" spans="1:16" ht="14.25" customHeight="1" x14ac:dyDescent="0.25">
      <c r="A1412" s="1"/>
      <c r="B1412" s="1">
        <f ca="1"/>
        <v>1400</v>
      </c>
      <c r="C1412" s="1">
        <f ca="1">IFERROR(__xludf.DUMMYFUNCTION("""COMPUTED_VALUE"""),2023)</f>
        <v>2023</v>
      </c>
      <c r="D1412" s="1">
        <f ca="1">IFERROR(__xludf.DUMMYFUNCTION("""COMPUTED_VALUE"""),12204)</f>
        <v>12204</v>
      </c>
      <c r="E1412" s="1" t="str">
        <f ca="1">IFERROR(__xludf.DUMMYFUNCTION("""COMPUTED_VALUE"""),"Journal of Shanghai Jiaotong University (Science)")</f>
        <v>Journal of Shanghai Jiaotong University (Science)</v>
      </c>
      <c r="F1412" s="1" t="str">
        <f ca="1">IFERROR(__xludf.DUMMYFUNCTION("""COMPUTED_VALUE"""),"1995-8188")</f>
        <v>1995-8188</v>
      </c>
      <c r="G1412" s="1" t="str">
        <f ca="1">IFERROR(__xludf.DUMMYFUNCTION("""COMPUTED_VALUE"""),"1007-1172")</f>
        <v>1007-1172</v>
      </c>
      <c r="H1412" s="27" t="str">
        <f ca="1">IFERROR(__xludf.DUMMYFUNCTION("""COMPUTED_VALUE"""),"https://link.springer.com/journal/12204")</f>
        <v>https://link.springer.com/journal/12204</v>
      </c>
      <c r="I1412" s="1" t="str">
        <f ca="1">IFERROR(__xludf.DUMMYFUNCTION("""COMPUTED_VALUE"""),"Shanghai Jiaotong University Press, co-published with Springer")</f>
        <v>Shanghai Jiaotong University Press, co-published with Springer</v>
      </c>
      <c r="J1412" s="1">
        <f ca="1">IFERROR(__xludf.DUMMYFUNCTION("""COMPUTED_VALUE"""),2008)</f>
        <v>2008</v>
      </c>
      <c r="K1412" s="1" t="str">
        <f ca="1">IFERROR(__xludf.DUMMYFUNCTION("""COMPUTED_VALUE"""),"Engineering")</f>
        <v>Engineering</v>
      </c>
      <c r="L1412" s="1" t="str">
        <f ca="1">IFERROR(__xludf.DUMMYFUNCTION("""COMPUTED_VALUE"""),"〇")</f>
        <v>〇</v>
      </c>
      <c r="M1412" s="1" t="str">
        <f ca="1">IFERROR(__xludf.DUMMYFUNCTION("""COMPUTED_VALUE"""),"〇")</f>
        <v>〇</v>
      </c>
      <c r="N1412" s="1" t="str">
        <f ca="1">IFERROR(__xludf.DUMMYFUNCTION("""COMPUTED_VALUE"""),"TO8")</f>
        <v>TO8</v>
      </c>
      <c r="O1412" s="1"/>
      <c r="P1412" s="1"/>
    </row>
    <row r="1413" spans="1:16" ht="14.25" customHeight="1" x14ac:dyDescent="0.25">
      <c r="A1413" s="1"/>
      <c r="B1413" s="1">
        <f ca="1"/>
        <v>1401</v>
      </c>
      <c r="C1413" s="1">
        <f ca="1">IFERROR(__xludf.DUMMYFUNCTION("""COMPUTED_VALUE"""),2023)</f>
        <v>2023</v>
      </c>
      <c r="D1413" s="1">
        <f ca="1">IFERROR(__xludf.DUMMYFUNCTION("""COMPUTED_VALUE"""),11265)</f>
        <v>11265</v>
      </c>
      <c r="E1413" s="1" t="str">
        <f ca="1">IFERROR(__xludf.DUMMYFUNCTION("""COMPUTED_VALUE"""),"Journal of Signal Processing Systems")</f>
        <v>Journal of Signal Processing Systems</v>
      </c>
      <c r="F1413" s="1" t="str">
        <f ca="1">IFERROR(__xludf.DUMMYFUNCTION("""COMPUTED_VALUE"""),"1939-8115")</f>
        <v>1939-8115</v>
      </c>
      <c r="G1413" s="1" t="str">
        <f ca="1">IFERROR(__xludf.DUMMYFUNCTION("""COMPUTED_VALUE"""),"1939-8018")</f>
        <v>1939-8018</v>
      </c>
      <c r="H1413" s="27" t="str">
        <f ca="1">IFERROR(__xludf.DUMMYFUNCTION("""COMPUTED_VALUE"""),"https://link.springer.com/journal/11265")</f>
        <v>https://link.springer.com/journal/11265</v>
      </c>
      <c r="I1413" s="1" t="str">
        <f ca="1">IFERROR(__xludf.DUMMYFUNCTION("""COMPUTED_VALUE"""),"Springer")</f>
        <v>Springer</v>
      </c>
      <c r="J1413" s="1">
        <f ca="1">IFERROR(__xludf.DUMMYFUNCTION("""COMPUTED_VALUE"""),2000)</f>
        <v>2000</v>
      </c>
      <c r="K1413" s="1" t="str">
        <f ca="1">IFERROR(__xludf.DUMMYFUNCTION("""COMPUTED_VALUE"""),"Engineering")</f>
        <v>Engineering</v>
      </c>
      <c r="L1413" s="1" t="str">
        <f ca="1">IFERROR(__xludf.DUMMYFUNCTION("""COMPUTED_VALUE"""),"〇")</f>
        <v>〇</v>
      </c>
      <c r="M1413" s="1" t="str">
        <f ca="1">IFERROR(__xludf.DUMMYFUNCTION("""COMPUTED_VALUE"""),"〇")</f>
        <v>〇</v>
      </c>
      <c r="N1413" s="1"/>
      <c r="O1413" s="1"/>
      <c r="P1413" s="1"/>
    </row>
    <row r="1414" spans="1:16" ht="14.25" customHeight="1" x14ac:dyDescent="0.25">
      <c r="A1414" s="1"/>
      <c r="B1414" s="1">
        <f ca="1"/>
        <v>1402</v>
      </c>
      <c r="C1414" s="1">
        <f ca="1">IFERROR(__xludf.DUMMYFUNCTION("""COMPUTED_VALUE"""),2023)</f>
        <v>2023</v>
      </c>
      <c r="D1414" s="1">
        <f ca="1">IFERROR(__xludf.DUMMYFUNCTION("""COMPUTED_VALUE"""),40847)</f>
        <v>40847</v>
      </c>
      <c r="E1414" s="1" t="str">
        <f ca="1">IFERROR(__xludf.DUMMYFUNCTION("""COMPUTED_VALUE"""),"Journal of Social and Economic Development")</f>
        <v>Journal of Social and Economic Development</v>
      </c>
      <c r="F1414" s="1" t="str">
        <f ca="1">IFERROR(__xludf.DUMMYFUNCTION("""COMPUTED_VALUE"""),"2199-6873")</f>
        <v>2199-6873</v>
      </c>
      <c r="G1414" s="1" t="str">
        <f ca="1">IFERROR(__xludf.DUMMYFUNCTION("""COMPUTED_VALUE"""),"0972-5792")</f>
        <v>0972-5792</v>
      </c>
      <c r="H1414" s="27" t="str">
        <f ca="1">IFERROR(__xludf.DUMMYFUNCTION("""COMPUTED_VALUE"""),"https://link.springer.com/journal/40847")</f>
        <v>https://link.springer.com/journal/40847</v>
      </c>
      <c r="I1414" s="1" t="str">
        <f ca="1">IFERROR(__xludf.DUMMYFUNCTION("""COMPUTED_VALUE"""),"Springer")</f>
        <v>Springer</v>
      </c>
      <c r="J1414" s="1">
        <f ca="1">IFERROR(__xludf.DUMMYFUNCTION("""COMPUTED_VALUE"""),2015)</f>
        <v>2015</v>
      </c>
      <c r="K1414" s="1" t="str">
        <f ca="1">IFERROR(__xludf.DUMMYFUNCTION("""COMPUTED_VALUE"""),"Economics and Finance")</f>
        <v>Economics and Finance</v>
      </c>
      <c r="L1414" s="1" t="str">
        <f ca="1">IFERROR(__xludf.DUMMYFUNCTION("""COMPUTED_VALUE"""),"〇")</f>
        <v>〇</v>
      </c>
      <c r="M1414" s="1"/>
      <c r="N1414" s="1" t="str">
        <f ca="1">IFERROR(__xludf.DUMMYFUNCTION("""COMPUTED_VALUE"""),"TO15")</f>
        <v>TO15</v>
      </c>
      <c r="O1414" s="1"/>
      <c r="P1414" s="1"/>
    </row>
    <row r="1415" spans="1:16" ht="14.25" customHeight="1" x14ac:dyDescent="0.25">
      <c r="A1415" s="1"/>
      <c r="B1415" s="1">
        <f ca="1"/>
        <v>1403</v>
      </c>
      <c r="C1415" s="1">
        <f ca="1">IFERROR(__xludf.DUMMYFUNCTION("""COMPUTED_VALUE"""),2023)</f>
        <v>2023</v>
      </c>
      <c r="D1415" s="1">
        <f ca="1">IFERROR(__xludf.DUMMYFUNCTION("""COMPUTED_VALUE"""),42729)</f>
        <v>42729</v>
      </c>
      <c r="E1415" s="1" t="str">
        <f ca="1">IFERROR(__xludf.DUMMYFUNCTION("""COMPUTED_VALUE"""),"Journal of Soil Science and Plant Nutrition")</f>
        <v>Journal of Soil Science and Plant Nutrition</v>
      </c>
      <c r="F1415" s="1" t="str">
        <f ca="1">IFERROR(__xludf.DUMMYFUNCTION("""COMPUTED_VALUE"""),"0718-9516")</f>
        <v>0718-9516</v>
      </c>
      <c r="G1415" s="1" t="str">
        <f ca="1">IFERROR(__xludf.DUMMYFUNCTION("""COMPUTED_VALUE"""),"0718-9508")</f>
        <v>0718-9508</v>
      </c>
      <c r="H1415" s="27" t="str">
        <f ca="1">IFERROR(__xludf.DUMMYFUNCTION("""COMPUTED_VALUE"""),"https://link.springer.com/journal/42729")</f>
        <v>https://link.springer.com/journal/42729</v>
      </c>
      <c r="I1415" s="1" t="str">
        <f ca="1">IFERROR(__xludf.DUMMYFUNCTION("""COMPUTED_VALUE"""),"Springer")</f>
        <v>Springer</v>
      </c>
      <c r="J1415" s="1">
        <f ca="1">IFERROR(__xludf.DUMMYFUNCTION("""COMPUTED_VALUE"""),2019)</f>
        <v>2019</v>
      </c>
      <c r="K1415" s="1" t="str">
        <f ca="1">IFERROR(__xludf.DUMMYFUNCTION("""COMPUTED_VALUE"""),"Biomedical and Life Sciences")</f>
        <v>Biomedical and Life Sciences</v>
      </c>
      <c r="L1415" s="1" t="str">
        <f ca="1">IFERROR(__xludf.DUMMYFUNCTION("""COMPUTED_VALUE"""),"〇")</f>
        <v>〇</v>
      </c>
      <c r="M1415" s="1"/>
      <c r="N1415" s="1" t="str">
        <f ca="1">IFERROR(__xludf.DUMMYFUNCTION("""COMPUTED_VALUE"""),"TO19")</f>
        <v>TO19</v>
      </c>
      <c r="O1415" s="1"/>
      <c r="P1415" s="1"/>
    </row>
    <row r="1416" spans="1:16" ht="14.25" customHeight="1" x14ac:dyDescent="0.25">
      <c r="A1416" s="1"/>
      <c r="B1416" s="1">
        <f ca="1"/>
        <v>1404</v>
      </c>
      <c r="C1416" s="1">
        <f ca="1">IFERROR(__xludf.DUMMYFUNCTION("""COMPUTED_VALUE"""),2023)</f>
        <v>2023</v>
      </c>
      <c r="D1416" s="1">
        <f ca="1">IFERROR(__xludf.DUMMYFUNCTION("""COMPUTED_VALUE"""),11368)</f>
        <v>11368</v>
      </c>
      <c r="E1416" s="1" t="str">
        <f ca="1">IFERROR(__xludf.DUMMYFUNCTION("""COMPUTED_VALUE"""),"Journal of Soils and Sediments")</f>
        <v>Journal of Soils and Sediments</v>
      </c>
      <c r="F1416" s="1" t="str">
        <f ca="1">IFERROR(__xludf.DUMMYFUNCTION("""COMPUTED_VALUE"""),"1614-7480")</f>
        <v>1614-7480</v>
      </c>
      <c r="G1416" s="1" t="str">
        <f ca="1">IFERROR(__xludf.DUMMYFUNCTION("""COMPUTED_VALUE"""),"1439-0108")</f>
        <v>1439-0108</v>
      </c>
      <c r="H1416" s="27" t="str">
        <f ca="1">IFERROR(__xludf.DUMMYFUNCTION("""COMPUTED_VALUE"""),"https://link.springer.com/journal/11368")</f>
        <v>https://link.springer.com/journal/11368</v>
      </c>
      <c r="I1416" s="1" t="str">
        <f ca="1">IFERROR(__xludf.DUMMYFUNCTION("""COMPUTED_VALUE"""),"Springer")</f>
        <v>Springer</v>
      </c>
      <c r="J1416" s="1">
        <f ca="1">IFERROR(__xludf.DUMMYFUNCTION("""COMPUTED_VALUE"""),2001)</f>
        <v>2001</v>
      </c>
      <c r="K1416" s="1" t="str">
        <f ca="1">IFERROR(__xludf.DUMMYFUNCTION("""COMPUTED_VALUE"""),"Earth and Environmental Science")</f>
        <v>Earth and Environmental Science</v>
      </c>
      <c r="L1416" s="1" t="str">
        <f ca="1">IFERROR(__xludf.DUMMYFUNCTION("""COMPUTED_VALUE"""),"〇")</f>
        <v>〇</v>
      </c>
      <c r="M1416" s="1" t="str">
        <f ca="1">IFERROR(__xludf.DUMMYFUNCTION("""COMPUTED_VALUE"""),"〇")</f>
        <v>〇</v>
      </c>
      <c r="N1416" s="1"/>
      <c r="O1416" s="1"/>
      <c r="P1416" s="1"/>
    </row>
    <row r="1417" spans="1:16" ht="14.25" customHeight="1" x14ac:dyDescent="0.25">
      <c r="A1417" s="1"/>
      <c r="B1417" s="1">
        <f ca="1"/>
        <v>1405</v>
      </c>
      <c r="C1417" s="1">
        <f ca="1">IFERROR(__xludf.DUMMYFUNCTION("""COMPUTED_VALUE"""),2023)</f>
        <v>2023</v>
      </c>
      <c r="D1417" s="1">
        <f ca="1">IFERROR(__xludf.DUMMYFUNCTION("""COMPUTED_VALUE"""),10971)</f>
        <v>10971</v>
      </c>
      <c r="E1417" s="1" t="str">
        <f ca="1">IFERROR(__xludf.DUMMYFUNCTION("""COMPUTED_VALUE"""),"Journal of Sol-Gel Science and Technology")</f>
        <v>Journal of Sol-Gel Science and Technology</v>
      </c>
      <c r="F1417" s="1" t="str">
        <f ca="1">IFERROR(__xludf.DUMMYFUNCTION("""COMPUTED_VALUE"""),"1573-4846")</f>
        <v>1573-4846</v>
      </c>
      <c r="G1417" s="1" t="str">
        <f ca="1">IFERROR(__xludf.DUMMYFUNCTION("""COMPUTED_VALUE"""),"0928-0707")</f>
        <v>0928-0707</v>
      </c>
      <c r="H1417" s="27" t="str">
        <f ca="1">IFERROR(__xludf.DUMMYFUNCTION("""COMPUTED_VALUE"""),"https://link.springer.com/journal/10971")</f>
        <v>https://link.springer.com/journal/10971</v>
      </c>
      <c r="I1417" s="1" t="str">
        <f ca="1">IFERROR(__xludf.DUMMYFUNCTION("""COMPUTED_VALUE"""),"Springer")</f>
        <v>Springer</v>
      </c>
      <c r="J1417" s="1">
        <f ca="1">IFERROR(__xludf.DUMMYFUNCTION("""COMPUTED_VALUE"""),2000)</f>
        <v>2000</v>
      </c>
      <c r="K1417" s="1" t="str">
        <f ca="1">IFERROR(__xludf.DUMMYFUNCTION("""COMPUTED_VALUE"""),"Chemistry and Materials Science")</f>
        <v>Chemistry and Materials Science</v>
      </c>
      <c r="L1417" s="1" t="str">
        <f ca="1">IFERROR(__xludf.DUMMYFUNCTION("""COMPUTED_VALUE"""),"〇")</f>
        <v>〇</v>
      </c>
      <c r="M1417" s="1" t="str">
        <f ca="1">IFERROR(__xludf.DUMMYFUNCTION("""COMPUTED_VALUE"""),"〇")</f>
        <v>〇</v>
      </c>
      <c r="N1417" s="1"/>
      <c r="O1417" s="1"/>
      <c r="P1417" s="1"/>
    </row>
    <row r="1418" spans="1:16" ht="14.25" customHeight="1" x14ac:dyDescent="0.25">
      <c r="A1418" s="1"/>
      <c r="B1418" s="1">
        <f ca="1"/>
        <v>1406</v>
      </c>
      <c r="C1418" s="1">
        <f ca="1">IFERROR(__xludf.DUMMYFUNCTION("""COMPUTED_VALUE"""),2023)</f>
        <v>2023</v>
      </c>
      <c r="D1418" s="1">
        <f ca="1">IFERROR(__xludf.DUMMYFUNCTION("""COMPUTED_VALUE"""),10008)</f>
        <v>10008</v>
      </c>
      <c r="E1418" s="1" t="str">
        <f ca="1">IFERROR(__xludf.DUMMYFUNCTION("""COMPUTED_VALUE"""),"Journal of Solid State Electrochemistry")</f>
        <v>Journal of Solid State Electrochemistry</v>
      </c>
      <c r="F1418" s="1" t="str">
        <f ca="1">IFERROR(__xludf.DUMMYFUNCTION("""COMPUTED_VALUE"""),"1433-0768")</f>
        <v>1433-0768</v>
      </c>
      <c r="G1418" s="1" t="str">
        <f ca="1">IFERROR(__xludf.DUMMYFUNCTION("""COMPUTED_VALUE"""),"1432-8488")</f>
        <v>1432-8488</v>
      </c>
      <c r="H1418" s="27" t="str">
        <f ca="1">IFERROR(__xludf.DUMMYFUNCTION("""COMPUTED_VALUE"""),"https://link.springer.com/journal/10008")</f>
        <v>https://link.springer.com/journal/10008</v>
      </c>
      <c r="I1418" s="1" t="str">
        <f ca="1">IFERROR(__xludf.DUMMYFUNCTION("""COMPUTED_VALUE"""),"Springer")</f>
        <v>Springer</v>
      </c>
      <c r="J1418" s="1">
        <f ca="1">IFERROR(__xludf.DUMMYFUNCTION("""COMPUTED_VALUE"""),2000)</f>
        <v>2000</v>
      </c>
      <c r="K1418" s="1" t="str">
        <f ca="1">IFERROR(__xludf.DUMMYFUNCTION("""COMPUTED_VALUE"""),"Chemistry and Materials Science")</f>
        <v>Chemistry and Materials Science</v>
      </c>
      <c r="L1418" s="1" t="str">
        <f ca="1">IFERROR(__xludf.DUMMYFUNCTION("""COMPUTED_VALUE"""),"〇")</f>
        <v>〇</v>
      </c>
      <c r="M1418" s="1" t="str">
        <f ca="1">IFERROR(__xludf.DUMMYFUNCTION("""COMPUTED_VALUE"""),"〇")</f>
        <v>〇</v>
      </c>
      <c r="N1418" s="1"/>
      <c r="O1418" s="1"/>
      <c r="P1418" s="1"/>
    </row>
    <row r="1419" spans="1:16" ht="14.25" customHeight="1" x14ac:dyDescent="0.25">
      <c r="A1419" s="1"/>
      <c r="B1419" s="1">
        <f ca="1"/>
        <v>1407</v>
      </c>
      <c r="C1419" s="1">
        <f ca="1">IFERROR(__xludf.DUMMYFUNCTION("""COMPUTED_VALUE"""),2023)</f>
        <v>2023</v>
      </c>
      <c r="D1419" s="1">
        <f ca="1">IFERROR(__xludf.DUMMYFUNCTION("""COMPUTED_VALUE"""),10953)</f>
        <v>10953</v>
      </c>
      <c r="E1419" s="1" t="str">
        <f ca="1">IFERROR(__xludf.DUMMYFUNCTION("""COMPUTED_VALUE"""),"Journal of Solution Chemistry")</f>
        <v>Journal of Solution Chemistry</v>
      </c>
      <c r="F1419" s="1" t="str">
        <f ca="1">IFERROR(__xludf.DUMMYFUNCTION("""COMPUTED_VALUE"""),"1572-8927")</f>
        <v>1572-8927</v>
      </c>
      <c r="G1419" s="1" t="str">
        <f ca="1">IFERROR(__xludf.DUMMYFUNCTION("""COMPUTED_VALUE"""),"0095-9782")</f>
        <v>0095-9782</v>
      </c>
      <c r="H1419" s="27" t="str">
        <f ca="1">IFERROR(__xludf.DUMMYFUNCTION("""COMPUTED_VALUE"""),"https://link.springer.com/journal/10953")</f>
        <v>https://link.springer.com/journal/10953</v>
      </c>
      <c r="I1419" s="1" t="str">
        <f ca="1">IFERROR(__xludf.DUMMYFUNCTION("""COMPUTED_VALUE"""),"Springer")</f>
        <v>Springer</v>
      </c>
      <c r="J1419" s="1">
        <f ca="1">IFERROR(__xludf.DUMMYFUNCTION("""COMPUTED_VALUE"""),2000)</f>
        <v>2000</v>
      </c>
      <c r="K1419" s="1" t="str">
        <f ca="1">IFERROR(__xludf.DUMMYFUNCTION("""COMPUTED_VALUE"""),"Chemistry and Materials Science")</f>
        <v>Chemistry and Materials Science</v>
      </c>
      <c r="L1419" s="1" t="str">
        <f ca="1">IFERROR(__xludf.DUMMYFUNCTION("""COMPUTED_VALUE"""),"〇")</f>
        <v>〇</v>
      </c>
      <c r="M1419" s="1" t="str">
        <f ca="1">IFERROR(__xludf.DUMMYFUNCTION("""COMPUTED_VALUE"""),"〇")</f>
        <v>〇</v>
      </c>
      <c r="N1419" s="1"/>
      <c r="O1419" s="1"/>
      <c r="P1419" s="1"/>
    </row>
    <row r="1420" spans="1:16" ht="14.25" customHeight="1" x14ac:dyDescent="0.25">
      <c r="A1420" s="1"/>
      <c r="B1420" s="1">
        <f ca="1"/>
        <v>1408</v>
      </c>
      <c r="C1420" s="1">
        <f ca="1">IFERROR(__xludf.DUMMYFUNCTION("""COMPUTED_VALUE"""),2023)</f>
        <v>2023</v>
      </c>
      <c r="D1420" s="1">
        <f ca="1">IFERROR(__xludf.DUMMYFUNCTION("""COMPUTED_VALUE"""),43071)</f>
        <v>43071</v>
      </c>
      <c r="E1420" s="1" t="str">
        <f ca="1">IFERROR(__xludf.DUMMYFUNCTION("""COMPUTED_VALUE"""),"Journal of Spatial Econometrics")</f>
        <v>Journal of Spatial Econometrics</v>
      </c>
      <c r="F1420" s="1" t="str">
        <f ca="1">IFERROR(__xludf.DUMMYFUNCTION("""COMPUTED_VALUE"""),"2662-298X")</f>
        <v>2662-298X</v>
      </c>
      <c r="G1420" s="1"/>
      <c r="H1420" s="27" t="str">
        <f ca="1">IFERROR(__xludf.DUMMYFUNCTION("""COMPUTED_VALUE"""),"https://link.springer.com/journal/43071")</f>
        <v>https://link.springer.com/journal/43071</v>
      </c>
      <c r="I1420" s="1" t="str">
        <f ca="1">IFERROR(__xludf.DUMMYFUNCTION("""COMPUTED_VALUE"""),"Springer")</f>
        <v>Springer</v>
      </c>
      <c r="J1420" s="1">
        <f ca="1">IFERROR(__xludf.DUMMYFUNCTION("""COMPUTED_VALUE"""),2020)</f>
        <v>2020</v>
      </c>
      <c r="K1420" s="1" t="str">
        <f ca="1">IFERROR(__xludf.DUMMYFUNCTION("""COMPUTED_VALUE"""),"Economics and Finance")</f>
        <v>Economics and Finance</v>
      </c>
      <c r="L1420" s="1"/>
      <c r="M1420" s="1"/>
      <c r="N1420" s="1" t="str">
        <f ca="1">IFERROR(__xludf.DUMMYFUNCTION("""COMPUTED_VALUE"""),"SNS20")</f>
        <v>SNS20</v>
      </c>
      <c r="O1420" s="1"/>
      <c r="P1420" s="1"/>
    </row>
    <row r="1421" spans="1:16" ht="14.25" customHeight="1" x14ac:dyDescent="0.25">
      <c r="A1421" s="1"/>
      <c r="B1421" s="1">
        <f ca="1"/>
        <v>1409</v>
      </c>
      <c r="C1421" s="1">
        <f ca="1">IFERROR(__xludf.DUMMYFUNCTION("""COMPUTED_VALUE"""),2023)</f>
        <v>2023</v>
      </c>
      <c r="D1421" s="1">
        <f ca="1">IFERROR(__xludf.DUMMYFUNCTION("""COMPUTED_VALUE"""),10955)</f>
        <v>10955</v>
      </c>
      <c r="E1421" s="1" t="str">
        <f ca="1">IFERROR(__xludf.DUMMYFUNCTION("""COMPUTED_VALUE"""),"Journal of Statistical Physics")</f>
        <v>Journal of Statistical Physics</v>
      </c>
      <c r="F1421" s="1" t="str">
        <f ca="1">IFERROR(__xludf.DUMMYFUNCTION("""COMPUTED_VALUE"""),"1572-9613")</f>
        <v>1572-9613</v>
      </c>
      <c r="G1421" s="1"/>
      <c r="H1421" s="27" t="str">
        <f ca="1">IFERROR(__xludf.DUMMYFUNCTION("""COMPUTED_VALUE"""),"https://link.springer.com/journal/10955")</f>
        <v>https://link.springer.com/journal/10955</v>
      </c>
      <c r="I1421" s="1" t="str">
        <f ca="1">IFERROR(__xludf.DUMMYFUNCTION("""COMPUTED_VALUE"""),"Springer")</f>
        <v>Springer</v>
      </c>
      <c r="J1421" s="1">
        <f ca="1">IFERROR(__xludf.DUMMYFUNCTION("""COMPUTED_VALUE"""),2000)</f>
        <v>2000</v>
      </c>
      <c r="K1421" s="1" t="str">
        <f ca="1">IFERROR(__xludf.DUMMYFUNCTION("""COMPUTED_VALUE"""),"Physics and Astronomy")</f>
        <v>Physics and Astronomy</v>
      </c>
      <c r="L1421" s="1"/>
      <c r="M1421" s="1" t="str">
        <f ca="1">IFERROR(__xludf.DUMMYFUNCTION("""COMPUTED_VALUE"""),"〇")</f>
        <v>〇</v>
      </c>
      <c r="N1421" s="1"/>
      <c r="O1421" s="1"/>
      <c r="P1421" s="1"/>
    </row>
    <row r="1422" spans="1:16" ht="14.25" customHeight="1" x14ac:dyDescent="0.25">
      <c r="A1422" s="1"/>
      <c r="B1422" s="1">
        <f ca="1"/>
        <v>1410</v>
      </c>
      <c r="C1422" s="1">
        <f ca="1">IFERROR(__xludf.DUMMYFUNCTION("""COMPUTED_VALUE"""),2023)</f>
        <v>2023</v>
      </c>
      <c r="D1422" s="1">
        <f ca="1">IFERROR(__xludf.DUMMYFUNCTION("""COMPUTED_VALUE"""),42519)</f>
        <v>42519</v>
      </c>
      <c r="E1422" s="1" t="str">
        <f ca="1">IFERROR(__xludf.DUMMYFUNCTION("""COMPUTED_VALUE"""),"Journal of Statistical Theory and Practice")</f>
        <v>Journal of Statistical Theory and Practice</v>
      </c>
      <c r="F1422" s="1" t="str">
        <f ca="1">IFERROR(__xludf.DUMMYFUNCTION("""COMPUTED_VALUE"""),"1559-8616")</f>
        <v>1559-8616</v>
      </c>
      <c r="G1422" s="1" t="str">
        <f ca="1">IFERROR(__xludf.DUMMYFUNCTION("""COMPUTED_VALUE"""),"1559-8608")</f>
        <v>1559-8608</v>
      </c>
      <c r="H1422" s="27" t="str">
        <f ca="1">IFERROR(__xludf.DUMMYFUNCTION("""COMPUTED_VALUE"""),"https://link.springer.com/journal/42519")</f>
        <v>https://link.springer.com/journal/42519</v>
      </c>
      <c r="I1422" s="1" t="str">
        <f ca="1">IFERROR(__xludf.DUMMYFUNCTION("""COMPUTED_VALUE"""),"Springer")</f>
        <v>Springer</v>
      </c>
      <c r="J1422" s="1">
        <f ca="1">IFERROR(__xludf.DUMMYFUNCTION("""COMPUTED_VALUE"""),2007)</f>
        <v>2007</v>
      </c>
      <c r="K1422" s="1" t="str">
        <f ca="1">IFERROR(__xludf.DUMMYFUNCTION("""COMPUTED_VALUE"""),"Mathematics and Statistics")</f>
        <v>Mathematics and Statistics</v>
      </c>
      <c r="L1422" s="1" t="str">
        <f ca="1">IFERROR(__xludf.DUMMYFUNCTION("""COMPUTED_VALUE"""),"〇")</f>
        <v>〇</v>
      </c>
      <c r="M1422" s="1"/>
      <c r="N1422" s="1" t="str">
        <f ca="1">IFERROR(__xludf.DUMMYFUNCTION("""COMPUTED_VALUE"""),"TO19")</f>
        <v>TO19</v>
      </c>
      <c r="O1422" s="1"/>
      <c r="P1422" s="1"/>
    </row>
    <row r="1423" spans="1:16" ht="14.25" customHeight="1" x14ac:dyDescent="0.25">
      <c r="A1423" s="1"/>
      <c r="B1423" s="1">
        <f ca="1"/>
        <v>1411</v>
      </c>
      <c r="C1423" s="1">
        <f ca="1">IFERROR(__xludf.DUMMYFUNCTION("""COMPUTED_VALUE"""),2023)</f>
        <v>2023</v>
      </c>
      <c r="D1423" s="1">
        <f ca="1">IFERROR(__xludf.DUMMYFUNCTION("""COMPUTED_VALUE"""),10947)</f>
        <v>10947</v>
      </c>
      <c r="E1423" s="1" t="str">
        <f ca="1">IFERROR(__xludf.DUMMYFUNCTION("""COMPUTED_VALUE"""),"Journal of Structural Chemistry")</f>
        <v>Journal of Structural Chemistry</v>
      </c>
      <c r="F1423" s="1" t="str">
        <f ca="1">IFERROR(__xludf.DUMMYFUNCTION("""COMPUTED_VALUE"""),"1573-8779")</f>
        <v>1573-8779</v>
      </c>
      <c r="G1423" s="1" t="str">
        <f ca="1">IFERROR(__xludf.DUMMYFUNCTION("""COMPUTED_VALUE"""),"0022-4766")</f>
        <v>0022-4766</v>
      </c>
      <c r="H1423" s="27" t="str">
        <f ca="1">IFERROR(__xludf.DUMMYFUNCTION("""COMPUTED_VALUE"""),"https://link.springer.com/journal/10947")</f>
        <v>https://link.springer.com/journal/10947</v>
      </c>
      <c r="I1423" s="1" t="str">
        <f ca="1">IFERROR(__xludf.DUMMYFUNCTION("""COMPUTED_VALUE"""),"Pleiades Publishing")</f>
        <v>Pleiades Publishing</v>
      </c>
      <c r="J1423" s="1">
        <f ca="1">IFERROR(__xludf.DUMMYFUNCTION("""COMPUTED_VALUE"""),2000)</f>
        <v>2000</v>
      </c>
      <c r="K1423" s="1" t="str">
        <f ca="1">IFERROR(__xludf.DUMMYFUNCTION("""COMPUTED_VALUE"""),"Chemistry and Materials Science")</f>
        <v>Chemistry and Materials Science</v>
      </c>
      <c r="L1423" s="1" t="str">
        <f ca="1">IFERROR(__xludf.DUMMYFUNCTION("""COMPUTED_VALUE"""),"〇")</f>
        <v>〇</v>
      </c>
      <c r="M1423" s="1" t="str">
        <f ca="1">IFERROR(__xludf.DUMMYFUNCTION("""COMPUTED_VALUE"""),"〇")</f>
        <v>〇</v>
      </c>
      <c r="N1423" s="1"/>
      <c r="O1423" s="1"/>
      <c r="P1423" s="1"/>
    </row>
    <row r="1424" spans="1:16" ht="14.25" customHeight="1" x14ac:dyDescent="0.25">
      <c r="A1424" s="1"/>
      <c r="B1424" s="1">
        <f ca="1"/>
        <v>1412</v>
      </c>
      <c r="C1424" s="1">
        <f ca="1">IFERROR(__xludf.DUMMYFUNCTION("""COMPUTED_VALUE"""),2023)</f>
        <v>2023</v>
      </c>
      <c r="D1424" s="1">
        <f ca="1">IFERROR(__xludf.DUMMYFUNCTION("""COMPUTED_VALUE"""),10948)</f>
        <v>10948</v>
      </c>
      <c r="E1424" s="1" t="str">
        <f ca="1">IFERROR(__xludf.DUMMYFUNCTION("""COMPUTED_VALUE"""),"Journal of Superconductivity and Novel Magnetism")</f>
        <v>Journal of Superconductivity and Novel Magnetism</v>
      </c>
      <c r="F1424" s="1" t="str">
        <f ca="1">IFERROR(__xludf.DUMMYFUNCTION("""COMPUTED_VALUE"""),"1557-1947")</f>
        <v>1557-1947</v>
      </c>
      <c r="G1424" s="1" t="str">
        <f ca="1">IFERROR(__xludf.DUMMYFUNCTION("""COMPUTED_VALUE"""),"1557-1939")</f>
        <v>1557-1939</v>
      </c>
      <c r="H1424" s="27" t="str">
        <f ca="1">IFERROR(__xludf.DUMMYFUNCTION("""COMPUTED_VALUE"""),"https://link.springer.com/journal/10948")</f>
        <v>https://link.springer.com/journal/10948</v>
      </c>
      <c r="I1424" s="1" t="str">
        <f ca="1">IFERROR(__xludf.DUMMYFUNCTION("""COMPUTED_VALUE"""),"Springer")</f>
        <v>Springer</v>
      </c>
      <c r="J1424" s="1">
        <f ca="1">IFERROR(__xludf.DUMMYFUNCTION("""COMPUTED_VALUE"""),2000)</f>
        <v>2000</v>
      </c>
      <c r="K1424" s="1" t="str">
        <f ca="1">IFERROR(__xludf.DUMMYFUNCTION("""COMPUTED_VALUE"""),"Physics and Astronomy")</f>
        <v>Physics and Astronomy</v>
      </c>
      <c r="L1424" s="1" t="str">
        <f ca="1">IFERROR(__xludf.DUMMYFUNCTION("""COMPUTED_VALUE"""),"〇")</f>
        <v>〇</v>
      </c>
      <c r="M1424" s="1" t="str">
        <f ca="1">IFERROR(__xludf.DUMMYFUNCTION("""COMPUTED_VALUE"""),"〇")</f>
        <v>〇</v>
      </c>
      <c r="N1424" s="1"/>
      <c r="O1424" s="1"/>
      <c r="P1424" s="1"/>
    </row>
    <row r="1425" spans="1:16" ht="14.25" customHeight="1" x14ac:dyDescent="0.25">
      <c r="A1425" s="1"/>
      <c r="B1425" s="1">
        <f ca="1"/>
        <v>1413</v>
      </c>
      <c r="C1425" s="1">
        <f ca="1">IFERROR(__xludf.DUMMYFUNCTION("""COMPUTED_VALUE"""),2023)</f>
        <v>2023</v>
      </c>
      <c r="D1425" s="1">
        <f ca="1">IFERROR(__xludf.DUMMYFUNCTION("""COMPUTED_VALUE"""),11961)</f>
        <v>11961</v>
      </c>
      <c r="E1425" s="1" t="str">
        <f ca="1">IFERROR(__xludf.DUMMYFUNCTION("""COMPUTED_VALUE"""),"Journal of Superhard Materials")</f>
        <v>Journal of Superhard Materials</v>
      </c>
      <c r="F1425" s="1" t="str">
        <f ca="1">IFERROR(__xludf.DUMMYFUNCTION("""COMPUTED_VALUE"""),"1934-9408")</f>
        <v>1934-9408</v>
      </c>
      <c r="G1425" s="1" t="str">
        <f ca="1">IFERROR(__xludf.DUMMYFUNCTION("""COMPUTED_VALUE"""),"1063-4576")</f>
        <v>1063-4576</v>
      </c>
      <c r="H1425" s="27" t="str">
        <f ca="1">IFERROR(__xludf.DUMMYFUNCTION("""COMPUTED_VALUE"""),"https://link.springer.com/journal/11961")</f>
        <v>https://link.springer.com/journal/11961</v>
      </c>
      <c r="I1425" s="1" t="str">
        <f ca="1">IFERROR(__xludf.DUMMYFUNCTION("""COMPUTED_VALUE"""),"Pleiades Publishing")</f>
        <v>Pleiades Publishing</v>
      </c>
      <c r="J1425" s="1">
        <f ca="1">IFERROR(__xludf.DUMMYFUNCTION("""COMPUTED_VALUE"""),2007)</f>
        <v>2007</v>
      </c>
      <c r="K1425" s="1" t="str">
        <f ca="1">IFERROR(__xludf.DUMMYFUNCTION("""COMPUTED_VALUE"""),"Chemistry and Materials Science")</f>
        <v>Chemistry and Materials Science</v>
      </c>
      <c r="L1425" s="1" t="str">
        <f ca="1">IFERROR(__xludf.DUMMYFUNCTION("""COMPUTED_VALUE"""),"〇")</f>
        <v>〇</v>
      </c>
      <c r="M1425" s="1" t="str">
        <f ca="1">IFERROR(__xludf.DUMMYFUNCTION("""COMPUTED_VALUE"""),"〇")</f>
        <v>〇</v>
      </c>
      <c r="N1425" s="1" t="str">
        <f ca="1">IFERROR(__xludf.DUMMYFUNCTION("""COMPUTED_VALUE"""),"TO7")</f>
        <v>TO7</v>
      </c>
      <c r="O1425" s="1"/>
      <c r="P1425" s="1"/>
    </row>
    <row r="1426" spans="1:16" ht="14.25" customHeight="1" x14ac:dyDescent="0.25">
      <c r="A1426" s="1"/>
      <c r="B1426" s="1">
        <f ca="1"/>
        <v>1414</v>
      </c>
      <c r="C1426" s="1">
        <f ca="1">IFERROR(__xludf.DUMMYFUNCTION("""COMPUTED_VALUE"""),2023)</f>
        <v>2023</v>
      </c>
      <c r="D1426" s="1">
        <f ca="1">IFERROR(__xludf.DUMMYFUNCTION("""COMPUTED_VALUE"""),11700)</f>
        <v>11700</v>
      </c>
      <c r="E1426" s="1" t="str">
        <f ca="1">IFERROR(__xludf.DUMMYFUNCTION("""COMPUTED_VALUE"""),"Journal of Surface Investigation: X-ray, Synchrotron and Neutron Techniques")</f>
        <v>Journal of Surface Investigation: X-ray, Synchrotron and Neutron Techniques</v>
      </c>
      <c r="F1426" s="1" t="str">
        <f ca="1">IFERROR(__xludf.DUMMYFUNCTION("""COMPUTED_VALUE"""),"1819-7094")</f>
        <v>1819-7094</v>
      </c>
      <c r="G1426" s="1" t="str">
        <f ca="1">IFERROR(__xludf.DUMMYFUNCTION("""COMPUTED_VALUE"""),"1027-4510")</f>
        <v>1027-4510</v>
      </c>
      <c r="H1426" s="27" t="str">
        <f ca="1">IFERROR(__xludf.DUMMYFUNCTION("""COMPUTED_VALUE"""),"https://link.springer.com/journal/11700")</f>
        <v>https://link.springer.com/journal/11700</v>
      </c>
      <c r="I1426" s="1" t="str">
        <f ca="1">IFERROR(__xludf.DUMMYFUNCTION("""COMPUTED_VALUE"""),"Pleiades Publishing")</f>
        <v>Pleiades Publishing</v>
      </c>
      <c r="J1426" s="1">
        <f ca="1">IFERROR(__xludf.DUMMYFUNCTION("""COMPUTED_VALUE"""),2007)</f>
        <v>2007</v>
      </c>
      <c r="K1426" s="1" t="str">
        <f ca="1">IFERROR(__xludf.DUMMYFUNCTION("""COMPUTED_VALUE"""),"Chemistry and Materials Science")</f>
        <v>Chemistry and Materials Science</v>
      </c>
      <c r="L1426" s="1" t="str">
        <f ca="1">IFERROR(__xludf.DUMMYFUNCTION("""COMPUTED_VALUE"""),"〇")</f>
        <v>〇</v>
      </c>
      <c r="M1426" s="1" t="str">
        <f ca="1">IFERROR(__xludf.DUMMYFUNCTION("""COMPUTED_VALUE"""),"〇")</f>
        <v>〇</v>
      </c>
      <c r="N1426" s="1" t="str">
        <f ca="1">IFERROR(__xludf.DUMMYFUNCTION("""COMPUTED_VALUE"""),"SNS7")</f>
        <v>SNS7</v>
      </c>
      <c r="O1426" s="1"/>
      <c r="P1426" s="1"/>
    </row>
    <row r="1427" spans="1:16" ht="14.25" customHeight="1" x14ac:dyDescent="0.25">
      <c r="A1427" s="1"/>
      <c r="B1427" s="1">
        <f ca="1"/>
        <v>1415</v>
      </c>
      <c r="C1427" s="1">
        <f ca="1">IFERROR(__xludf.DUMMYFUNCTION("""COMPUTED_VALUE"""),2023)</f>
        <v>2023</v>
      </c>
      <c r="D1427" s="1">
        <f ca="1">IFERROR(__xludf.DUMMYFUNCTION("""COMPUTED_VALUE"""),40831)</f>
        <v>40831</v>
      </c>
      <c r="E1427" s="1" t="str">
        <f ca="1">IFERROR(__xludf.DUMMYFUNCTION("""COMPUTED_VALUE"""),"Journal of Sustainable Metallurgy")</f>
        <v>Journal of Sustainable Metallurgy</v>
      </c>
      <c r="F1427" s="1" t="str">
        <f ca="1">IFERROR(__xludf.DUMMYFUNCTION("""COMPUTED_VALUE"""),"2199-3831")</f>
        <v>2199-3831</v>
      </c>
      <c r="G1427" s="1" t="str">
        <f ca="1">IFERROR(__xludf.DUMMYFUNCTION("""COMPUTED_VALUE"""),"2199-3823")</f>
        <v>2199-3823</v>
      </c>
      <c r="H1427" s="27" t="str">
        <f ca="1">IFERROR(__xludf.DUMMYFUNCTION("""COMPUTED_VALUE"""),"https://link.springer.com/journal/40831")</f>
        <v>https://link.springer.com/journal/40831</v>
      </c>
      <c r="I1427" s="1" t="str">
        <f ca="1">IFERROR(__xludf.DUMMYFUNCTION("""COMPUTED_VALUE"""),"Springer")</f>
        <v>Springer</v>
      </c>
      <c r="J1427" s="1">
        <f ca="1">IFERROR(__xludf.DUMMYFUNCTION("""COMPUTED_VALUE"""),2015)</f>
        <v>2015</v>
      </c>
      <c r="K1427" s="1" t="str">
        <f ca="1">IFERROR(__xludf.DUMMYFUNCTION("""COMPUTED_VALUE"""),"Earth and Environmental Science")</f>
        <v>Earth and Environmental Science</v>
      </c>
      <c r="L1427" s="1" t="str">
        <f ca="1">IFERROR(__xludf.DUMMYFUNCTION("""COMPUTED_VALUE"""),"〇")</f>
        <v>〇</v>
      </c>
      <c r="M1427" s="1"/>
      <c r="N1427" s="1" t="str">
        <f ca="1">IFERROR(__xludf.DUMMYFUNCTION("""COMPUTED_VALUE"""),"SNS15")</f>
        <v>SNS15</v>
      </c>
      <c r="O1427" s="1"/>
      <c r="P1427" s="1"/>
    </row>
    <row r="1428" spans="1:16" ht="14.25" customHeight="1" x14ac:dyDescent="0.25">
      <c r="A1428" s="1"/>
      <c r="B1428" s="1">
        <f ca="1"/>
        <v>1416</v>
      </c>
      <c r="C1428" s="1">
        <f ca="1">IFERROR(__xludf.DUMMYFUNCTION("""COMPUTED_VALUE"""),2023)</f>
        <v>2023</v>
      </c>
      <c r="D1428" s="1">
        <f ca="1">IFERROR(__xludf.DUMMYFUNCTION("""COMPUTED_VALUE"""),11424)</f>
        <v>11424</v>
      </c>
      <c r="E1428" s="1" t="str">
        <f ca="1">IFERROR(__xludf.DUMMYFUNCTION("""COMPUTED_VALUE"""),"Journal of Systems Science and Complexity")</f>
        <v>Journal of Systems Science and Complexity</v>
      </c>
      <c r="F1428" s="1" t="str">
        <f ca="1">IFERROR(__xludf.DUMMYFUNCTION("""COMPUTED_VALUE"""),"1559-7067")</f>
        <v>1559-7067</v>
      </c>
      <c r="G1428" s="1" t="str">
        <f ca="1">IFERROR(__xludf.DUMMYFUNCTION("""COMPUTED_VALUE"""),"1009-6124")</f>
        <v>1009-6124</v>
      </c>
      <c r="H1428" s="27" t="str">
        <f ca="1">IFERROR(__xludf.DUMMYFUNCTION("""COMPUTED_VALUE"""),"https://link.springer.com/journal/11424")</f>
        <v>https://link.springer.com/journal/11424</v>
      </c>
      <c r="I1428" s="1" t="str">
        <f ca="1">IFERROR(__xludf.DUMMYFUNCTION("""COMPUTED_VALUE"""),"Academy of Mathematics and Systems Science, Chinese Academy of Sciences, co-published with Springer")</f>
        <v>Academy of Mathematics and Systems Science, Chinese Academy of Sciences, co-published with Springer</v>
      </c>
      <c r="J1428" s="1">
        <f ca="1">IFERROR(__xludf.DUMMYFUNCTION("""COMPUTED_VALUE"""),2006)</f>
        <v>2006</v>
      </c>
      <c r="K1428" s="1" t="str">
        <f ca="1">IFERROR(__xludf.DUMMYFUNCTION("""COMPUTED_VALUE"""),"Mathematics and Statistics")</f>
        <v>Mathematics and Statistics</v>
      </c>
      <c r="L1428" s="1" t="str">
        <f ca="1">IFERROR(__xludf.DUMMYFUNCTION("""COMPUTED_VALUE"""),"〇")</f>
        <v>〇</v>
      </c>
      <c r="M1428" s="1" t="str">
        <f ca="1">IFERROR(__xludf.DUMMYFUNCTION("""COMPUTED_VALUE"""),"〇")</f>
        <v>〇</v>
      </c>
      <c r="N1428" s="1"/>
      <c r="O1428" s="1"/>
      <c r="P1428" s="1"/>
    </row>
    <row r="1429" spans="1:16" ht="14.25" customHeight="1" x14ac:dyDescent="0.25">
      <c r="A1429" s="1"/>
      <c r="B1429" s="1">
        <f ca="1"/>
        <v>1417</v>
      </c>
      <c r="C1429" s="1">
        <f ca="1">IFERROR(__xludf.DUMMYFUNCTION("""COMPUTED_VALUE"""),2023)</f>
        <v>2023</v>
      </c>
      <c r="D1429" s="1">
        <f ca="1">IFERROR(__xludf.DUMMYFUNCTION("""COMPUTED_VALUE"""),11518)</f>
        <v>11518</v>
      </c>
      <c r="E1429" s="1" t="str">
        <f ca="1">IFERROR(__xludf.DUMMYFUNCTION("""COMPUTED_VALUE"""),"Journal of Systems Science and Systems Engineering")</f>
        <v>Journal of Systems Science and Systems Engineering</v>
      </c>
      <c r="F1429" s="1" t="str">
        <f ca="1">IFERROR(__xludf.DUMMYFUNCTION("""COMPUTED_VALUE"""),"1861-9576")</f>
        <v>1861-9576</v>
      </c>
      <c r="G1429" s="1" t="str">
        <f ca="1">IFERROR(__xludf.DUMMYFUNCTION("""COMPUTED_VALUE"""),"1004-3756")</f>
        <v>1004-3756</v>
      </c>
      <c r="H1429" s="27" t="str">
        <f ca="1">IFERROR(__xludf.DUMMYFUNCTION("""COMPUTED_VALUE"""),"https://link.springer.com/journal/11518")</f>
        <v>https://link.springer.com/journal/11518</v>
      </c>
      <c r="I1429" s="1" t="str">
        <f ca="1">IFERROR(__xludf.DUMMYFUNCTION("""COMPUTED_VALUE"""),"Springer")</f>
        <v>Springer</v>
      </c>
      <c r="J1429" s="1">
        <f ca="1">IFERROR(__xludf.DUMMYFUNCTION("""COMPUTED_VALUE"""),2003)</f>
        <v>2003</v>
      </c>
      <c r="K1429" s="1" t="str">
        <f ca="1">IFERROR(__xludf.DUMMYFUNCTION("""COMPUTED_VALUE"""),"Engineering")</f>
        <v>Engineering</v>
      </c>
      <c r="L1429" s="1" t="str">
        <f ca="1">IFERROR(__xludf.DUMMYFUNCTION("""COMPUTED_VALUE"""),"〇")</f>
        <v>〇</v>
      </c>
      <c r="M1429" s="1" t="str">
        <f ca="1">IFERROR(__xludf.DUMMYFUNCTION("""COMPUTED_VALUE"""),"〇")</f>
        <v>〇</v>
      </c>
      <c r="N1429" s="1"/>
      <c r="O1429" s="1"/>
      <c r="P1429" s="1"/>
    </row>
    <row r="1430" spans="1:16" ht="14.25" customHeight="1" x14ac:dyDescent="0.25">
      <c r="A1430" s="1"/>
      <c r="B1430" s="1">
        <f ca="1"/>
        <v>1418</v>
      </c>
      <c r="C1430" s="1">
        <f ca="1">IFERROR(__xludf.DUMMYFUNCTION("""COMPUTED_VALUE"""),2023)</f>
        <v>2023</v>
      </c>
      <c r="D1430" s="1">
        <f ca="1">IFERROR(__xludf.DUMMYFUNCTION("""COMPUTED_VALUE"""),41347)</f>
        <v>41347</v>
      </c>
      <c r="E1430" s="1" t="str">
        <f ca="1">IFERROR(__xludf.DUMMYFUNCTION("""COMPUTED_VALUE"""),"Journal of Technology in Behavioral Science")</f>
        <v>Journal of Technology in Behavioral Science</v>
      </c>
      <c r="F1430" s="1" t="str">
        <f ca="1">IFERROR(__xludf.DUMMYFUNCTION("""COMPUTED_VALUE"""),"2366-5963")</f>
        <v>2366-5963</v>
      </c>
      <c r="G1430" s="1"/>
      <c r="H1430" s="27" t="str">
        <f ca="1">IFERROR(__xludf.DUMMYFUNCTION("""COMPUTED_VALUE"""),"https://link.springer.com/journal/41347")</f>
        <v>https://link.springer.com/journal/41347</v>
      </c>
      <c r="I1430" s="1" t="str">
        <f ca="1">IFERROR(__xludf.DUMMYFUNCTION("""COMPUTED_VALUE"""),"Springer")</f>
        <v>Springer</v>
      </c>
      <c r="J1430" s="1">
        <f ca="1">IFERROR(__xludf.DUMMYFUNCTION("""COMPUTED_VALUE"""),2016)</f>
        <v>2016</v>
      </c>
      <c r="K1430" s="1" t="str">
        <f ca="1">IFERROR(__xludf.DUMMYFUNCTION("""COMPUTED_VALUE"""),"Behavioral Science and Psychology")</f>
        <v>Behavioral Science and Psychology</v>
      </c>
      <c r="L1430" s="1"/>
      <c r="M1430" s="1"/>
      <c r="N1430" s="1" t="str">
        <f ca="1">IFERROR(__xludf.DUMMYFUNCTION("""COMPUTED_VALUE"""),"SNS16")</f>
        <v>SNS16</v>
      </c>
      <c r="O1430" s="1"/>
      <c r="P1430" s="1"/>
    </row>
    <row r="1431" spans="1:16" ht="14.25" customHeight="1" x14ac:dyDescent="0.25">
      <c r="A1431" s="1"/>
      <c r="B1431" s="1">
        <f ca="1"/>
        <v>1419</v>
      </c>
      <c r="C1431" s="1">
        <f ca="1">IFERROR(__xludf.DUMMYFUNCTION("""COMPUTED_VALUE"""),2023)</f>
        <v>2023</v>
      </c>
      <c r="D1431" s="1">
        <f ca="1">IFERROR(__xludf.DUMMYFUNCTION("""COMPUTED_VALUE"""),11747)</f>
        <v>11747</v>
      </c>
      <c r="E1431" s="1" t="str">
        <f ca="1">IFERROR(__xludf.DUMMYFUNCTION("""COMPUTED_VALUE"""),"Journal of the Academy of Marketing Science")</f>
        <v>Journal of the Academy of Marketing Science</v>
      </c>
      <c r="F1431" s="1" t="str">
        <f ca="1">IFERROR(__xludf.DUMMYFUNCTION("""COMPUTED_VALUE"""),"1552-7824")</f>
        <v>1552-7824</v>
      </c>
      <c r="G1431" s="1" t="str">
        <f ca="1">IFERROR(__xludf.DUMMYFUNCTION("""COMPUTED_VALUE"""),"0092-0703")</f>
        <v>0092-0703</v>
      </c>
      <c r="H1431" s="27" t="str">
        <f ca="1">IFERROR(__xludf.DUMMYFUNCTION("""COMPUTED_VALUE"""),"https://link.springer.com/journal/11747")</f>
        <v>https://link.springer.com/journal/11747</v>
      </c>
      <c r="I1431" s="1" t="str">
        <f ca="1">IFERROR(__xludf.DUMMYFUNCTION("""COMPUTED_VALUE"""),"Springer")</f>
        <v>Springer</v>
      </c>
      <c r="J1431" s="1">
        <f ca="1">IFERROR(__xludf.DUMMYFUNCTION("""COMPUTED_VALUE"""),2000)</f>
        <v>2000</v>
      </c>
      <c r="K1431" s="1" t="str">
        <f ca="1">IFERROR(__xludf.DUMMYFUNCTION("""COMPUTED_VALUE"""),"Business and Management")</f>
        <v>Business and Management</v>
      </c>
      <c r="L1431" s="1" t="str">
        <f ca="1">IFERROR(__xludf.DUMMYFUNCTION("""COMPUTED_VALUE"""),"〇")</f>
        <v>〇</v>
      </c>
      <c r="M1431" s="1" t="str">
        <f ca="1">IFERROR(__xludf.DUMMYFUNCTION("""COMPUTED_VALUE"""),"〇")</f>
        <v>〇</v>
      </c>
      <c r="N1431" s="1" t="str">
        <f ca="1">IFERROR(__xludf.DUMMYFUNCTION("""COMPUTED_VALUE"""),"TO7")</f>
        <v>TO7</v>
      </c>
      <c r="O1431" s="1"/>
      <c r="P1431" s="1"/>
    </row>
    <row r="1432" spans="1:16" ht="14.25" customHeight="1" x14ac:dyDescent="0.25">
      <c r="A1432" s="1"/>
      <c r="B1432" s="1">
        <f ca="1"/>
        <v>1420</v>
      </c>
      <c r="C1432" s="1">
        <f ca="1">IFERROR(__xludf.DUMMYFUNCTION("""COMPUTED_VALUE"""),2023)</f>
        <v>2023</v>
      </c>
      <c r="D1432" s="1">
        <f ca="1">IFERROR(__xludf.DUMMYFUNCTION("""COMPUTED_VALUE"""),10162)</f>
        <v>10162</v>
      </c>
      <c r="E1432" s="1" t="str">
        <f ca="1">IFERROR(__xludf.DUMMYFUNCTION("""COMPUTED_VALUE"""),"Journal of the Association for Research in Otolaryngology")</f>
        <v>Journal of the Association for Research in Otolaryngology</v>
      </c>
      <c r="F1432" s="1" t="str">
        <f ca="1">IFERROR(__xludf.DUMMYFUNCTION("""COMPUTED_VALUE"""),"1438-7573")</f>
        <v>1438-7573</v>
      </c>
      <c r="G1432" s="1"/>
      <c r="H1432" s="27" t="str">
        <f ca="1">IFERROR(__xludf.DUMMYFUNCTION("""COMPUTED_VALUE"""),"https://link.springer.com/journal/10162")</f>
        <v>https://link.springer.com/journal/10162</v>
      </c>
      <c r="I1432" s="1" t="str">
        <f ca="1">IFERROR(__xludf.DUMMYFUNCTION("""COMPUTED_VALUE"""),"Springer")</f>
        <v>Springer</v>
      </c>
      <c r="J1432" s="1">
        <f ca="1">IFERROR(__xludf.DUMMYFUNCTION("""COMPUTED_VALUE"""),2000)</f>
        <v>2000</v>
      </c>
      <c r="K1432" s="1" t="str">
        <f ca="1">IFERROR(__xludf.DUMMYFUNCTION("""COMPUTED_VALUE"""),"Medicine")</f>
        <v>Medicine</v>
      </c>
      <c r="L1432" s="1"/>
      <c r="M1432" s="1" t="str">
        <f ca="1">IFERROR(__xludf.DUMMYFUNCTION("""COMPUTED_VALUE"""),"〇")</f>
        <v>〇</v>
      </c>
      <c r="N1432" s="1"/>
      <c r="O1432" s="1"/>
      <c r="P1432" s="1"/>
    </row>
    <row r="1433" spans="1:16" ht="14.25" customHeight="1" x14ac:dyDescent="0.25">
      <c r="A1433" s="1"/>
      <c r="B1433" s="1">
        <f ca="1"/>
        <v>1421</v>
      </c>
      <c r="C1433" s="1">
        <f ca="1">IFERROR(__xludf.DUMMYFUNCTION("""COMPUTED_VALUE"""),2023)</f>
        <v>2023</v>
      </c>
      <c r="D1433" s="1">
        <f ca="1">IFERROR(__xludf.DUMMYFUNCTION("""COMPUTED_VALUE"""),41779)</f>
        <v>41779</v>
      </c>
      <c r="E1433" s="1" t="str">
        <f ca="1">IFERROR(__xludf.DUMMYFUNCTION("""COMPUTED_VALUE"""),"Journal of the Australian Ceramic Society")</f>
        <v>Journal of the Australian Ceramic Society</v>
      </c>
      <c r="F1433" s="1" t="str">
        <f ca="1">IFERROR(__xludf.DUMMYFUNCTION("""COMPUTED_VALUE"""),"2510-1579")</f>
        <v>2510-1579</v>
      </c>
      <c r="G1433" s="1" t="str">
        <f ca="1">IFERROR(__xludf.DUMMYFUNCTION("""COMPUTED_VALUE"""),"2510-1560")</f>
        <v>2510-1560</v>
      </c>
      <c r="H1433" s="27" t="str">
        <f ca="1">IFERROR(__xludf.DUMMYFUNCTION("""COMPUTED_VALUE"""),"https://link.springer.com/journal/41779")</f>
        <v>https://link.springer.com/journal/41779</v>
      </c>
      <c r="I1433" s="1" t="str">
        <f ca="1">IFERROR(__xludf.DUMMYFUNCTION("""COMPUTED_VALUE"""),"Springer")</f>
        <v>Springer</v>
      </c>
      <c r="J1433" s="1">
        <f ca="1">IFERROR(__xludf.DUMMYFUNCTION("""COMPUTED_VALUE"""),2017)</f>
        <v>2017</v>
      </c>
      <c r="K1433" s="1" t="str">
        <f ca="1">IFERROR(__xludf.DUMMYFUNCTION("""COMPUTED_VALUE"""),"Chemistry and Materials Science")</f>
        <v>Chemistry and Materials Science</v>
      </c>
      <c r="L1433" s="1" t="str">
        <f ca="1">IFERROR(__xludf.DUMMYFUNCTION("""COMPUTED_VALUE"""),"〇")</f>
        <v>〇</v>
      </c>
      <c r="M1433" s="1"/>
      <c r="N1433" s="1" t="str">
        <f ca="1">IFERROR(__xludf.DUMMYFUNCTION("""COMPUTED_VALUE"""),"TO17")</f>
        <v>TO17</v>
      </c>
      <c r="O1433" s="1"/>
      <c r="P1433" s="1"/>
    </row>
    <row r="1434" spans="1:16" ht="14.25" customHeight="1" x14ac:dyDescent="0.25">
      <c r="A1434" s="1"/>
      <c r="B1434" s="1">
        <f ca="1"/>
        <v>1422</v>
      </c>
      <c r="C1434" s="1">
        <f ca="1">IFERROR(__xludf.DUMMYFUNCTION("""COMPUTED_VALUE"""),2023)</f>
        <v>2023</v>
      </c>
      <c r="D1434" s="1">
        <f ca="1">IFERROR(__xludf.DUMMYFUNCTION("""COMPUTED_VALUE"""),40430)</f>
        <v>40430</v>
      </c>
      <c r="E1434" s="1" t="str">
        <f ca="1">IFERROR(__xludf.DUMMYFUNCTION("""COMPUTED_VALUE"""),"Journal of the Brazilian Society of Mechanical Sciences and Engineering")</f>
        <v>Journal of the Brazilian Society of Mechanical Sciences and Engineering</v>
      </c>
      <c r="F1434" s="1" t="str">
        <f ca="1">IFERROR(__xludf.DUMMYFUNCTION("""COMPUTED_VALUE"""),"1806-3691")</f>
        <v>1806-3691</v>
      </c>
      <c r="G1434" s="1" t="str">
        <f ca="1">IFERROR(__xludf.DUMMYFUNCTION("""COMPUTED_VALUE"""),"1678-5878")</f>
        <v>1678-5878</v>
      </c>
      <c r="H1434" s="27" t="str">
        <f ca="1">IFERROR(__xludf.DUMMYFUNCTION("""COMPUTED_VALUE"""),"https://link.springer.com/journal/40430")</f>
        <v>https://link.springer.com/journal/40430</v>
      </c>
      <c r="I1434" s="1" t="str">
        <f ca="1">IFERROR(__xludf.DUMMYFUNCTION("""COMPUTED_VALUE"""),"Springer")</f>
        <v>Springer</v>
      </c>
      <c r="J1434" s="1">
        <f ca="1">IFERROR(__xludf.DUMMYFUNCTION("""COMPUTED_VALUE"""),2013)</f>
        <v>2013</v>
      </c>
      <c r="K1434" s="1" t="str">
        <f ca="1">IFERROR(__xludf.DUMMYFUNCTION("""COMPUTED_VALUE"""),"Engineering")</f>
        <v>Engineering</v>
      </c>
      <c r="L1434" s="1" t="str">
        <f ca="1">IFERROR(__xludf.DUMMYFUNCTION("""COMPUTED_VALUE"""),"〇")</f>
        <v>〇</v>
      </c>
      <c r="M1434" s="1"/>
      <c r="N1434" s="1" t="str">
        <f ca="1">IFERROR(__xludf.DUMMYFUNCTION("""COMPUTED_VALUE"""),"TO13")</f>
        <v>TO13</v>
      </c>
      <c r="O1434" s="1"/>
      <c r="P1434" s="1"/>
    </row>
    <row r="1435" spans="1:16" ht="14.25" customHeight="1" x14ac:dyDescent="0.25">
      <c r="A1435" s="1"/>
      <c r="B1435" s="1">
        <f ca="1"/>
        <v>1423</v>
      </c>
      <c r="C1435" s="1">
        <f ca="1">IFERROR(__xludf.DUMMYFUNCTION("""COMPUTED_VALUE"""),2023)</f>
        <v>2023</v>
      </c>
      <c r="D1435" s="1">
        <f ca="1">IFERROR(__xludf.DUMMYFUNCTION("""COMPUTED_VALUE"""),40881)</f>
        <v>40881</v>
      </c>
      <c r="E1435" s="1" t="str">
        <f ca="1">IFERROR(__xludf.DUMMYFUNCTION("""COMPUTED_VALUE"""),"Journal of the Economic Science Association")</f>
        <v>Journal of the Economic Science Association</v>
      </c>
      <c r="F1435" s="1" t="str">
        <f ca="1">IFERROR(__xludf.DUMMYFUNCTION("""COMPUTED_VALUE"""),"2199-6784")</f>
        <v>2199-6784</v>
      </c>
      <c r="G1435" s="1"/>
      <c r="H1435" s="27" t="str">
        <f ca="1">IFERROR(__xludf.DUMMYFUNCTION("""COMPUTED_VALUE"""),"https://link.springer.com/journal/40881")</f>
        <v>https://link.springer.com/journal/40881</v>
      </c>
      <c r="I1435" s="1" t="str">
        <f ca="1">IFERROR(__xludf.DUMMYFUNCTION("""COMPUTED_VALUE"""),"Springer")</f>
        <v>Springer</v>
      </c>
      <c r="J1435" s="1">
        <f ca="1">IFERROR(__xludf.DUMMYFUNCTION("""COMPUTED_VALUE"""),2015)</f>
        <v>2015</v>
      </c>
      <c r="K1435" s="1" t="str">
        <f ca="1">IFERROR(__xludf.DUMMYFUNCTION("""COMPUTED_VALUE"""),"Economics and Finance")</f>
        <v>Economics and Finance</v>
      </c>
      <c r="L1435" s="1"/>
      <c r="M1435" s="1"/>
      <c r="N1435" s="1" t="str">
        <f ca="1">IFERROR(__xludf.DUMMYFUNCTION("""COMPUTED_VALUE"""),"SNS15")</f>
        <v>SNS15</v>
      </c>
      <c r="O1435" s="1"/>
      <c r="P1435" s="1"/>
    </row>
    <row r="1436" spans="1:16" ht="14.25" customHeight="1" x14ac:dyDescent="0.25">
      <c r="A1436" s="1"/>
      <c r="B1436" s="1">
        <f ca="1"/>
        <v>1424</v>
      </c>
      <c r="C1436" s="1">
        <f ca="1">IFERROR(__xludf.DUMMYFUNCTION("""COMPUTED_VALUE"""),2023)</f>
        <v>2023</v>
      </c>
      <c r="D1436" s="1">
        <f ca="1">IFERROR(__xludf.DUMMYFUNCTION("""COMPUTED_VALUE"""),12594)</f>
        <v>12594</v>
      </c>
      <c r="E1436" s="1" t="str">
        <f ca="1">IFERROR(__xludf.DUMMYFUNCTION("""COMPUTED_VALUE"""),"Journal of the Geological Society of India")</f>
        <v>Journal of the Geological Society of India</v>
      </c>
      <c r="F1436" s="1" t="str">
        <f ca="1">IFERROR(__xludf.DUMMYFUNCTION("""COMPUTED_VALUE"""),"0974-6889")</f>
        <v>0974-6889</v>
      </c>
      <c r="G1436" s="1"/>
      <c r="H1436" s="27" t="str">
        <f ca="1">IFERROR(__xludf.DUMMYFUNCTION("""COMPUTED_VALUE"""),"https://link.springer.com/journal/12594")</f>
        <v>https://link.springer.com/journal/12594</v>
      </c>
      <c r="I1436" s="1" t="str">
        <f ca="1">IFERROR(__xludf.DUMMYFUNCTION("""COMPUTED_VALUE"""),"Springer")</f>
        <v>Springer</v>
      </c>
      <c r="J1436" s="1">
        <f ca="1">IFERROR(__xludf.DUMMYFUNCTION("""COMPUTED_VALUE"""),2009)</f>
        <v>2009</v>
      </c>
      <c r="K1436" s="1" t="str">
        <f ca="1">IFERROR(__xludf.DUMMYFUNCTION("""COMPUTED_VALUE"""),"Earth and Environmental Science")</f>
        <v>Earth and Environmental Science</v>
      </c>
      <c r="L1436" s="1"/>
      <c r="M1436" s="1"/>
      <c r="N1436" s="1" t="str">
        <f ca="1">IFERROR(__xludf.DUMMYFUNCTION("""COMPUTED_VALUE"""),"TO9")</f>
        <v>TO9</v>
      </c>
      <c r="O1436" s="1"/>
      <c r="P1436" s="1"/>
    </row>
    <row r="1437" spans="1:16" ht="14.25" customHeight="1" x14ac:dyDescent="0.25">
      <c r="A1437" s="1"/>
      <c r="B1437" s="1">
        <f ca="1"/>
        <v>1425</v>
      </c>
      <c r="C1437" s="1">
        <f ca="1">IFERROR(__xludf.DUMMYFUNCTION("""COMPUTED_VALUE"""),2023)</f>
        <v>2023</v>
      </c>
      <c r="D1437" s="1">
        <f ca="1">IFERROR(__xludf.DUMMYFUNCTION("""COMPUTED_VALUE"""),10739)</f>
        <v>10739</v>
      </c>
      <c r="E1437" s="1" t="str">
        <f ca="1">IFERROR(__xludf.DUMMYFUNCTION("""COMPUTED_VALUE"""),"Journal of the History of Biology")</f>
        <v>Journal of the History of Biology</v>
      </c>
      <c r="F1437" s="1" t="str">
        <f ca="1">IFERROR(__xludf.DUMMYFUNCTION("""COMPUTED_VALUE"""),"1573-0387")</f>
        <v>1573-0387</v>
      </c>
      <c r="G1437" s="1" t="str">
        <f ca="1">IFERROR(__xludf.DUMMYFUNCTION("""COMPUTED_VALUE"""),"0022-5010")</f>
        <v>0022-5010</v>
      </c>
      <c r="H1437" s="27" t="str">
        <f ca="1">IFERROR(__xludf.DUMMYFUNCTION("""COMPUTED_VALUE"""),"https://link.springer.com/journal/10739")</f>
        <v>https://link.springer.com/journal/10739</v>
      </c>
      <c r="I1437" s="1" t="str">
        <f ca="1">IFERROR(__xludf.DUMMYFUNCTION("""COMPUTED_VALUE"""),"Springer")</f>
        <v>Springer</v>
      </c>
      <c r="J1437" s="1">
        <f ca="1">IFERROR(__xludf.DUMMYFUNCTION("""COMPUTED_VALUE"""),2000)</f>
        <v>2000</v>
      </c>
      <c r="K1437" s="1" t="str">
        <f ca="1">IFERROR(__xludf.DUMMYFUNCTION("""COMPUTED_VALUE"""),"History")</f>
        <v>History</v>
      </c>
      <c r="L1437" s="1" t="str">
        <f ca="1">IFERROR(__xludf.DUMMYFUNCTION("""COMPUTED_VALUE"""),"〇")</f>
        <v>〇</v>
      </c>
      <c r="M1437" s="1" t="str">
        <f ca="1">IFERROR(__xludf.DUMMYFUNCTION("""COMPUTED_VALUE"""),"〇")</f>
        <v>〇</v>
      </c>
      <c r="N1437" s="1"/>
      <c r="O1437" s="1"/>
      <c r="P1437" s="1"/>
    </row>
    <row r="1438" spans="1:16" ht="14.25" customHeight="1" x14ac:dyDescent="0.25">
      <c r="A1438" s="1"/>
      <c r="B1438" s="1">
        <f ca="1"/>
        <v>1426</v>
      </c>
      <c r="C1438" s="1">
        <f ca="1">IFERROR(__xludf.DUMMYFUNCTION("""COMPUTED_VALUE"""),2023)</f>
        <v>2023</v>
      </c>
      <c r="D1438" s="1">
        <f ca="1">IFERROR(__xludf.DUMMYFUNCTION("""COMPUTED_VALUE"""),13196)</f>
        <v>13196</v>
      </c>
      <c r="E1438" s="1" t="str">
        <f ca="1">IFERROR(__xludf.DUMMYFUNCTION("""COMPUTED_VALUE"""),"Journal of the Indian Academy of Wood Science")</f>
        <v>Journal of the Indian Academy of Wood Science</v>
      </c>
      <c r="F1438" s="1" t="str">
        <f ca="1">IFERROR(__xludf.DUMMYFUNCTION("""COMPUTED_VALUE"""),"0976-8432")</f>
        <v>0976-8432</v>
      </c>
      <c r="G1438" s="1" t="str">
        <f ca="1">IFERROR(__xludf.DUMMYFUNCTION("""COMPUTED_VALUE"""),"0972-172X")</f>
        <v>0972-172X</v>
      </c>
      <c r="H1438" s="27" t="str">
        <f ca="1">IFERROR(__xludf.DUMMYFUNCTION("""COMPUTED_VALUE"""),"https://link.springer.com/journal/13196")</f>
        <v>https://link.springer.com/journal/13196</v>
      </c>
      <c r="I1438" s="1" t="str">
        <f ca="1">IFERROR(__xludf.DUMMYFUNCTION("""COMPUTED_VALUE"""),"Springer")</f>
        <v>Springer</v>
      </c>
      <c r="J1438" s="1">
        <f ca="1">IFERROR(__xludf.DUMMYFUNCTION("""COMPUTED_VALUE"""),2010)</f>
        <v>2010</v>
      </c>
      <c r="K1438" s="1" t="str">
        <f ca="1">IFERROR(__xludf.DUMMYFUNCTION("""COMPUTED_VALUE"""),"Biomedical and Life Sciences")</f>
        <v>Biomedical and Life Sciences</v>
      </c>
      <c r="L1438" s="1" t="str">
        <f ca="1">IFERROR(__xludf.DUMMYFUNCTION("""COMPUTED_VALUE"""),"〇")</f>
        <v>〇</v>
      </c>
      <c r="M1438" s="1"/>
      <c r="N1438" s="1" t="str">
        <f ca="1">IFERROR(__xludf.DUMMYFUNCTION("""COMPUTED_VALUE"""),"TO10")</f>
        <v>TO10</v>
      </c>
      <c r="O1438" s="1"/>
      <c r="P1438" s="1"/>
    </row>
    <row r="1439" spans="1:16" ht="14.25" customHeight="1" x14ac:dyDescent="0.25">
      <c r="A1439" s="1"/>
      <c r="B1439" s="1">
        <f ca="1"/>
        <v>1427</v>
      </c>
      <c r="C1439" s="1">
        <f ca="1">IFERROR(__xludf.DUMMYFUNCTION("""COMPUTED_VALUE"""),2023)</f>
        <v>2023</v>
      </c>
      <c r="D1439" s="1">
        <f ca="1">IFERROR(__xludf.DUMMYFUNCTION("""COMPUTED_VALUE"""),41745)</f>
        <v>41745</v>
      </c>
      <c r="E1439" s="1" t="str">
        <f ca="1">IFERROR(__xludf.DUMMYFUNCTION("""COMPUTED_VALUE"""),"Journal of the Indian Institute of Science")</f>
        <v>Journal of the Indian Institute of Science</v>
      </c>
      <c r="F1439" s="1" t="str">
        <f ca="1">IFERROR(__xludf.DUMMYFUNCTION("""COMPUTED_VALUE"""),"0019-4964")</f>
        <v>0019-4964</v>
      </c>
      <c r="G1439" s="1" t="str">
        <f ca="1">IFERROR(__xludf.DUMMYFUNCTION("""COMPUTED_VALUE"""),"0970-4140")</f>
        <v>0970-4140</v>
      </c>
      <c r="H1439" s="27" t="str">
        <f ca="1">IFERROR(__xludf.DUMMYFUNCTION("""COMPUTED_VALUE"""),"https://link.springer.com/journal/41745")</f>
        <v>https://link.springer.com/journal/41745</v>
      </c>
      <c r="I1439" s="1" t="str">
        <f ca="1">IFERROR(__xludf.DUMMYFUNCTION("""COMPUTED_VALUE"""),"Springer")</f>
        <v>Springer</v>
      </c>
      <c r="J1439" s="1">
        <f ca="1">IFERROR(__xludf.DUMMYFUNCTION("""COMPUTED_VALUE"""),2017)</f>
        <v>2017</v>
      </c>
      <c r="K1439" s="1" t="str">
        <f ca="1">IFERROR(__xludf.DUMMYFUNCTION("""COMPUTED_VALUE"""),"Chemistry and Materials Science")</f>
        <v>Chemistry and Materials Science</v>
      </c>
      <c r="L1439" s="1" t="str">
        <f ca="1">IFERROR(__xludf.DUMMYFUNCTION("""COMPUTED_VALUE"""),"〇")</f>
        <v>〇</v>
      </c>
      <c r="M1439" s="1"/>
      <c r="N1439" s="1" t="str">
        <f ca="1">IFERROR(__xludf.DUMMYFUNCTION("""COMPUTED_VALUE"""),"TO17")</f>
        <v>TO17</v>
      </c>
      <c r="O1439" s="1"/>
      <c r="P1439" s="1"/>
    </row>
    <row r="1440" spans="1:16" ht="14.25" customHeight="1" x14ac:dyDescent="0.25">
      <c r="A1440" s="1"/>
      <c r="B1440" s="1">
        <f ca="1"/>
        <v>1428</v>
      </c>
      <c r="C1440" s="1">
        <f ca="1">IFERROR(__xludf.DUMMYFUNCTION("""COMPUTED_VALUE"""),2023)</f>
        <v>2023</v>
      </c>
      <c r="D1440" s="1">
        <f ca="1">IFERROR(__xludf.DUMMYFUNCTION("""COMPUTED_VALUE"""),41096)</f>
        <v>41096</v>
      </c>
      <c r="E1440" s="1" t="str">
        <f ca="1">IFERROR(__xludf.DUMMYFUNCTION("""COMPUTED_VALUE"""),"Journal of the Indian Society for Probability and Statistics")</f>
        <v>Journal of the Indian Society for Probability and Statistics</v>
      </c>
      <c r="F1440" s="1" t="str">
        <f ca="1">IFERROR(__xludf.DUMMYFUNCTION("""COMPUTED_VALUE"""),"2364-9569")</f>
        <v>2364-9569</v>
      </c>
      <c r="G1440" s="1"/>
      <c r="H1440" s="27" t="str">
        <f ca="1">IFERROR(__xludf.DUMMYFUNCTION("""COMPUTED_VALUE"""),"https://link.springer.com/journal/41096")</f>
        <v>https://link.springer.com/journal/41096</v>
      </c>
      <c r="I1440" s="1" t="str">
        <f ca="1">IFERROR(__xludf.DUMMYFUNCTION("""COMPUTED_VALUE"""),"Springer")</f>
        <v>Springer</v>
      </c>
      <c r="J1440" s="1">
        <f ca="1">IFERROR(__xludf.DUMMYFUNCTION("""COMPUTED_VALUE"""),2016)</f>
        <v>2016</v>
      </c>
      <c r="K1440" s="1" t="str">
        <f ca="1">IFERROR(__xludf.DUMMYFUNCTION("""COMPUTED_VALUE"""),"Mathematics and Statistics")</f>
        <v>Mathematics and Statistics</v>
      </c>
      <c r="L1440" s="1"/>
      <c r="M1440" s="1"/>
      <c r="N1440" s="1" t="str">
        <f ca="1">IFERROR(__xludf.DUMMYFUNCTION("""COMPUTED_VALUE"""),"TO16")</f>
        <v>TO16</v>
      </c>
      <c r="O1440" s="1"/>
      <c r="P1440" s="1"/>
    </row>
    <row r="1441" spans="1:16" ht="14.25" customHeight="1" x14ac:dyDescent="0.25">
      <c r="A1441" s="1"/>
      <c r="B1441" s="1">
        <f ca="1"/>
        <v>1429</v>
      </c>
      <c r="C1441" s="1">
        <f ca="1">IFERROR(__xludf.DUMMYFUNCTION("""COMPUTED_VALUE"""),2023)</f>
        <v>2023</v>
      </c>
      <c r="D1441" s="1">
        <f ca="1">IFERROR(__xludf.DUMMYFUNCTION("""COMPUTED_VALUE"""),12524)</f>
        <v>12524</v>
      </c>
      <c r="E1441" s="1" t="str">
        <f ca="1">IFERROR(__xludf.DUMMYFUNCTION("""COMPUTED_VALUE"""),"Journal of the Indian Society of Remote Sensing")</f>
        <v>Journal of the Indian Society of Remote Sensing</v>
      </c>
      <c r="F1441" s="1" t="str">
        <f ca="1">IFERROR(__xludf.DUMMYFUNCTION("""COMPUTED_VALUE"""),"0974-3006")</f>
        <v>0974-3006</v>
      </c>
      <c r="G1441" s="1" t="str">
        <f ca="1">IFERROR(__xludf.DUMMYFUNCTION("""COMPUTED_VALUE"""),"0255-660X")</f>
        <v>0255-660X</v>
      </c>
      <c r="H1441" s="27" t="str">
        <f ca="1">IFERROR(__xludf.DUMMYFUNCTION("""COMPUTED_VALUE"""),"https://link.springer.com/journal/12524")</f>
        <v>https://link.springer.com/journal/12524</v>
      </c>
      <c r="I1441" s="1" t="str">
        <f ca="1">IFERROR(__xludf.DUMMYFUNCTION("""COMPUTED_VALUE"""),"Springer")</f>
        <v>Springer</v>
      </c>
      <c r="J1441" s="1">
        <f ca="1">IFERROR(__xludf.DUMMYFUNCTION("""COMPUTED_VALUE"""),2000)</f>
        <v>2000</v>
      </c>
      <c r="K1441" s="1" t="str">
        <f ca="1">IFERROR(__xludf.DUMMYFUNCTION("""COMPUTED_VALUE"""),"Earth and Environmental Science")</f>
        <v>Earth and Environmental Science</v>
      </c>
      <c r="L1441" s="1" t="str">
        <f ca="1">IFERROR(__xludf.DUMMYFUNCTION("""COMPUTED_VALUE"""),"〇")</f>
        <v>〇</v>
      </c>
      <c r="M1441" s="1" t="str">
        <f ca="1">IFERROR(__xludf.DUMMYFUNCTION("""COMPUTED_VALUE"""),"〇")</f>
        <v>〇</v>
      </c>
      <c r="N1441" s="1" t="str">
        <f ca="1">IFERROR(__xludf.DUMMYFUNCTION("""COMPUTED_VALUE"""),"TO8")</f>
        <v>TO8</v>
      </c>
      <c r="O1441" s="1"/>
      <c r="P1441" s="1"/>
    </row>
    <row r="1442" spans="1:16" ht="14.25" customHeight="1" x14ac:dyDescent="0.25">
      <c r="A1442" s="1"/>
      <c r="B1442" s="1">
        <f ca="1"/>
        <v>1430</v>
      </c>
      <c r="C1442" s="1">
        <f ca="1">IFERROR(__xludf.DUMMYFUNCTION("""COMPUTED_VALUE"""),2023)</f>
        <v>2023</v>
      </c>
      <c r="D1442" s="1">
        <f ca="1">IFERROR(__xludf.DUMMYFUNCTION("""COMPUTED_VALUE"""),40030)</f>
        <v>40030</v>
      </c>
      <c r="E1442" s="1" t="str">
        <f ca="1">IFERROR(__xludf.DUMMYFUNCTION("""COMPUTED_VALUE"""),"Journal of The Institution of Engineers (India): Series A")</f>
        <v>Journal of The Institution of Engineers (India): Series A</v>
      </c>
      <c r="F1442" s="1" t="str">
        <f ca="1">IFERROR(__xludf.DUMMYFUNCTION("""COMPUTED_VALUE"""),"2250-2157")</f>
        <v>2250-2157</v>
      </c>
      <c r="G1442" s="1" t="str">
        <f ca="1">IFERROR(__xludf.DUMMYFUNCTION("""COMPUTED_VALUE"""),"2250-2149")</f>
        <v>2250-2149</v>
      </c>
      <c r="H1442" s="27" t="str">
        <f ca="1">IFERROR(__xludf.DUMMYFUNCTION("""COMPUTED_VALUE"""),"https://link.springer.com/journal/40030")</f>
        <v>https://link.springer.com/journal/40030</v>
      </c>
      <c r="I1442" s="1" t="str">
        <f ca="1">IFERROR(__xludf.DUMMYFUNCTION("""COMPUTED_VALUE"""),"Springer")</f>
        <v>Springer</v>
      </c>
      <c r="J1442" s="1">
        <f ca="1">IFERROR(__xludf.DUMMYFUNCTION("""COMPUTED_VALUE"""),2012)</f>
        <v>2012</v>
      </c>
      <c r="K1442" s="1" t="str">
        <f ca="1">IFERROR(__xludf.DUMMYFUNCTION("""COMPUTED_VALUE"""),"Engineering")</f>
        <v>Engineering</v>
      </c>
      <c r="L1442" s="1" t="str">
        <f ca="1">IFERROR(__xludf.DUMMYFUNCTION("""COMPUTED_VALUE"""),"〇")</f>
        <v>〇</v>
      </c>
      <c r="M1442" s="1"/>
      <c r="N1442" s="1" t="str">
        <f ca="1">IFERROR(__xludf.DUMMYFUNCTION("""COMPUTED_VALUE"""),"TO12")</f>
        <v>TO12</v>
      </c>
      <c r="O1442" s="1"/>
      <c r="P1442" s="1"/>
    </row>
    <row r="1443" spans="1:16" ht="14.25" customHeight="1" x14ac:dyDescent="0.25">
      <c r="A1443" s="1"/>
      <c r="B1443" s="1">
        <f ca="1"/>
        <v>1431</v>
      </c>
      <c r="C1443" s="1">
        <f ca="1">IFERROR(__xludf.DUMMYFUNCTION("""COMPUTED_VALUE"""),2023)</f>
        <v>2023</v>
      </c>
      <c r="D1443" s="1">
        <f ca="1">IFERROR(__xludf.DUMMYFUNCTION("""COMPUTED_VALUE"""),40031)</f>
        <v>40031</v>
      </c>
      <c r="E1443" s="1" t="str">
        <f ca="1">IFERROR(__xludf.DUMMYFUNCTION("""COMPUTED_VALUE"""),"Journal of The Institution of Engineers (India): Series B")</f>
        <v>Journal of The Institution of Engineers (India): Series B</v>
      </c>
      <c r="F1443" s="1" t="str">
        <f ca="1">IFERROR(__xludf.DUMMYFUNCTION("""COMPUTED_VALUE"""),"2250-2114")</f>
        <v>2250-2114</v>
      </c>
      <c r="G1443" s="1" t="str">
        <f ca="1">IFERROR(__xludf.DUMMYFUNCTION("""COMPUTED_VALUE"""),"2250-2106")</f>
        <v>2250-2106</v>
      </c>
      <c r="H1443" s="27" t="str">
        <f ca="1">IFERROR(__xludf.DUMMYFUNCTION("""COMPUTED_VALUE"""),"https://link.springer.com/journal/40031")</f>
        <v>https://link.springer.com/journal/40031</v>
      </c>
      <c r="I1443" s="1" t="str">
        <f ca="1">IFERROR(__xludf.DUMMYFUNCTION("""COMPUTED_VALUE"""),"Springer")</f>
        <v>Springer</v>
      </c>
      <c r="J1443" s="1">
        <f ca="1">IFERROR(__xludf.DUMMYFUNCTION("""COMPUTED_VALUE"""),2012)</f>
        <v>2012</v>
      </c>
      <c r="K1443" s="1" t="str">
        <f ca="1">IFERROR(__xludf.DUMMYFUNCTION("""COMPUTED_VALUE"""),"Engineering")</f>
        <v>Engineering</v>
      </c>
      <c r="L1443" s="1" t="str">
        <f ca="1">IFERROR(__xludf.DUMMYFUNCTION("""COMPUTED_VALUE"""),"〇")</f>
        <v>〇</v>
      </c>
      <c r="M1443" s="1"/>
      <c r="N1443" s="1" t="str">
        <f ca="1">IFERROR(__xludf.DUMMYFUNCTION("""COMPUTED_VALUE"""),"TO12")</f>
        <v>TO12</v>
      </c>
      <c r="O1443" s="1"/>
      <c r="P1443" s="1"/>
    </row>
    <row r="1444" spans="1:16" ht="14.25" customHeight="1" x14ac:dyDescent="0.25">
      <c r="A1444" s="1"/>
      <c r="B1444" s="1">
        <f ca="1"/>
        <v>1432</v>
      </c>
      <c r="C1444" s="1">
        <f ca="1">IFERROR(__xludf.DUMMYFUNCTION("""COMPUTED_VALUE"""),2023)</f>
        <v>2023</v>
      </c>
      <c r="D1444" s="1">
        <f ca="1">IFERROR(__xludf.DUMMYFUNCTION("""COMPUTED_VALUE"""),40032)</f>
        <v>40032</v>
      </c>
      <c r="E1444" s="1" t="str">
        <f ca="1">IFERROR(__xludf.DUMMYFUNCTION("""COMPUTED_VALUE"""),"Journal of The Institution of Engineers (India): Series C")</f>
        <v>Journal of The Institution of Engineers (India): Series C</v>
      </c>
      <c r="F1444" s="1" t="str">
        <f ca="1">IFERROR(__xludf.DUMMYFUNCTION("""COMPUTED_VALUE"""),"2250-0553")</f>
        <v>2250-0553</v>
      </c>
      <c r="G1444" s="1" t="str">
        <f ca="1">IFERROR(__xludf.DUMMYFUNCTION("""COMPUTED_VALUE"""),"2250-0545")</f>
        <v>2250-0545</v>
      </c>
      <c r="H1444" s="27" t="str">
        <f ca="1">IFERROR(__xludf.DUMMYFUNCTION("""COMPUTED_VALUE"""),"https://link.springer.com/journal/40032")</f>
        <v>https://link.springer.com/journal/40032</v>
      </c>
      <c r="I1444" s="1" t="str">
        <f ca="1">IFERROR(__xludf.DUMMYFUNCTION("""COMPUTED_VALUE"""),"Springer")</f>
        <v>Springer</v>
      </c>
      <c r="J1444" s="1">
        <f ca="1">IFERROR(__xludf.DUMMYFUNCTION("""COMPUTED_VALUE"""),2012)</f>
        <v>2012</v>
      </c>
      <c r="K1444" s="1" t="str">
        <f ca="1">IFERROR(__xludf.DUMMYFUNCTION("""COMPUTED_VALUE"""),"Engineering")</f>
        <v>Engineering</v>
      </c>
      <c r="L1444" s="1" t="str">
        <f ca="1">IFERROR(__xludf.DUMMYFUNCTION("""COMPUTED_VALUE"""),"〇")</f>
        <v>〇</v>
      </c>
      <c r="M1444" s="1"/>
      <c r="N1444" s="1" t="str">
        <f ca="1">IFERROR(__xludf.DUMMYFUNCTION("""COMPUTED_VALUE"""),"TO12")</f>
        <v>TO12</v>
      </c>
      <c r="O1444" s="1"/>
      <c r="P1444" s="1"/>
    </row>
    <row r="1445" spans="1:16" ht="14.25" customHeight="1" x14ac:dyDescent="0.25">
      <c r="A1445" s="1"/>
      <c r="B1445" s="1">
        <f ca="1"/>
        <v>1433</v>
      </c>
      <c r="C1445" s="1">
        <f ca="1">IFERROR(__xludf.DUMMYFUNCTION("""COMPUTED_VALUE"""),2023)</f>
        <v>2023</v>
      </c>
      <c r="D1445" s="1">
        <f ca="1">IFERROR(__xludf.DUMMYFUNCTION("""COMPUTED_VALUE"""),40033)</f>
        <v>40033</v>
      </c>
      <c r="E1445" s="1" t="str">
        <f ca="1">IFERROR(__xludf.DUMMYFUNCTION("""COMPUTED_VALUE"""),"Journal of The Institution of Engineers (India): Series D")</f>
        <v>Journal of The Institution of Engineers (India): Series D</v>
      </c>
      <c r="F1445" s="1" t="str">
        <f ca="1">IFERROR(__xludf.DUMMYFUNCTION("""COMPUTED_VALUE"""),"2250-2130")</f>
        <v>2250-2130</v>
      </c>
      <c r="G1445" s="1" t="str">
        <f ca="1">IFERROR(__xludf.DUMMYFUNCTION("""COMPUTED_VALUE"""),"2250-2122")</f>
        <v>2250-2122</v>
      </c>
      <c r="H1445" s="27" t="str">
        <f ca="1">IFERROR(__xludf.DUMMYFUNCTION("""COMPUTED_VALUE"""),"https://link.springer.com/journal/40033")</f>
        <v>https://link.springer.com/journal/40033</v>
      </c>
      <c r="I1445" s="1" t="str">
        <f ca="1">IFERROR(__xludf.DUMMYFUNCTION("""COMPUTED_VALUE"""),"Springer")</f>
        <v>Springer</v>
      </c>
      <c r="J1445" s="1">
        <f ca="1">IFERROR(__xludf.DUMMYFUNCTION("""COMPUTED_VALUE"""),2012)</f>
        <v>2012</v>
      </c>
      <c r="K1445" s="1" t="str">
        <f ca="1">IFERROR(__xludf.DUMMYFUNCTION("""COMPUTED_VALUE"""),"Engineering")</f>
        <v>Engineering</v>
      </c>
      <c r="L1445" s="1" t="str">
        <f ca="1">IFERROR(__xludf.DUMMYFUNCTION("""COMPUTED_VALUE"""),"〇")</f>
        <v>〇</v>
      </c>
      <c r="M1445" s="1"/>
      <c r="N1445" s="1" t="str">
        <f ca="1">IFERROR(__xludf.DUMMYFUNCTION("""COMPUTED_VALUE"""),"TO12")</f>
        <v>TO12</v>
      </c>
      <c r="O1445" s="1"/>
      <c r="P1445" s="1"/>
    </row>
    <row r="1446" spans="1:16" ht="14.25" customHeight="1" x14ac:dyDescent="0.25">
      <c r="A1446" s="1"/>
      <c r="B1446" s="1">
        <f ca="1"/>
        <v>1434</v>
      </c>
      <c r="C1446" s="1">
        <f ca="1">IFERROR(__xludf.DUMMYFUNCTION("""COMPUTED_VALUE"""),2023)</f>
        <v>2023</v>
      </c>
      <c r="D1446" s="1">
        <f ca="1">IFERROR(__xludf.DUMMYFUNCTION("""COMPUTED_VALUE"""),40034)</f>
        <v>40034</v>
      </c>
      <c r="E1446" s="1" t="str">
        <f ca="1">IFERROR(__xludf.DUMMYFUNCTION("""COMPUTED_VALUE"""),"Journal of The Institution of Engineers (India): Series E")</f>
        <v>Journal of The Institution of Engineers (India): Series E</v>
      </c>
      <c r="F1446" s="1" t="str">
        <f ca="1">IFERROR(__xludf.DUMMYFUNCTION("""COMPUTED_VALUE"""),"2250-2491")</f>
        <v>2250-2491</v>
      </c>
      <c r="G1446" s="1" t="str">
        <f ca="1">IFERROR(__xludf.DUMMYFUNCTION("""COMPUTED_VALUE"""),"2250-2483")</f>
        <v>2250-2483</v>
      </c>
      <c r="H1446" s="27" t="str">
        <f ca="1">IFERROR(__xludf.DUMMYFUNCTION("""COMPUTED_VALUE"""),"https://link.springer.com/journal/40034")</f>
        <v>https://link.springer.com/journal/40034</v>
      </c>
      <c r="I1446" s="1" t="str">
        <f ca="1">IFERROR(__xludf.DUMMYFUNCTION("""COMPUTED_VALUE"""),"Springer")</f>
        <v>Springer</v>
      </c>
      <c r="J1446" s="1">
        <f ca="1">IFERROR(__xludf.DUMMYFUNCTION("""COMPUTED_VALUE"""),2012)</f>
        <v>2012</v>
      </c>
      <c r="K1446" s="1" t="str">
        <f ca="1">IFERROR(__xludf.DUMMYFUNCTION("""COMPUTED_VALUE"""),"Engineering")</f>
        <v>Engineering</v>
      </c>
      <c r="L1446" s="1" t="str">
        <f ca="1">IFERROR(__xludf.DUMMYFUNCTION("""COMPUTED_VALUE"""),"〇")</f>
        <v>〇</v>
      </c>
      <c r="M1446" s="1"/>
      <c r="N1446" s="1" t="str">
        <f ca="1">IFERROR(__xludf.DUMMYFUNCTION("""COMPUTED_VALUE"""),"TO12")</f>
        <v>TO12</v>
      </c>
      <c r="O1446" s="1"/>
      <c r="P1446" s="1"/>
    </row>
    <row r="1447" spans="1:16" ht="14.25" customHeight="1" x14ac:dyDescent="0.25">
      <c r="A1447" s="1"/>
      <c r="B1447" s="1">
        <f ca="1"/>
        <v>1435</v>
      </c>
      <c r="C1447" s="1">
        <f ca="1">IFERROR(__xludf.DUMMYFUNCTION("""COMPUTED_VALUE"""),2023)</f>
        <v>2023</v>
      </c>
      <c r="D1447" s="1">
        <f ca="1">IFERROR(__xludf.DUMMYFUNCTION("""COMPUTED_VALUE"""),13738)</f>
        <v>13738</v>
      </c>
      <c r="E1447" s="1" t="str">
        <f ca="1">IFERROR(__xludf.DUMMYFUNCTION("""COMPUTED_VALUE"""),"Journal of the Iranian Chemical Society")</f>
        <v>Journal of the Iranian Chemical Society</v>
      </c>
      <c r="F1447" s="1" t="str">
        <f ca="1">IFERROR(__xludf.DUMMYFUNCTION("""COMPUTED_VALUE"""),"1735-2428")</f>
        <v>1735-2428</v>
      </c>
      <c r="G1447" s="1" t="str">
        <f ca="1">IFERROR(__xludf.DUMMYFUNCTION("""COMPUTED_VALUE"""),"1735-207X")</f>
        <v>1735-207X</v>
      </c>
      <c r="H1447" s="27" t="str">
        <f ca="1">IFERROR(__xludf.DUMMYFUNCTION("""COMPUTED_VALUE"""),"https://link.springer.com/journal/13738")</f>
        <v>https://link.springer.com/journal/13738</v>
      </c>
      <c r="I1447" s="1" t="str">
        <f ca="1">IFERROR(__xludf.DUMMYFUNCTION("""COMPUTED_VALUE"""),"Springer")</f>
        <v>Springer</v>
      </c>
      <c r="J1447" s="1">
        <f ca="1">IFERROR(__xludf.DUMMYFUNCTION("""COMPUTED_VALUE"""),2004)</f>
        <v>2004</v>
      </c>
      <c r="K1447" s="1" t="str">
        <f ca="1">IFERROR(__xludf.DUMMYFUNCTION("""COMPUTED_VALUE"""),"Chemistry and Materials Science")</f>
        <v>Chemistry and Materials Science</v>
      </c>
      <c r="L1447" s="1" t="str">
        <f ca="1">IFERROR(__xludf.DUMMYFUNCTION("""COMPUTED_VALUE"""),"〇")</f>
        <v>〇</v>
      </c>
      <c r="M1447" s="1"/>
      <c r="N1447" s="1" t="str">
        <f ca="1">IFERROR(__xludf.DUMMYFUNCTION("""COMPUTED_VALUE"""),"TO12")</f>
        <v>TO12</v>
      </c>
      <c r="O1447" s="1"/>
      <c r="P1447" s="1"/>
    </row>
    <row r="1448" spans="1:16" ht="14.25" customHeight="1" x14ac:dyDescent="0.25">
      <c r="A1448" s="1"/>
      <c r="B1448" s="1">
        <f ca="1"/>
        <v>1436</v>
      </c>
      <c r="C1448" s="1">
        <f ca="1">IFERROR(__xludf.DUMMYFUNCTION("""COMPUTED_VALUE"""),2023)</f>
        <v>2023</v>
      </c>
      <c r="D1448" s="1">
        <f ca="1">IFERROR(__xludf.DUMMYFUNCTION("""COMPUTED_VALUE"""),13132)</f>
        <v>13132</v>
      </c>
      <c r="E1448" s="1" t="str">
        <f ca="1">IFERROR(__xludf.DUMMYFUNCTION("""COMPUTED_VALUE"""),"Journal of the Knowledge Economy")</f>
        <v>Journal of the Knowledge Economy</v>
      </c>
      <c r="F1448" s="1" t="str">
        <f ca="1">IFERROR(__xludf.DUMMYFUNCTION("""COMPUTED_VALUE"""),"1868-7873")</f>
        <v>1868-7873</v>
      </c>
      <c r="G1448" s="1"/>
      <c r="H1448" s="27" t="str">
        <f ca="1">IFERROR(__xludf.DUMMYFUNCTION("""COMPUTED_VALUE"""),"https://link.springer.com/journal/13132")</f>
        <v>https://link.springer.com/journal/13132</v>
      </c>
      <c r="I1448" s="1" t="str">
        <f ca="1">IFERROR(__xludf.DUMMYFUNCTION("""COMPUTED_VALUE"""),"Springer")</f>
        <v>Springer</v>
      </c>
      <c r="J1448" s="1">
        <f ca="1">IFERROR(__xludf.DUMMYFUNCTION("""COMPUTED_VALUE"""),2010)</f>
        <v>2010</v>
      </c>
      <c r="K1448" s="1" t="str">
        <f ca="1">IFERROR(__xludf.DUMMYFUNCTION("""COMPUTED_VALUE"""),"Economics and Finance")</f>
        <v>Economics and Finance</v>
      </c>
      <c r="L1448" s="1"/>
      <c r="M1448" s="1" t="str">
        <f ca="1">IFERROR(__xludf.DUMMYFUNCTION("""COMPUTED_VALUE"""),"〇")</f>
        <v>〇</v>
      </c>
      <c r="N1448" s="1" t="str">
        <f ca="1">IFERROR(__xludf.DUMMYFUNCTION("""COMPUTED_VALUE"""),"SNS10")</f>
        <v>SNS10</v>
      </c>
      <c r="O1448" s="1"/>
      <c r="P1448" s="1"/>
    </row>
    <row r="1449" spans="1:16" ht="14.25" customHeight="1" x14ac:dyDescent="0.25">
      <c r="A1449" s="1"/>
      <c r="B1449" s="1">
        <f ca="1"/>
        <v>1437</v>
      </c>
      <c r="C1449" s="1">
        <f ca="1">IFERROR(__xludf.DUMMYFUNCTION("""COMPUTED_VALUE"""),2023)</f>
        <v>2023</v>
      </c>
      <c r="D1449" s="1">
        <f ca="1">IFERROR(__xludf.DUMMYFUNCTION("""COMPUTED_VALUE"""),43207)</f>
        <v>43207</v>
      </c>
      <c r="E1449" s="1" t="str">
        <f ca="1">IFERROR(__xludf.DUMMYFUNCTION("""COMPUTED_VALUE"""),"Journal of the Korean Ceramic Society")</f>
        <v>Journal of the Korean Ceramic Society</v>
      </c>
      <c r="F1449" s="1" t="str">
        <f ca="1">IFERROR(__xludf.DUMMYFUNCTION("""COMPUTED_VALUE"""),"2234-0491")</f>
        <v>2234-0491</v>
      </c>
      <c r="G1449" s="1" t="str">
        <f ca="1">IFERROR(__xludf.DUMMYFUNCTION("""COMPUTED_VALUE"""),"1229-7801")</f>
        <v>1229-7801</v>
      </c>
      <c r="H1449" s="27" t="str">
        <f ca="1">IFERROR(__xludf.DUMMYFUNCTION("""COMPUTED_VALUE"""),"https://link.springer.com/journal/43207")</f>
        <v>https://link.springer.com/journal/43207</v>
      </c>
      <c r="I1449" s="1" t="str">
        <f ca="1">IFERROR(__xludf.DUMMYFUNCTION("""COMPUTED_VALUE"""),"Springer")</f>
        <v>Springer</v>
      </c>
      <c r="J1449" s="1">
        <f ca="1">IFERROR(__xludf.DUMMYFUNCTION("""COMPUTED_VALUE"""),2020)</f>
        <v>2020</v>
      </c>
      <c r="K1449" s="1" t="str">
        <f ca="1">IFERROR(__xludf.DUMMYFUNCTION("""COMPUTED_VALUE"""),"Chemistry and Materials Science")</f>
        <v>Chemistry and Materials Science</v>
      </c>
      <c r="L1449" s="1" t="str">
        <f ca="1">IFERROR(__xludf.DUMMYFUNCTION("""COMPUTED_VALUE"""),"〇")</f>
        <v>〇</v>
      </c>
      <c r="M1449" s="1"/>
      <c r="N1449" s="1" t="str">
        <f ca="1">IFERROR(__xludf.DUMMYFUNCTION("""COMPUTED_VALUE"""),"TO20")</f>
        <v>TO20</v>
      </c>
      <c r="O1449" s="1"/>
      <c r="P1449" s="1"/>
    </row>
    <row r="1450" spans="1:16" ht="14.25" customHeight="1" x14ac:dyDescent="0.25">
      <c r="A1450" s="1"/>
      <c r="B1450" s="1">
        <f ca="1"/>
        <v>1438</v>
      </c>
      <c r="C1450" s="1">
        <f ca="1">IFERROR(__xludf.DUMMYFUNCTION("""COMPUTED_VALUE"""),2023)</f>
        <v>2023</v>
      </c>
      <c r="D1450" s="1">
        <f ca="1">IFERROR(__xludf.DUMMYFUNCTION("""COMPUTED_VALUE"""),40042)</f>
        <v>40042</v>
      </c>
      <c r="E1450" s="1" t="str">
        <f ca="1">IFERROR(__xludf.DUMMYFUNCTION("""COMPUTED_VALUE"""),"Journal of the Korean Physical Society")</f>
        <v>Journal of the Korean Physical Society</v>
      </c>
      <c r="F1450" s="1" t="str">
        <f ca="1">IFERROR(__xludf.DUMMYFUNCTION("""COMPUTED_VALUE"""),"1976-8524")</f>
        <v>1976-8524</v>
      </c>
      <c r="G1450" s="1" t="str">
        <f ca="1">IFERROR(__xludf.DUMMYFUNCTION("""COMPUTED_VALUE"""),"0374-4884")</f>
        <v>0374-4884</v>
      </c>
      <c r="H1450" s="27" t="str">
        <f ca="1">IFERROR(__xludf.DUMMYFUNCTION("""COMPUTED_VALUE"""),"https://link.springer.com/journal/40042")</f>
        <v>https://link.springer.com/journal/40042</v>
      </c>
      <c r="I1450" s="1" t="str">
        <f ca="1">IFERROR(__xludf.DUMMYFUNCTION("""COMPUTED_VALUE"""),"The Korean Physical Society, co-published with Springer")</f>
        <v>The Korean Physical Society, co-published with Springer</v>
      </c>
      <c r="J1450" s="1">
        <f ca="1">IFERROR(__xludf.DUMMYFUNCTION("""COMPUTED_VALUE"""),2012)</f>
        <v>2012</v>
      </c>
      <c r="K1450" s="1" t="str">
        <f ca="1">IFERROR(__xludf.DUMMYFUNCTION("""COMPUTED_VALUE"""),"Physics and Astronomy")</f>
        <v>Physics and Astronomy</v>
      </c>
      <c r="L1450" s="1" t="str">
        <f ca="1">IFERROR(__xludf.DUMMYFUNCTION("""COMPUTED_VALUE"""),"〇")</f>
        <v>〇</v>
      </c>
      <c r="M1450" s="1"/>
      <c r="N1450" s="1" t="str">
        <f ca="1">IFERROR(__xludf.DUMMYFUNCTION("""COMPUTED_VALUE"""),"TO12")</f>
        <v>TO12</v>
      </c>
      <c r="O1450" s="1"/>
      <c r="P1450" s="1"/>
    </row>
    <row r="1451" spans="1:16" ht="14.25" customHeight="1" x14ac:dyDescent="0.25">
      <c r="A1451" s="1"/>
      <c r="B1451" s="1">
        <f ca="1"/>
        <v>1439</v>
      </c>
      <c r="C1451" s="1">
        <f ca="1">IFERROR(__xludf.DUMMYFUNCTION("""COMPUTED_VALUE"""),2023)</f>
        <v>2023</v>
      </c>
      <c r="D1451" s="1">
        <f ca="1">IFERROR(__xludf.DUMMYFUNCTION("""COMPUTED_VALUE"""),42952)</f>
        <v>42952</v>
      </c>
      <c r="E1451" s="1" t="str">
        <f ca="1">IFERROR(__xludf.DUMMYFUNCTION("""COMPUTED_VALUE"""),"Journal of the Korean Statistical Society")</f>
        <v>Journal of the Korean Statistical Society</v>
      </c>
      <c r="F1451" s="1" t="str">
        <f ca="1">IFERROR(__xludf.DUMMYFUNCTION("""COMPUTED_VALUE"""),"2005-2863")</f>
        <v>2005-2863</v>
      </c>
      <c r="G1451" s="1" t="str">
        <f ca="1">IFERROR(__xludf.DUMMYFUNCTION("""COMPUTED_VALUE"""),"1226-3192")</f>
        <v>1226-3192</v>
      </c>
      <c r="H1451" s="27" t="str">
        <f ca="1">IFERROR(__xludf.DUMMYFUNCTION("""COMPUTED_VALUE"""),"https://link.springer.com/journal/42952")</f>
        <v>https://link.springer.com/journal/42952</v>
      </c>
      <c r="I1451" s="1" t="str">
        <f ca="1">IFERROR(__xludf.DUMMYFUNCTION("""COMPUTED_VALUE"""),"Springer")</f>
        <v>Springer</v>
      </c>
      <c r="J1451" s="1">
        <f ca="1">IFERROR(__xludf.DUMMYFUNCTION("""COMPUTED_VALUE"""),2008)</f>
        <v>2008</v>
      </c>
      <c r="K1451" s="1" t="str">
        <f ca="1">IFERROR(__xludf.DUMMYFUNCTION("""COMPUTED_VALUE"""),"Mathematics and Statistics")</f>
        <v>Mathematics and Statistics</v>
      </c>
      <c r="L1451" s="1" t="str">
        <f ca="1">IFERROR(__xludf.DUMMYFUNCTION("""COMPUTED_VALUE"""),"〇")</f>
        <v>〇</v>
      </c>
      <c r="M1451" s="1"/>
      <c r="N1451" s="1" t="str">
        <f ca="1">IFERROR(__xludf.DUMMYFUNCTION("""COMPUTED_VALUE"""),"TO20")</f>
        <v>TO20</v>
      </c>
      <c r="O1451" s="1"/>
      <c r="P1451" s="1"/>
    </row>
    <row r="1452" spans="1:16" ht="14.25" customHeight="1" x14ac:dyDescent="0.25">
      <c r="A1452" s="1"/>
      <c r="B1452" s="1">
        <f ca="1"/>
        <v>1440</v>
      </c>
      <c r="C1452" s="1">
        <f ca="1">IFERROR(__xludf.DUMMYFUNCTION("""COMPUTED_VALUE"""),2023)</f>
        <v>2023</v>
      </c>
      <c r="D1452" s="1">
        <f ca="1">IFERROR(__xludf.DUMMYFUNCTION("""COMPUTED_VALUE"""),40305)</f>
        <v>40305</v>
      </c>
      <c r="E1452" s="1" t="str">
        <f ca="1">IFERROR(__xludf.DUMMYFUNCTION("""COMPUTED_VALUE"""),"Journal of the Operations Research Society of China")</f>
        <v>Journal of the Operations Research Society of China</v>
      </c>
      <c r="F1452" s="1" t="str">
        <f ca="1">IFERROR(__xludf.DUMMYFUNCTION("""COMPUTED_VALUE"""),"2194-6698")</f>
        <v>2194-6698</v>
      </c>
      <c r="G1452" s="1" t="str">
        <f ca="1">IFERROR(__xludf.DUMMYFUNCTION("""COMPUTED_VALUE"""),"2194-668X")</f>
        <v>2194-668X</v>
      </c>
      <c r="H1452" s="27" t="str">
        <f ca="1">IFERROR(__xludf.DUMMYFUNCTION("""COMPUTED_VALUE"""),"https://link.springer.com/journal/40305")</f>
        <v>https://link.springer.com/journal/40305</v>
      </c>
      <c r="I1452" s="1" t="str">
        <f ca="1">IFERROR(__xludf.DUMMYFUNCTION("""COMPUTED_VALUE"""),"Operations Research Society of China, co-published with Springer")</f>
        <v>Operations Research Society of China, co-published with Springer</v>
      </c>
      <c r="J1452" s="1">
        <f ca="1">IFERROR(__xludf.DUMMYFUNCTION("""COMPUTED_VALUE"""),2013)</f>
        <v>2013</v>
      </c>
      <c r="K1452" s="1" t="str">
        <f ca="1">IFERROR(__xludf.DUMMYFUNCTION("""COMPUTED_VALUE"""),"Mathematics and Statistics")</f>
        <v>Mathematics and Statistics</v>
      </c>
      <c r="L1452" s="1" t="str">
        <f ca="1">IFERROR(__xludf.DUMMYFUNCTION("""COMPUTED_VALUE"""),"〇")</f>
        <v>〇</v>
      </c>
      <c r="M1452" s="1"/>
      <c r="N1452" s="1" t="str">
        <f ca="1">IFERROR(__xludf.DUMMYFUNCTION("""COMPUTED_VALUE"""),"SNS13")</f>
        <v>SNS13</v>
      </c>
      <c r="O1452" s="1"/>
      <c r="P1452" s="1"/>
    </row>
    <row r="1453" spans="1:16" ht="14.25" customHeight="1" x14ac:dyDescent="0.25">
      <c r="A1453" s="1"/>
      <c r="B1453" s="1">
        <f ca="1"/>
        <v>1441</v>
      </c>
      <c r="C1453" s="1">
        <f ca="1">IFERROR(__xludf.DUMMYFUNCTION("""COMPUTED_VALUE"""),2023)</f>
        <v>2023</v>
      </c>
      <c r="D1453" s="1">
        <f ca="1">IFERROR(__xludf.DUMMYFUNCTION("""COMPUTED_VALUE"""),10959)</f>
        <v>10959</v>
      </c>
      <c r="E1453" s="1" t="str">
        <f ca="1">IFERROR(__xludf.DUMMYFUNCTION("""COMPUTED_VALUE"""),"Journal of Theoretical Probability")</f>
        <v>Journal of Theoretical Probability</v>
      </c>
      <c r="F1453" s="1" t="str">
        <f ca="1">IFERROR(__xludf.DUMMYFUNCTION("""COMPUTED_VALUE"""),"1572-9230")</f>
        <v>1572-9230</v>
      </c>
      <c r="G1453" s="1" t="str">
        <f ca="1">IFERROR(__xludf.DUMMYFUNCTION("""COMPUTED_VALUE"""),"0894-9840")</f>
        <v>0894-9840</v>
      </c>
      <c r="H1453" s="27" t="str">
        <f ca="1">IFERROR(__xludf.DUMMYFUNCTION("""COMPUTED_VALUE"""),"https://link.springer.com/journal/10959")</f>
        <v>https://link.springer.com/journal/10959</v>
      </c>
      <c r="I1453" s="1" t="str">
        <f ca="1">IFERROR(__xludf.DUMMYFUNCTION("""COMPUTED_VALUE"""),"Springer")</f>
        <v>Springer</v>
      </c>
      <c r="J1453" s="1">
        <f ca="1">IFERROR(__xludf.DUMMYFUNCTION("""COMPUTED_VALUE"""),2000)</f>
        <v>2000</v>
      </c>
      <c r="K1453" s="1" t="str">
        <f ca="1">IFERROR(__xludf.DUMMYFUNCTION("""COMPUTED_VALUE"""),"Mathematics and Statistics")</f>
        <v>Mathematics and Statistics</v>
      </c>
      <c r="L1453" s="1" t="str">
        <f ca="1">IFERROR(__xludf.DUMMYFUNCTION("""COMPUTED_VALUE"""),"〇")</f>
        <v>〇</v>
      </c>
      <c r="M1453" s="1" t="str">
        <f ca="1">IFERROR(__xludf.DUMMYFUNCTION("""COMPUTED_VALUE"""),"〇")</f>
        <v>〇</v>
      </c>
      <c r="N1453" s="1"/>
      <c r="O1453" s="1"/>
      <c r="P1453" s="1"/>
    </row>
    <row r="1454" spans="1:16" ht="14.25" customHeight="1" x14ac:dyDescent="0.25">
      <c r="A1454" s="1"/>
      <c r="B1454" s="1">
        <f ca="1"/>
        <v>1442</v>
      </c>
      <c r="C1454" s="1">
        <f ca="1">IFERROR(__xludf.DUMMYFUNCTION("""COMPUTED_VALUE"""),2023)</f>
        <v>2023</v>
      </c>
      <c r="D1454" s="1">
        <f ca="1">IFERROR(__xludf.DUMMYFUNCTION("""COMPUTED_VALUE"""),10973)</f>
        <v>10973</v>
      </c>
      <c r="E1454" s="1" t="str">
        <f ca="1">IFERROR(__xludf.DUMMYFUNCTION("""COMPUTED_VALUE"""),"Journal of Thermal Analysis and Calorimetry")</f>
        <v>Journal of Thermal Analysis and Calorimetry</v>
      </c>
      <c r="F1454" s="1" t="str">
        <f ca="1">IFERROR(__xludf.DUMMYFUNCTION("""COMPUTED_VALUE"""),"1588-2926")</f>
        <v>1588-2926</v>
      </c>
      <c r="G1454" s="1" t="str">
        <f ca="1">IFERROR(__xludf.DUMMYFUNCTION("""COMPUTED_VALUE"""),"1388-6150")</f>
        <v>1388-6150</v>
      </c>
      <c r="H1454" s="27" t="str">
        <f ca="1">IFERROR(__xludf.DUMMYFUNCTION("""COMPUTED_VALUE"""),"https://link.springer.com/journal/10973")</f>
        <v>https://link.springer.com/journal/10973</v>
      </c>
      <c r="I1454" s="1" t="str">
        <f ca="1">IFERROR(__xludf.DUMMYFUNCTION("""COMPUTED_VALUE"""),"Akadémiai Kiadó, co-published with Springer")</f>
        <v>Akadémiai Kiadó, co-published with Springer</v>
      </c>
      <c r="J1454" s="1">
        <f ca="1">IFERROR(__xludf.DUMMYFUNCTION("""COMPUTED_VALUE"""),2000)</f>
        <v>2000</v>
      </c>
      <c r="K1454" s="1" t="str">
        <f ca="1">IFERROR(__xludf.DUMMYFUNCTION("""COMPUTED_VALUE"""),"Chemistry and Materials Science")</f>
        <v>Chemistry and Materials Science</v>
      </c>
      <c r="L1454" s="1" t="str">
        <f ca="1">IFERROR(__xludf.DUMMYFUNCTION("""COMPUTED_VALUE"""),"〇")</f>
        <v>〇</v>
      </c>
      <c r="M1454" s="1" t="str">
        <f ca="1">IFERROR(__xludf.DUMMYFUNCTION("""COMPUTED_VALUE"""),"〇")</f>
        <v>〇</v>
      </c>
      <c r="N1454" s="1"/>
      <c r="O1454" s="1"/>
      <c r="P1454" s="1"/>
    </row>
    <row r="1455" spans="1:16" ht="14.25" customHeight="1" x14ac:dyDescent="0.25">
      <c r="A1455" s="1"/>
      <c r="B1455" s="1">
        <f ca="1"/>
        <v>1443</v>
      </c>
      <c r="C1455" s="1">
        <f ca="1">IFERROR(__xludf.DUMMYFUNCTION("""COMPUTED_VALUE"""),2023)</f>
        <v>2023</v>
      </c>
      <c r="D1455" s="1">
        <f ca="1">IFERROR(__xludf.DUMMYFUNCTION("""COMPUTED_VALUE"""),11630)</f>
        <v>11630</v>
      </c>
      <c r="E1455" s="1" t="str">
        <f ca="1">IFERROR(__xludf.DUMMYFUNCTION("""COMPUTED_VALUE"""),"Journal of Thermal Science")</f>
        <v>Journal of Thermal Science</v>
      </c>
      <c r="F1455" s="1" t="str">
        <f ca="1">IFERROR(__xludf.DUMMYFUNCTION("""COMPUTED_VALUE"""),"1993-033X")</f>
        <v>1993-033X</v>
      </c>
      <c r="G1455" s="1" t="str">
        <f ca="1">IFERROR(__xludf.DUMMYFUNCTION("""COMPUTED_VALUE"""),"1003-2169")</f>
        <v>1003-2169</v>
      </c>
      <c r="H1455" s="27" t="str">
        <f ca="1">IFERROR(__xludf.DUMMYFUNCTION("""COMPUTED_VALUE"""),"https://link.springer.com/journal/11630")</f>
        <v>https://link.springer.com/journal/11630</v>
      </c>
      <c r="I1455" s="1" t="str">
        <f ca="1">IFERROR(__xludf.DUMMYFUNCTION("""COMPUTED_VALUE"""),"Science Press, co-published with Springer")</f>
        <v>Science Press, co-published with Springer</v>
      </c>
      <c r="J1455" s="1">
        <f ca="1">IFERROR(__xludf.DUMMYFUNCTION("""COMPUTED_VALUE"""),2000)</f>
        <v>2000</v>
      </c>
      <c r="K1455" s="1" t="str">
        <f ca="1">IFERROR(__xludf.DUMMYFUNCTION("""COMPUTED_VALUE"""),"Physics and Astronomy")</f>
        <v>Physics and Astronomy</v>
      </c>
      <c r="L1455" s="1" t="str">
        <f ca="1">IFERROR(__xludf.DUMMYFUNCTION("""COMPUTED_VALUE"""),"〇")</f>
        <v>〇</v>
      </c>
      <c r="M1455" s="1" t="str">
        <f ca="1">IFERROR(__xludf.DUMMYFUNCTION("""COMPUTED_VALUE"""),"〇")</f>
        <v>〇</v>
      </c>
      <c r="N1455" s="1" t="str">
        <f ca="1">IFERROR(__xludf.DUMMYFUNCTION("""COMPUTED_VALUE"""),"TO7")</f>
        <v>TO7</v>
      </c>
      <c r="O1455" s="1"/>
      <c r="P1455" s="1"/>
    </row>
    <row r="1456" spans="1:16" ht="14.25" customHeight="1" x14ac:dyDescent="0.25">
      <c r="A1456" s="1"/>
      <c r="B1456" s="1">
        <f ca="1"/>
        <v>1444</v>
      </c>
      <c r="C1456" s="1">
        <f ca="1">IFERROR(__xludf.DUMMYFUNCTION("""COMPUTED_VALUE"""),2023)</f>
        <v>2023</v>
      </c>
      <c r="D1456" s="1">
        <f ca="1">IFERROR(__xludf.DUMMYFUNCTION("""COMPUTED_VALUE"""),11666)</f>
        <v>11666</v>
      </c>
      <c r="E1456" s="1" t="str">
        <f ca="1">IFERROR(__xludf.DUMMYFUNCTION("""COMPUTED_VALUE"""),"Journal of Thermal Spray Technology")</f>
        <v>Journal of Thermal Spray Technology</v>
      </c>
      <c r="F1456" s="1" t="str">
        <f ca="1">IFERROR(__xludf.DUMMYFUNCTION("""COMPUTED_VALUE"""),"1544-1016")</f>
        <v>1544-1016</v>
      </c>
      <c r="G1456" s="1" t="str">
        <f ca="1">IFERROR(__xludf.DUMMYFUNCTION("""COMPUTED_VALUE"""),"1059-9630")</f>
        <v>1059-9630</v>
      </c>
      <c r="H1456" s="27" t="str">
        <f ca="1">IFERROR(__xludf.DUMMYFUNCTION("""COMPUTED_VALUE"""),"https://link.springer.com/journal/11666")</f>
        <v>https://link.springer.com/journal/11666</v>
      </c>
      <c r="I1456" s="1" t="str">
        <f ca="1">IFERROR(__xludf.DUMMYFUNCTION("""COMPUTED_VALUE"""),"Springer")</f>
        <v>Springer</v>
      </c>
      <c r="J1456" s="1">
        <f ca="1">IFERROR(__xludf.DUMMYFUNCTION("""COMPUTED_VALUE"""),2000)</f>
        <v>2000</v>
      </c>
      <c r="K1456" s="1" t="str">
        <f ca="1">IFERROR(__xludf.DUMMYFUNCTION("""COMPUTED_VALUE"""),"Chemistry and Materials Science")</f>
        <v>Chemistry and Materials Science</v>
      </c>
      <c r="L1456" s="1" t="str">
        <f ca="1">IFERROR(__xludf.DUMMYFUNCTION("""COMPUTED_VALUE"""),"〇")</f>
        <v>〇</v>
      </c>
      <c r="M1456" s="1" t="str">
        <f ca="1">IFERROR(__xludf.DUMMYFUNCTION("""COMPUTED_VALUE"""),"〇")</f>
        <v>〇</v>
      </c>
      <c r="N1456" s="1" t="str">
        <f ca="1">IFERROR(__xludf.DUMMYFUNCTION("""COMPUTED_VALUE"""),"TO7")</f>
        <v>TO7</v>
      </c>
      <c r="O1456" s="1"/>
      <c r="P1456" s="1"/>
    </row>
    <row r="1457" spans="1:16" ht="14.25" customHeight="1" x14ac:dyDescent="0.25">
      <c r="A1457" s="1"/>
      <c r="B1457" s="1">
        <f ca="1"/>
        <v>1445</v>
      </c>
      <c r="C1457" s="1">
        <f ca="1">IFERROR(__xludf.DUMMYFUNCTION("""COMPUTED_VALUE"""),2023)</f>
        <v>2023</v>
      </c>
      <c r="D1457" s="1">
        <f ca="1">IFERROR(__xludf.DUMMYFUNCTION("""COMPUTED_VALUE"""),11239)</f>
        <v>11239</v>
      </c>
      <c r="E1457" s="1" t="str">
        <f ca="1">IFERROR(__xludf.DUMMYFUNCTION("""COMPUTED_VALUE"""),"Journal of Thrombosis and Thrombolysis")</f>
        <v>Journal of Thrombosis and Thrombolysis</v>
      </c>
      <c r="F1457" s="1" t="str">
        <f ca="1">IFERROR(__xludf.DUMMYFUNCTION("""COMPUTED_VALUE"""),"1573-742X")</f>
        <v>1573-742X</v>
      </c>
      <c r="G1457" s="1"/>
      <c r="H1457" s="27" t="str">
        <f ca="1">IFERROR(__xludf.DUMMYFUNCTION("""COMPUTED_VALUE"""),"https://link.springer.com/journal/11239")</f>
        <v>https://link.springer.com/journal/11239</v>
      </c>
      <c r="I1457" s="1" t="str">
        <f ca="1">IFERROR(__xludf.DUMMYFUNCTION("""COMPUTED_VALUE"""),"Springer")</f>
        <v>Springer</v>
      </c>
      <c r="J1457" s="1">
        <f ca="1">IFERROR(__xludf.DUMMYFUNCTION("""COMPUTED_VALUE"""),2000)</f>
        <v>2000</v>
      </c>
      <c r="K1457" s="1" t="str">
        <f ca="1">IFERROR(__xludf.DUMMYFUNCTION("""COMPUTED_VALUE"""),"Medicine")</f>
        <v>Medicine</v>
      </c>
      <c r="L1457" s="1"/>
      <c r="M1457" s="1" t="str">
        <f ca="1">IFERROR(__xludf.DUMMYFUNCTION("""COMPUTED_VALUE"""),"〇")</f>
        <v>〇</v>
      </c>
      <c r="N1457" s="1"/>
      <c r="O1457" s="1"/>
      <c r="P1457" s="1"/>
    </row>
    <row r="1458" spans="1:16" ht="14.25" customHeight="1" x14ac:dyDescent="0.25">
      <c r="A1458" s="1"/>
      <c r="B1458" s="1">
        <f ca="1"/>
        <v>1446</v>
      </c>
      <c r="C1458" s="1">
        <f ca="1">IFERROR(__xludf.DUMMYFUNCTION("""COMPUTED_VALUE"""),2023)</f>
        <v>2023</v>
      </c>
      <c r="D1458" s="1">
        <f ca="1">IFERROR(__xludf.DUMMYFUNCTION("""COMPUTED_VALUE"""),12198)</f>
        <v>12198</v>
      </c>
      <c r="E1458" s="1" t="str">
        <f ca="1">IFERROR(__xludf.DUMMYFUNCTION("""COMPUTED_VALUE"""),"Journal of Transportation Security")</f>
        <v>Journal of Transportation Security</v>
      </c>
      <c r="F1458" s="1" t="str">
        <f ca="1">IFERROR(__xludf.DUMMYFUNCTION("""COMPUTED_VALUE"""),"1938-775X")</f>
        <v>1938-775X</v>
      </c>
      <c r="G1458" s="1"/>
      <c r="H1458" s="27" t="str">
        <f ca="1">IFERROR(__xludf.DUMMYFUNCTION("""COMPUTED_VALUE"""),"https://link.springer.com/journal/12198")</f>
        <v>https://link.springer.com/journal/12198</v>
      </c>
      <c r="I1458" s="1" t="str">
        <f ca="1">IFERROR(__xludf.DUMMYFUNCTION("""COMPUTED_VALUE"""),"Springer")</f>
        <v>Springer</v>
      </c>
      <c r="J1458" s="1">
        <f ca="1">IFERROR(__xludf.DUMMYFUNCTION("""COMPUTED_VALUE"""),2008)</f>
        <v>2008</v>
      </c>
      <c r="K1458" s="1" t="str">
        <f ca="1">IFERROR(__xludf.DUMMYFUNCTION("""COMPUTED_VALUE"""),"Business and Management")</f>
        <v>Business and Management</v>
      </c>
      <c r="L1458" s="1"/>
      <c r="M1458" s="1" t="str">
        <f ca="1">IFERROR(__xludf.DUMMYFUNCTION("""COMPUTED_VALUE"""),"〇")</f>
        <v>〇</v>
      </c>
      <c r="N1458" s="1" t="str">
        <f ca="1">IFERROR(__xludf.DUMMYFUNCTION("""COMPUTED_VALUE"""),"SNS8")</f>
        <v>SNS8</v>
      </c>
      <c r="O1458" s="1"/>
      <c r="P1458" s="1"/>
    </row>
    <row r="1459" spans="1:16" ht="14.25" customHeight="1" x14ac:dyDescent="0.25">
      <c r="A1459" s="1"/>
      <c r="B1459" s="1">
        <f ca="1"/>
        <v>1447</v>
      </c>
      <c r="C1459" s="1">
        <f ca="1">IFERROR(__xludf.DUMMYFUNCTION("""COMPUTED_VALUE"""),2023)</f>
        <v>2023</v>
      </c>
      <c r="D1459" s="1">
        <f ca="1">IFERROR(__xludf.DUMMYFUNCTION("""COMPUTED_VALUE"""),40477)</f>
        <v>40477</v>
      </c>
      <c r="E1459" s="1" t="str">
        <f ca="1">IFERROR(__xludf.DUMMYFUNCTION("""COMPUTED_VALUE"""),"Journal of Ultrasound")</f>
        <v>Journal of Ultrasound</v>
      </c>
      <c r="F1459" s="1" t="str">
        <f ca="1">IFERROR(__xludf.DUMMYFUNCTION("""COMPUTED_VALUE"""),"1876-7931")</f>
        <v>1876-7931</v>
      </c>
      <c r="G1459" s="1"/>
      <c r="H1459" s="27" t="str">
        <f ca="1">IFERROR(__xludf.DUMMYFUNCTION("""COMPUTED_VALUE"""),"https://link.springer.com/journal/40477")</f>
        <v>https://link.springer.com/journal/40477</v>
      </c>
      <c r="I1459" s="1" t="str">
        <f ca="1">IFERROR(__xludf.DUMMYFUNCTION("""COMPUTED_VALUE"""),"Springer")</f>
        <v>Springer</v>
      </c>
      <c r="J1459" s="1">
        <f ca="1">IFERROR(__xludf.DUMMYFUNCTION("""COMPUTED_VALUE"""),2013)</f>
        <v>2013</v>
      </c>
      <c r="K1459" s="1" t="str">
        <f ca="1">IFERROR(__xludf.DUMMYFUNCTION("""COMPUTED_VALUE"""),"Medicine")</f>
        <v>Medicine</v>
      </c>
      <c r="L1459" s="1"/>
      <c r="M1459" s="1"/>
      <c r="N1459" s="1" t="str">
        <f ca="1">IFERROR(__xludf.DUMMYFUNCTION("""COMPUTED_VALUE"""),"TO13")</f>
        <v>TO13</v>
      </c>
      <c r="O1459" s="1"/>
      <c r="P1459" s="1"/>
    </row>
    <row r="1460" spans="1:16" ht="14.25" customHeight="1" x14ac:dyDescent="0.25">
      <c r="A1460" s="1"/>
      <c r="B1460" s="1">
        <f ca="1"/>
        <v>1448</v>
      </c>
      <c r="C1460" s="1">
        <f ca="1">IFERROR(__xludf.DUMMYFUNCTION("""COMPUTED_VALUE"""),2023)</f>
        <v>2023</v>
      </c>
      <c r="D1460" s="1">
        <f ca="1">IFERROR(__xludf.DUMMYFUNCTION("""COMPUTED_VALUE"""),11524)</f>
        <v>11524</v>
      </c>
      <c r="E1460" s="1" t="str">
        <f ca="1">IFERROR(__xludf.DUMMYFUNCTION("""COMPUTED_VALUE"""),"Journal of Urban Health")</f>
        <v>Journal of Urban Health</v>
      </c>
      <c r="F1460" s="1" t="str">
        <f ca="1">IFERROR(__xludf.DUMMYFUNCTION("""COMPUTED_VALUE"""),"1468-2869")</f>
        <v>1468-2869</v>
      </c>
      <c r="G1460" s="1" t="str">
        <f ca="1">IFERROR(__xludf.DUMMYFUNCTION("""COMPUTED_VALUE"""),"1099-3460")</f>
        <v>1099-3460</v>
      </c>
      <c r="H1460" s="27" t="str">
        <f ca="1">IFERROR(__xludf.DUMMYFUNCTION("""COMPUTED_VALUE"""),"https://link.springer.com/journal/11524")</f>
        <v>https://link.springer.com/journal/11524</v>
      </c>
      <c r="I1460" s="1" t="str">
        <f ca="1">IFERROR(__xludf.DUMMYFUNCTION("""COMPUTED_VALUE"""),"Springer")</f>
        <v>Springer</v>
      </c>
      <c r="J1460" s="1">
        <f ca="1">IFERROR(__xludf.DUMMYFUNCTION("""COMPUTED_VALUE"""),2000)</f>
        <v>2000</v>
      </c>
      <c r="K1460" s="1" t="str">
        <f ca="1">IFERROR(__xludf.DUMMYFUNCTION("""COMPUTED_VALUE"""),"Medicine")</f>
        <v>Medicine</v>
      </c>
      <c r="L1460" s="1" t="str">
        <f ca="1">IFERROR(__xludf.DUMMYFUNCTION("""COMPUTED_VALUE"""),"〇")</f>
        <v>〇</v>
      </c>
      <c r="M1460" s="1" t="str">
        <f ca="1">IFERROR(__xludf.DUMMYFUNCTION("""COMPUTED_VALUE"""),"〇")</f>
        <v>〇</v>
      </c>
      <c r="N1460" s="1"/>
      <c r="O1460" s="1"/>
      <c r="P1460" s="1"/>
    </row>
    <row r="1461" spans="1:16" ht="14.25" customHeight="1" x14ac:dyDescent="0.25">
      <c r="A1461" s="1"/>
      <c r="B1461" s="1">
        <f ca="1"/>
        <v>1449</v>
      </c>
      <c r="C1461" s="1">
        <f ca="1">IFERROR(__xludf.DUMMYFUNCTION("""COMPUTED_VALUE"""),2023)</f>
        <v>2023</v>
      </c>
      <c r="D1461" s="1">
        <f ca="1">IFERROR(__xludf.DUMMYFUNCTION("""COMPUTED_VALUE"""),42417)</f>
        <v>42417</v>
      </c>
      <c r="E1461" s="1" t="str">
        <f ca="1">IFERROR(__xludf.DUMMYFUNCTION("""COMPUTED_VALUE"""),"Journal of Vibration Engineering &amp; Technologies")</f>
        <v>Journal of Vibration Engineering &amp; Technologies</v>
      </c>
      <c r="F1461" s="1" t="str">
        <f ca="1">IFERROR(__xludf.DUMMYFUNCTION("""COMPUTED_VALUE"""),"2523-3939")</f>
        <v>2523-3939</v>
      </c>
      <c r="G1461" s="1" t="str">
        <f ca="1">IFERROR(__xludf.DUMMYFUNCTION("""COMPUTED_VALUE"""),"2523-3920")</f>
        <v>2523-3920</v>
      </c>
      <c r="H1461" s="27" t="str">
        <f ca="1">IFERROR(__xludf.DUMMYFUNCTION("""COMPUTED_VALUE"""),"https://link.springer.com/journal/42417")</f>
        <v>https://link.springer.com/journal/42417</v>
      </c>
      <c r="I1461" s="1" t="str">
        <f ca="1">IFERROR(__xludf.DUMMYFUNCTION("""COMPUTED_VALUE"""),"Springer")</f>
        <v>Springer</v>
      </c>
      <c r="J1461" s="1">
        <f ca="1">IFERROR(__xludf.DUMMYFUNCTION("""COMPUTED_VALUE"""),2018)</f>
        <v>2018</v>
      </c>
      <c r="K1461" s="1" t="str">
        <f ca="1">IFERROR(__xludf.DUMMYFUNCTION("""COMPUTED_VALUE"""),"Engineering")</f>
        <v>Engineering</v>
      </c>
      <c r="L1461" s="1" t="str">
        <f ca="1">IFERROR(__xludf.DUMMYFUNCTION("""COMPUTED_VALUE"""),"〇")</f>
        <v>〇</v>
      </c>
      <c r="M1461" s="1"/>
      <c r="N1461" s="1" t="str">
        <f ca="1">IFERROR(__xludf.DUMMYFUNCTION("""COMPUTED_VALUE"""),"TO18")</f>
        <v>TO18</v>
      </c>
      <c r="O1461" s="1"/>
      <c r="P1461" s="1"/>
    </row>
    <row r="1462" spans="1:16" ht="14.25" customHeight="1" x14ac:dyDescent="0.25">
      <c r="A1462" s="1"/>
      <c r="B1462" s="1">
        <f ca="1"/>
        <v>1450</v>
      </c>
      <c r="C1462" s="1">
        <f ca="1">IFERROR(__xludf.DUMMYFUNCTION("""COMPUTED_VALUE"""),2023)</f>
        <v>2023</v>
      </c>
      <c r="D1462" s="1">
        <f ca="1">IFERROR(__xludf.DUMMYFUNCTION("""COMPUTED_VALUE"""),12650)</f>
        <v>12650</v>
      </c>
      <c r="E1462" s="1" t="str">
        <f ca="1">IFERROR(__xludf.DUMMYFUNCTION("""COMPUTED_VALUE"""),"Journal of Visualization")</f>
        <v>Journal of Visualization</v>
      </c>
      <c r="F1462" s="1" t="str">
        <f ca="1">IFERROR(__xludf.DUMMYFUNCTION("""COMPUTED_VALUE"""),"1875-8975")</f>
        <v>1875-8975</v>
      </c>
      <c r="G1462" s="1" t="str">
        <f ca="1">IFERROR(__xludf.DUMMYFUNCTION("""COMPUTED_VALUE"""),"1343-8875")</f>
        <v>1343-8875</v>
      </c>
      <c r="H1462" s="27" t="str">
        <f ca="1">IFERROR(__xludf.DUMMYFUNCTION("""COMPUTED_VALUE"""),"https://link.springer.com/journal/12650")</f>
        <v>https://link.springer.com/journal/12650</v>
      </c>
      <c r="I1462" s="1" t="str">
        <f ca="1">IFERROR(__xludf.DUMMYFUNCTION("""COMPUTED_VALUE"""),"Springer")</f>
        <v>Springer</v>
      </c>
      <c r="J1462" s="1">
        <f ca="1">IFERROR(__xludf.DUMMYFUNCTION("""COMPUTED_VALUE"""),2000)</f>
        <v>2000</v>
      </c>
      <c r="K1462" s="1" t="str">
        <f ca="1">IFERROR(__xludf.DUMMYFUNCTION("""COMPUTED_VALUE"""),"Engineering")</f>
        <v>Engineering</v>
      </c>
      <c r="L1462" s="1" t="str">
        <f ca="1">IFERROR(__xludf.DUMMYFUNCTION("""COMPUTED_VALUE"""),"〇")</f>
        <v>〇</v>
      </c>
      <c r="M1462" s="1"/>
      <c r="N1462" s="1" t="str">
        <f ca="1">IFERROR(__xludf.DUMMYFUNCTION("""COMPUTED_VALUE"""),"TO10")</f>
        <v>TO10</v>
      </c>
      <c r="O1462" s="1"/>
      <c r="P1462" s="1"/>
    </row>
    <row r="1463" spans="1:16" ht="14.25" customHeight="1" x14ac:dyDescent="0.25">
      <c r="A1463" s="1"/>
      <c r="B1463" s="1">
        <f ca="1"/>
        <v>1451</v>
      </c>
      <c r="C1463" s="1">
        <f ca="1">IFERROR(__xludf.DUMMYFUNCTION("""COMPUTED_VALUE"""),2023)</f>
        <v>2023</v>
      </c>
      <c r="D1463" s="1">
        <f ca="1">IFERROR(__xludf.DUMMYFUNCTION("""COMPUTED_VALUE"""),11711)</f>
        <v>11711</v>
      </c>
      <c r="E1463" s="1" t="str">
        <f ca="1">IFERROR(__xludf.DUMMYFUNCTION("""COMPUTED_VALUE"""),"Journal of Volcanology and Seismology")</f>
        <v>Journal of Volcanology and Seismology</v>
      </c>
      <c r="F1463" s="1" t="str">
        <f ca="1">IFERROR(__xludf.DUMMYFUNCTION("""COMPUTED_VALUE"""),"1819-7108")</f>
        <v>1819-7108</v>
      </c>
      <c r="G1463" s="1" t="str">
        <f ca="1">IFERROR(__xludf.DUMMYFUNCTION("""COMPUTED_VALUE"""),"0742-0463")</f>
        <v>0742-0463</v>
      </c>
      <c r="H1463" s="27" t="str">
        <f ca="1">IFERROR(__xludf.DUMMYFUNCTION("""COMPUTED_VALUE"""),"https://link.springer.com/journal/11711")</f>
        <v>https://link.springer.com/journal/11711</v>
      </c>
      <c r="I1463" s="1" t="str">
        <f ca="1">IFERROR(__xludf.DUMMYFUNCTION("""COMPUTED_VALUE"""),"Pleiades Publishing")</f>
        <v>Pleiades Publishing</v>
      </c>
      <c r="J1463" s="1">
        <f ca="1">IFERROR(__xludf.DUMMYFUNCTION("""COMPUTED_VALUE"""),2007)</f>
        <v>2007</v>
      </c>
      <c r="K1463" s="1" t="str">
        <f ca="1">IFERROR(__xludf.DUMMYFUNCTION("""COMPUTED_VALUE"""),"Earth and Environmental Science")</f>
        <v>Earth and Environmental Science</v>
      </c>
      <c r="L1463" s="1" t="str">
        <f ca="1">IFERROR(__xludf.DUMMYFUNCTION("""COMPUTED_VALUE"""),"〇")</f>
        <v>〇</v>
      </c>
      <c r="M1463" s="1" t="str">
        <f ca="1">IFERROR(__xludf.DUMMYFUNCTION("""COMPUTED_VALUE"""),"〇")</f>
        <v>〇</v>
      </c>
      <c r="N1463" s="1" t="str">
        <f ca="1">IFERROR(__xludf.DUMMYFUNCTION("""COMPUTED_VALUE"""),"SNS7")</f>
        <v>SNS7</v>
      </c>
      <c r="O1463" s="1"/>
      <c r="P1463" s="1"/>
    </row>
    <row r="1464" spans="1:16" ht="14.25" customHeight="1" x14ac:dyDescent="0.25">
      <c r="A1464" s="1"/>
      <c r="B1464" s="1">
        <f ca="1"/>
        <v>1452</v>
      </c>
      <c r="C1464" s="1">
        <f ca="1">IFERROR(__xludf.DUMMYFUNCTION("""COMPUTED_VALUE"""),2023)</f>
        <v>2023</v>
      </c>
      <c r="D1464" s="1">
        <f ca="1">IFERROR(__xludf.DUMMYFUNCTION("""COMPUTED_VALUE"""),11962)</f>
        <v>11962</v>
      </c>
      <c r="E1464" s="1" t="str">
        <f ca="1">IFERROR(__xludf.DUMMYFUNCTION("""COMPUTED_VALUE"""),"Journal of Water Chemistry and Technology")</f>
        <v>Journal of Water Chemistry and Technology</v>
      </c>
      <c r="F1464" s="1" t="str">
        <f ca="1">IFERROR(__xludf.DUMMYFUNCTION("""COMPUTED_VALUE"""),"1934-936X")</f>
        <v>1934-936X</v>
      </c>
      <c r="G1464" s="1" t="str">
        <f ca="1">IFERROR(__xludf.DUMMYFUNCTION("""COMPUTED_VALUE"""),"1063-455X")</f>
        <v>1063-455X</v>
      </c>
      <c r="H1464" s="27" t="str">
        <f ca="1">IFERROR(__xludf.DUMMYFUNCTION("""COMPUTED_VALUE"""),"https://link.springer.com/journal/11962")</f>
        <v>https://link.springer.com/journal/11962</v>
      </c>
      <c r="I1464" s="1" t="str">
        <f ca="1">IFERROR(__xludf.DUMMYFUNCTION("""COMPUTED_VALUE"""),"Pleiades Publishing")</f>
        <v>Pleiades Publishing</v>
      </c>
      <c r="J1464" s="1">
        <f ca="1">IFERROR(__xludf.DUMMYFUNCTION("""COMPUTED_VALUE"""),2007)</f>
        <v>2007</v>
      </c>
      <c r="K1464" s="1" t="str">
        <f ca="1">IFERROR(__xludf.DUMMYFUNCTION("""COMPUTED_VALUE"""),"Earth and Environmental Science")</f>
        <v>Earth and Environmental Science</v>
      </c>
      <c r="L1464" s="1" t="str">
        <f ca="1">IFERROR(__xludf.DUMMYFUNCTION("""COMPUTED_VALUE"""),"〇")</f>
        <v>〇</v>
      </c>
      <c r="M1464" s="1" t="str">
        <f ca="1">IFERROR(__xludf.DUMMYFUNCTION("""COMPUTED_VALUE"""),"〇")</f>
        <v>〇</v>
      </c>
      <c r="N1464" s="1" t="str">
        <f ca="1">IFERROR(__xludf.DUMMYFUNCTION("""COMPUTED_VALUE"""),"TO7")</f>
        <v>TO7</v>
      </c>
      <c r="O1464" s="1"/>
      <c r="P1464" s="1"/>
    </row>
    <row r="1465" spans="1:16" ht="14.25" customHeight="1" x14ac:dyDescent="0.25">
      <c r="A1465" s="1"/>
      <c r="B1465" s="1">
        <f ca="1"/>
        <v>1453</v>
      </c>
      <c r="C1465" s="1">
        <f ca="1">IFERROR(__xludf.DUMMYFUNCTION("""COMPUTED_VALUE"""),2023)</f>
        <v>2023</v>
      </c>
      <c r="D1465" s="1">
        <f ca="1">IFERROR(__xludf.DUMMYFUNCTION("""COMPUTED_VALUE"""),10963)</f>
        <v>10963</v>
      </c>
      <c r="E1465" s="1" t="str">
        <f ca="1">IFERROR(__xludf.DUMMYFUNCTION("""COMPUTED_VALUE"""),"Journal of World Prehistory")</f>
        <v>Journal of World Prehistory</v>
      </c>
      <c r="F1465" s="1" t="str">
        <f ca="1">IFERROR(__xludf.DUMMYFUNCTION("""COMPUTED_VALUE"""),"1573-7802")</f>
        <v>1573-7802</v>
      </c>
      <c r="G1465" s="1" t="str">
        <f ca="1">IFERROR(__xludf.DUMMYFUNCTION("""COMPUTED_VALUE"""),"0892-7537")</f>
        <v>0892-7537</v>
      </c>
      <c r="H1465" s="27" t="str">
        <f ca="1">IFERROR(__xludf.DUMMYFUNCTION("""COMPUTED_VALUE"""),"https://link.springer.com/journal/10963")</f>
        <v>https://link.springer.com/journal/10963</v>
      </c>
      <c r="I1465" s="1" t="str">
        <f ca="1">IFERROR(__xludf.DUMMYFUNCTION("""COMPUTED_VALUE"""),"Springer")</f>
        <v>Springer</v>
      </c>
      <c r="J1465" s="1">
        <f ca="1">IFERROR(__xludf.DUMMYFUNCTION("""COMPUTED_VALUE"""),2000)</f>
        <v>2000</v>
      </c>
      <c r="K1465" s="1" t="str">
        <f ca="1">IFERROR(__xludf.DUMMYFUNCTION("""COMPUTED_VALUE"""),"Social Sciences")</f>
        <v>Social Sciences</v>
      </c>
      <c r="L1465" s="1" t="str">
        <f ca="1">IFERROR(__xludf.DUMMYFUNCTION("""COMPUTED_VALUE"""),"〇")</f>
        <v>〇</v>
      </c>
      <c r="M1465" s="1" t="str">
        <f ca="1">IFERROR(__xludf.DUMMYFUNCTION("""COMPUTED_VALUE"""),"〇")</f>
        <v>〇</v>
      </c>
      <c r="N1465" s="1"/>
      <c r="O1465" s="1"/>
      <c r="P1465" s="1"/>
    </row>
    <row r="1466" spans="1:16" ht="14.25" customHeight="1" x14ac:dyDescent="0.25">
      <c r="A1466" s="1"/>
      <c r="B1466" s="1">
        <f ca="1"/>
        <v>1454</v>
      </c>
      <c r="C1466" s="1">
        <f ca="1">IFERROR(__xludf.DUMMYFUNCTION("""COMPUTED_VALUE"""),2023)</f>
        <v>2023</v>
      </c>
      <c r="D1466" s="1">
        <f ca="1">IFERROR(__xludf.DUMMYFUNCTION("""COMPUTED_VALUE"""),11595)</f>
        <v>11595</v>
      </c>
      <c r="E1466" s="1" t="str">
        <f ca="1">IFERROR(__xludf.DUMMYFUNCTION("""COMPUTED_VALUE"""),"Journal of Wuhan University of Technology-Mater. Sci. Ed.")</f>
        <v>Journal of Wuhan University of Technology-Mater. Sci. Ed.</v>
      </c>
      <c r="F1466" s="1" t="str">
        <f ca="1">IFERROR(__xludf.DUMMYFUNCTION("""COMPUTED_VALUE"""),"1993-0437")</f>
        <v>1993-0437</v>
      </c>
      <c r="G1466" s="1" t="str">
        <f ca="1">IFERROR(__xludf.DUMMYFUNCTION("""COMPUTED_VALUE"""),"1000-2413")</f>
        <v>1000-2413</v>
      </c>
      <c r="H1466" s="27" t="str">
        <f ca="1">IFERROR(__xludf.DUMMYFUNCTION("""COMPUTED_VALUE"""),"https://link.springer.com/journal/11595")</f>
        <v>https://link.springer.com/journal/11595</v>
      </c>
      <c r="I1466" s="1" t="str">
        <f ca="1">IFERROR(__xludf.DUMMYFUNCTION("""COMPUTED_VALUE"""),"Wuhan University of Technology, co-published with Springer")</f>
        <v>Wuhan University of Technology, co-published with Springer</v>
      </c>
      <c r="J1466" s="1">
        <f ca="1">IFERROR(__xludf.DUMMYFUNCTION("""COMPUTED_VALUE"""),2002)</f>
        <v>2002</v>
      </c>
      <c r="K1466" s="1" t="str">
        <f ca="1">IFERROR(__xludf.DUMMYFUNCTION("""COMPUTED_VALUE"""),"Chemistry and Materials Science")</f>
        <v>Chemistry and Materials Science</v>
      </c>
      <c r="L1466" s="1" t="str">
        <f ca="1">IFERROR(__xludf.DUMMYFUNCTION("""COMPUTED_VALUE"""),"〇")</f>
        <v>〇</v>
      </c>
      <c r="M1466" s="1" t="str">
        <f ca="1">IFERROR(__xludf.DUMMYFUNCTION("""COMPUTED_VALUE"""),"〇")</f>
        <v>〇</v>
      </c>
      <c r="N1466" s="1" t="str">
        <f ca="1">IFERROR(__xludf.DUMMYFUNCTION("""COMPUTED_VALUE"""),"TO7")</f>
        <v>TO7</v>
      </c>
      <c r="O1466" s="1"/>
      <c r="P1466" s="1"/>
    </row>
    <row r="1467" spans="1:16" ht="14.25" customHeight="1" x14ac:dyDescent="0.25">
      <c r="A1467" s="1"/>
      <c r="B1467" s="1">
        <f ca="1"/>
        <v>1455</v>
      </c>
      <c r="C1467" s="1">
        <f ca="1">IFERROR(__xludf.DUMMYFUNCTION("""COMPUTED_VALUE"""),2023)</f>
        <v>2023</v>
      </c>
      <c r="D1467" s="1">
        <f ca="1">IFERROR(__xludf.DUMMYFUNCTION("""COMPUTED_VALUE"""),10964)</f>
        <v>10964</v>
      </c>
      <c r="E1467" s="1" t="str">
        <f ca="1">IFERROR(__xludf.DUMMYFUNCTION("""COMPUTED_VALUE"""),"Journal of Youth and Adolescence")</f>
        <v>Journal of Youth and Adolescence</v>
      </c>
      <c r="F1467" s="1" t="str">
        <f ca="1">IFERROR(__xludf.DUMMYFUNCTION("""COMPUTED_VALUE"""),"1573-6601")</f>
        <v>1573-6601</v>
      </c>
      <c r="G1467" s="1" t="str">
        <f ca="1">IFERROR(__xludf.DUMMYFUNCTION("""COMPUTED_VALUE"""),"0047-2891")</f>
        <v>0047-2891</v>
      </c>
      <c r="H1467" s="27" t="str">
        <f ca="1">IFERROR(__xludf.DUMMYFUNCTION("""COMPUTED_VALUE"""),"https://link.springer.com/journal/10964")</f>
        <v>https://link.springer.com/journal/10964</v>
      </c>
      <c r="I1467" s="1" t="str">
        <f ca="1">IFERROR(__xludf.DUMMYFUNCTION("""COMPUTED_VALUE"""),"Springer")</f>
        <v>Springer</v>
      </c>
      <c r="J1467" s="1">
        <f ca="1">IFERROR(__xludf.DUMMYFUNCTION("""COMPUTED_VALUE"""),2000)</f>
        <v>2000</v>
      </c>
      <c r="K1467" s="1" t="str">
        <f ca="1">IFERROR(__xludf.DUMMYFUNCTION("""COMPUTED_VALUE"""),"Behavioral Science and Psychology")</f>
        <v>Behavioral Science and Psychology</v>
      </c>
      <c r="L1467" s="1" t="str">
        <f ca="1">IFERROR(__xludf.DUMMYFUNCTION("""COMPUTED_VALUE"""),"〇")</f>
        <v>〇</v>
      </c>
      <c r="M1467" s="1" t="str">
        <f ca="1">IFERROR(__xludf.DUMMYFUNCTION("""COMPUTED_VALUE"""),"〇")</f>
        <v>〇</v>
      </c>
      <c r="N1467" s="1"/>
      <c r="O1467" s="1"/>
      <c r="P1467" s="1"/>
    </row>
    <row r="1468" spans="1:16" ht="14.25" customHeight="1" x14ac:dyDescent="0.25">
      <c r="A1468" s="1"/>
      <c r="B1468" s="1">
        <f ca="1"/>
        <v>1456</v>
      </c>
      <c r="C1468" s="1">
        <f ca="1">IFERROR(__xludf.DUMMYFUNCTION("""COMPUTED_VALUE"""),2023)</f>
        <v>2023</v>
      </c>
      <c r="D1468" s="1">
        <f ca="1">IFERROR(__xludf.DUMMYFUNCTION("""COMPUTED_VALUE"""),11582)</f>
        <v>11582</v>
      </c>
      <c r="E1468" s="1" t="str">
        <f ca="1">IFERROR(__xludf.DUMMYFUNCTION("""COMPUTED_VALUE"""),"Journal of Zhejiang University-SCIENCE A")</f>
        <v>Journal of Zhejiang University-SCIENCE A</v>
      </c>
      <c r="F1468" s="1" t="str">
        <f ca="1">IFERROR(__xludf.DUMMYFUNCTION("""COMPUTED_VALUE"""),"1862-1775")</f>
        <v>1862-1775</v>
      </c>
      <c r="G1468" s="1" t="str">
        <f ca="1">IFERROR(__xludf.DUMMYFUNCTION("""COMPUTED_VALUE"""),"1673-565X")</f>
        <v>1673-565X</v>
      </c>
      <c r="H1468" s="27" t="str">
        <f ca="1">IFERROR(__xludf.DUMMYFUNCTION("""COMPUTED_VALUE"""),"https://link.springer.com/journal/11582")</f>
        <v>https://link.springer.com/journal/11582</v>
      </c>
      <c r="I1468" s="1" t="str">
        <f ca="1">IFERROR(__xludf.DUMMYFUNCTION("""COMPUTED_VALUE"""),"Zhejiang University Press, co-published with Springer")</f>
        <v>Zhejiang University Press, co-published with Springer</v>
      </c>
      <c r="J1468" s="1">
        <f ca="1">IFERROR(__xludf.DUMMYFUNCTION("""COMPUTED_VALUE"""),2000)</f>
        <v>2000</v>
      </c>
      <c r="K1468" s="1" t="str">
        <f ca="1">IFERROR(__xludf.DUMMYFUNCTION("""COMPUTED_VALUE"""),"Engineering")</f>
        <v>Engineering</v>
      </c>
      <c r="L1468" s="1" t="str">
        <f ca="1">IFERROR(__xludf.DUMMYFUNCTION("""COMPUTED_VALUE"""),"〇")</f>
        <v>〇</v>
      </c>
      <c r="M1468" s="1" t="str">
        <f ca="1">IFERROR(__xludf.DUMMYFUNCTION("""COMPUTED_VALUE"""),"〇")</f>
        <v>〇</v>
      </c>
      <c r="N1468" s="1"/>
      <c r="O1468" s="1"/>
      <c r="P1468" s="1"/>
    </row>
    <row r="1469" spans="1:16" ht="14.25" customHeight="1" x14ac:dyDescent="0.25">
      <c r="A1469" s="1"/>
      <c r="B1469" s="1">
        <f ca="1"/>
        <v>1457</v>
      </c>
      <c r="C1469" s="1">
        <f ca="1">IFERROR(__xludf.DUMMYFUNCTION("""COMPUTED_VALUE"""),2023)</f>
        <v>2023</v>
      </c>
      <c r="D1469" s="1">
        <f ca="1">IFERROR(__xludf.DUMMYFUNCTION("""COMPUTED_VALUE"""),11585)</f>
        <v>11585</v>
      </c>
      <c r="E1469" s="1" t="str">
        <f ca="1">IFERROR(__xludf.DUMMYFUNCTION("""COMPUTED_VALUE"""),"Journal of Zhejiang University-SCIENCE B")</f>
        <v>Journal of Zhejiang University-SCIENCE B</v>
      </c>
      <c r="F1469" s="1" t="str">
        <f ca="1">IFERROR(__xludf.DUMMYFUNCTION("""COMPUTED_VALUE"""),"1862-1783")</f>
        <v>1862-1783</v>
      </c>
      <c r="G1469" s="1" t="str">
        <f ca="1">IFERROR(__xludf.DUMMYFUNCTION("""COMPUTED_VALUE"""),"1673-1581")</f>
        <v>1673-1581</v>
      </c>
      <c r="H1469" s="27" t="str">
        <f ca="1">IFERROR(__xludf.DUMMYFUNCTION("""COMPUTED_VALUE"""),"https://link.springer.com/journal/11585")</f>
        <v>https://link.springer.com/journal/11585</v>
      </c>
      <c r="I1469" s="1" t="str">
        <f ca="1">IFERROR(__xludf.DUMMYFUNCTION("""COMPUTED_VALUE"""),"Zhejiang University Press, co-published with Springer")</f>
        <v>Zhejiang University Press, co-published with Springer</v>
      </c>
      <c r="J1469" s="1">
        <f ca="1">IFERROR(__xludf.DUMMYFUNCTION("""COMPUTED_VALUE"""),2005)</f>
        <v>2005</v>
      </c>
      <c r="K1469" s="1" t="str">
        <f ca="1">IFERROR(__xludf.DUMMYFUNCTION("""COMPUTED_VALUE"""),"Biomedical and Life Sciences")</f>
        <v>Biomedical and Life Sciences</v>
      </c>
      <c r="L1469" s="1" t="str">
        <f ca="1">IFERROR(__xludf.DUMMYFUNCTION("""COMPUTED_VALUE"""),"〇")</f>
        <v>〇</v>
      </c>
      <c r="M1469" s="1" t="str">
        <f ca="1">IFERROR(__xludf.DUMMYFUNCTION("""COMPUTED_VALUE"""),"〇")</f>
        <v>〇</v>
      </c>
      <c r="N1469" s="1"/>
      <c r="O1469" s="1"/>
      <c r="P1469" s="1"/>
    </row>
    <row r="1470" spans="1:16" ht="14.25" customHeight="1" x14ac:dyDescent="0.25">
      <c r="A1470" s="1"/>
      <c r="B1470" s="1">
        <f ca="1"/>
        <v>1458</v>
      </c>
      <c r="C1470" s="1">
        <f ca="1">IFERROR(__xludf.DUMMYFUNCTION("""COMPUTED_VALUE"""),2023)</f>
        <v>2023</v>
      </c>
      <c r="D1470" s="1">
        <f ca="1">IFERROR(__xludf.DUMMYFUNCTION("""COMPUTED_VALUE"""),12193)</f>
        <v>12193</v>
      </c>
      <c r="E1470" s="1" t="str">
        <f ca="1">IFERROR(__xludf.DUMMYFUNCTION("""COMPUTED_VALUE"""),"Journal on Multimodal User Interfaces")</f>
        <v>Journal on Multimodal User Interfaces</v>
      </c>
      <c r="F1470" s="1" t="str">
        <f ca="1">IFERROR(__xludf.DUMMYFUNCTION("""COMPUTED_VALUE"""),"1783-8738")</f>
        <v>1783-8738</v>
      </c>
      <c r="G1470" s="1" t="str">
        <f ca="1">IFERROR(__xludf.DUMMYFUNCTION("""COMPUTED_VALUE"""),"1783-7677")</f>
        <v>1783-7677</v>
      </c>
      <c r="H1470" s="27" t="str">
        <f ca="1">IFERROR(__xludf.DUMMYFUNCTION("""COMPUTED_VALUE"""),"https://link.springer.com/journal/12193")</f>
        <v>https://link.springer.com/journal/12193</v>
      </c>
      <c r="I1470" s="1" t="str">
        <f ca="1">IFERROR(__xludf.DUMMYFUNCTION("""COMPUTED_VALUE"""),"Springer")</f>
        <v>Springer</v>
      </c>
      <c r="J1470" s="1">
        <f ca="1">IFERROR(__xludf.DUMMYFUNCTION("""COMPUTED_VALUE"""),2007)</f>
        <v>2007</v>
      </c>
      <c r="K1470" s="1" t="str">
        <f ca="1">IFERROR(__xludf.DUMMYFUNCTION("""COMPUTED_VALUE"""),"Computer Science")</f>
        <v>Computer Science</v>
      </c>
      <c r="L1470" s="1" t="str">
        <f ca="1">IFERROR(__xludf.DUMMYFUNCTION("""COMPUTED_VALUE"""),"〇")</f>
        <v>〇</v>
      </c>
      <c r="M1470" s="1" t="str">
        <f ca="1">IFERROR(__xludf.DUMMYFUNCTION("""COMPUTED_VALUE"""),"〇")</f>
        <v>〇</v>
      </c>
      <c r="N1470" s="1" t="str">
        <f ca="1">IFERROR(__xludf.DUMMYFUNCTION("""COMPUTED_VALUE"""),"TO8")</f>
        <v>TO8</v>
      </c>
      <c r="O1470" s="1"/>
      <c r="P1470" s="1"/>
    </row>
    <row r="1471" spans="1:16" ht="14.25" customHeight="1" x14ac:dyDescent="0.25">
      <c r="A1471" s="1"/>
      <c r="B1471" s="1">
        <f ca="1"/>
        <v>1459</v>
      </c>
      <c r="C1471" s="1">
        <f ca="1">IFERROR(__xludf.DUMMYFUNCTION("""COMPUTED_VALUE"""),2023)</f>
        <v>2023</v>
      </c>
      <c r="D1471" s="1">
        <f ca="1">IFERROR(__xludf.DUMMYFUNCTION("""COMPUTED_VALUE"""),764)</f>
        <v>764</v>
      </c>
      <c r="E1471" s="1" t="str">
        <f ca="1">IFERROR(__xludf.DUMMYFUNCTION("""COMPUTED_VALUE"""),"JPC – Journal of Planar Chromatography – Modern TLC")</f>
        <v>JPC – Journal of Planar Chromatography – Modern TLC</v>
      </c>
      <c r="F1471" s="1" t="str">
        <f ca="1">IFERROR(__xludf.DUMMYFUNCTION("""COMPUTED_VALUE"""),"1789-0993")</f>
        <v>1789-0993</v>
      </c>
      <c r="G1471" s="1" t="str">
        <f ca="1">IFERROR(__xludf.DUMMYFUNCTION("""COMPUTED_VALUE"""),"0933-4173")</f>
        <v>0933-4173</v>
      </c>
      <c r="H1471" s="27" t="str">
        <f ca="1">IFERROR(__xludf.DUMMYFUNCTION("""COMPUTED_VALUE"""),"https://link.springer.com/journal/764")</f>
        <v>https://link.springer.com/journal/764</v>
      </c>
      <c r="I1471" s="1" t="str">
        <f ca="1">IFERROR(__xludf.DUMMYFUNCTION("""COMPUTED_VALUE"""),"Akadémiai Kiadó, co-published with Springer")</f>
        <v>Akadémiai Kiadó, co-published with Springer</v>
      </c>
      <c r="J1471" s="1">
        <f ca="1">IFERROR(__xludf.DUMMYFUNCTION("""COMPUTED_VALUE"""),2001)</f>
        <v>2001</v>
      </c>
      <c r="K1471" s="1" t="str">
        <f ca="1">IFERROR(__xludf.DUMMYFUNCTION("""COMPUTED_VALUE"""),"Chemistry and Materials Science")</f>
        <v>Chemistry and Materials Science</v>
      </c>
      <c r="L1471" s="1" t="str">
        <f ca="1">IFERROR(__xludf.DUMMYFUNCTION("""COMPUTED_VALUE"""),"〇")</f>
        <v>〇</v>
      </c>
      <c r="M1471" s="1"/>
      <c r="N1471" s="1" t="str">
        <f ca="1">IFERROR(__xludf.DUMMYFUNCTION("""COMPUTED_VALUE"""),"TO20")</f>
        <v>TO20</v>
      </c>
      <c r="O1471" s="1"/>
      <c r="P1471" s="1"/>
    </row>
    <row r="1472" spans="1:16" ht="14.25" customHeight="1" x14ac:dyDescent="0.25">
      <c r="A1472" s="1"/>
      <c r="B1472" s="1">
        <f ca="1"/>
        <v>1460</v>
      </c>
      <c r="C1472" s="1">
        <f ca="1">IFERROR(__xludf.DUMMYFUNCTION("""COMPUTED_VALUE"""),2023)</f>
        <v>2023</v>
      </c>
      <c r="D1472" s="1">
        <f ca="1">IFERROR(__xludf.DUMMYFUNCTION("""COMPUTED_VALUE"""),42439)</f>
        <v>42439</v>
      </c>
      <c r="E1472" s="1" t="str">
        <f ca="1">IFERROR(__xludf.DUMMYFUNCTION("""COMPUTED_VALUE"""),"Jus Cogens")</f>
        <v>Jus Cogens</v>
      </c>
      <c r="F1472" s="1" t="str">
        <f ca="1">IFERROR(__xludf.DUMMYFUNCTION("""COMPUTED_VALUE"""),"2524-3985")</f>
        <v>2524-3985</v>
      </c>
      <c r="G1472" s="1" t="str">
        <f ca="1">IFERROR(__xludf.DUMMYFUNCTION("""COMPUTED_VALUE"""),"2524-3977")</f>
        <v>2524-3977</v>
      </c>
      <c r="H1472" s="27" t="str">
        <f ca="1">IFERROR(__xludf.DUMMYFUNCTION("""COMPUTED_VALUE"""),"https://link.springer.com/journal/42439")</f>
        <v>https://link.springer.com/journal/42439</v>
      </c>
      <c r="I1472" s="1" t="str">
        <f ca="1">IFERROR(__xludf.DUMMYFUNCTION("""COMPUTED_VALUE"""),"Springer")</f>
        <v>Springer</v>
      </c>
      <c r="J1472" s="1">
        <f ca="1">IFERROR(__xludf.DUMMYFUNCTION("""COMPUTED_VALUE"""),2019)</f>
        <v>2019</v>
      </c>
      <c r="K1472" s="1" t="str">
        <f ca="1">IFERROR(__xludf.DUMMYFUNCTION("""COMPUTED_VALUE"""),"Law and Criminology")</f>
        <v>Law and Criminology</v>
      </c>
      <c r="L1472" s="1" t="str">
        <f ca="1">IFERROR(__xludf.DUMMYFUNCTION("""COMPUTED_VALUE"""),"〇")</f>
        <v>〇</v>
      </c>
      <c r="M1472" s="1"/>
      <c r="N1472" s="1" t="str">
        <f ca="1">IFERROR(__xludf.DUMMYFUNCTION("""COMPUTED_VALUE"""),"SNS19")</f>
        <v>SNS19</v>
      </c>
      <c r="O1472" s="1"/>
      <c r="P1472" s="1"/>
    </row>
    <row r="1473" spans="1:16" ht="14.25" customHeight="1" x14ac:dyDescent="0.25">
      <c r="A1473" s="1"/>
      <c r="B1473" s="1">
        <f ca="1"/>
        <v>1461</v>
      </c>
      <c r="C1473" s="1">
        <f ca="1">IFERROR(__xludf.DUMMYFUNCTION("""COMPUTED_VALUE"""),2023)</f>
        <v>2023</v>
      </c>
      <c r="D1473" s="1">
        <f ca="1">IFERROR(__xludf.DUMMYFUNCTION("""COMPUTED_VALUE"""),42410)</f>
        <v>42410</v>
      </c>
      <c r="E1473" s="1" t="str">
        <f ca="1">IFERROR(__xludf.DUMMYFUNCTION("""COMPUTED_VALUE"""),"Keramische Zeitschrift")</f>
        <v>Keramische Zeitschrift</v>
      </c>
      <c r="F1473" s="1" t="str">
        <f ca="1">IFERROR(__xludf.DUMMYFUNCTION("""COMPUTED_VALUE"""),"2523-8949")</f>
        <v>2523-8949</v>
      </c>
      <c r="G1473" s="1" t="str">
        <f ca="1">IFERROR(__xludf.DUMMYFUNCTION("""COMPUTED_VALUE"""),"0023-0561")</f>
        <v>0023-0561</v>
      </c>
      <c r="H1473" s="27" t="str">
        <f ca="1">IFERROR(__xludf.DUMMYFUNCTION("""COMPUTED_VALUE"""),"https://link.springer.com/journal/42410")</f>
        <v>https://link.springer.com/journal/42410</v>
      </c>
      <c r="I1473" s="1" t="str">
        <f ca="1">IFERROR(__xludf.DUMMYFUNCTION("""COMPUTED_VALUE"""),"Springer Vieweg")</f>
        <v>Springer Vieweg</v>
      </c>
      <c r="J1473" s="1">
        <f ca="1">IFERROR(__xludf.DUMMYFUNCTION("""COMPUTED_VALUE"""),2014)</f>
        <v>2014</v>
      </c>
      <c r="K1473" s="1" t="str">
        <f ca="1">IFERROR(__xludf.DUMMYFUNCTION("""COMPUTED_VALUE"""),"Chemistry and Materials Science")</f>
        <v>Chemistry and Materials Science</v>
      </c>
      <c r="L1473" s="1" t="str">
        <f ca="1">IFERROR(__xludf.DUMMYFUNCTION("""COMPUTED_VALUE"""),"〇")</f>
        <v>〇</v>
      </c>
      <c r="M1473" s="1"/>
      <c r="N1473" s="1" t="str">
        <f ca="1">IFERROR(__xludf.DUMMYFUNCTION("""COMPUTED_VALUE"""),"TO18")</f>
        <v>TO18</v>
      </c>
      <c r="O1473" s="1"/>
      <c r="P1473" s="1"/>
    </row>
    <row r="1474" spans="1:16" ht="14.25" customHeight="1" x14ac:dyDescent="0.25">
      <c r="A1474" s="1"/>
      <c r="B1474" s="1">
        <f ca="1"/>
        <v>1462</v>
      </c>
      <c r="C1474" s="1">
        <f ca="1">IFERROR(__xludf.DUMMYFUNCTION("""COMPUTED_VALUE"""),2023)</f>
        <v>2023</v>
      </c>
      <c r="D1474" s="1">
        <f ca="1">IFERROR(__xludf.DUMMYFUNCTION("""COMPUTED_VALUE"""),12225)</f>
        <v>12225</v>
      </c>
      <c r="E1474" s="1" t="str">
        <f ca="1">IFERROR(__xludf.DUMMYFUNCTION("""COMPUTED_VALUE"""),"Kew Bulletin")</f>
        <v>Kew Bulletin</v>
      </c>
      <c r="F1474" s="1" t="str">
        <f ca="1">IFERROR(__xludf.DUMMYFUNCTION("""COMPUTED_VALUE"""),"1874-933X")</f>
        <v>1874-933X</v>
      </c>
      <c r="G1474" s="1" t="str">
        <f ca="1">IFERROR(__xludf.DUMMYFUNCTION("""COMPUTED_VALUE"""),"0075-5974")</f>
        <v>0075-5974</v>
      </c>
      <c r="H1474" s="27" t="str">
        <f ca="1">IFERROR(__xludf.DUMMYFUNCTION("""COMPUTED_VALUE"""),"https://link.springer.com/journal/12225")</f>
        <v>https://link.springer.com/journal/12225</v>
      </c>
      <c r="I1474" s="1" t="str">
        <f ca="1">IFERROR(__xludf.DUMMYFUNCTION("""COMPUTED_VALUE"""),"Springer")</f>
        <v>Springer</v>
      </c>
      <c r="J1474" s="1">
        <f ca="1">IFERROR(__xludf.DUMMYFUNCTION("""COMPUTED_VALUE"""),2008)</f>
        <v>2008</v>
      </c>
      <c r="K1474" s="1" t="str">
        <f ca="1">IFERROR(__xludf.DUMMYFUNCTION("""COMPUTED_VALUE"""),"Biomedical and Life Sciences")</f>
        <v>Biomedical and Life Sciences</v>
      </c>
      <c r="L1474" s="1" t="str">
        <f ca="1">IFERROR(__xludf.DUMMYFUNCTION("""COMPUTED_VALUE"""),"〇")</f>
        <v>〇</v>
      </c>
      <c r="M1474" s="1" t="str">
        <f ca="1">IFERROR(__xludf.DUMMYFUNCTION("""COMPUTED_VALUE"""),"〇")</f>
        <v>〇</v>
      </c>
      <c r="N1474" s="1" t="str">
        <f ca="1">IFERROR(__xludf.DUMMYFUNCTION("""COMPUTED_VALUE"""),"TO8")</f>
        <v>TO8</v>
      </c>
      <c r="O1474" s="1"/>
      <c r="P1474" s="1"/>
    </row>
    <row r="1475" spans="1:16" ht="14.25" customHeight="1" x14ac:dyDescent="0.25">
      <c r="A1475" s="1"/>
      <c r="B1475" s="1">
        <f ca="1"/>
        <v>1463</v>
      </c>
      <c r="C1475" s="1">
        <f ca="1">IFERROR(__xludf.DUMMYFUNCTION("""COMPUTED_VALUE"""),2023)</f>
        <v>2023</v>
      </c>
      <c r="D1475" s="1">
        <f ca="1">IFERROR(__xludf.DUMMYFUNCTION("""COMPUTED_VALUE"""),13218)</f>
        <v>13218</v>
      </c>
      <c r="E1475" s="1" t="str">
        <f ca="1">IFERROR(__xludf.DUMMYFUNCTION("""COMPUTED_VALUE"""),"KI - Künstliche Intelligenz")</f>
        <v>KI - Künstliche Intelligenz</v>
      </c>
      <c r="F1475" s="1" t="str">
        <f ca="1">IFERROR(__xludf.DUMMYFUNCTION("""COMPUTED_VALUE"""),"1610-1987")</f>
        <v>1610-1987</v>
      </c>
      <c r="G1475" s="1" t="str">
        <f ca="1">IFERROR(__xludf.DUMMYFUNCTION("""COMPUTED_VALUE"""),"0933-1875")</f>
        <v>0933-1875</v>
      </c>
      <c r="H1475" s="27" t="str">
        <f ca="1">IFERROR(__xludf.DUMMYFUNCTION("""COMPUTED_VALUE"""),"https://link.springer.com/journal/13218")</f>
        <v>https://link.springer.com/journal/13218</v>
      </c>
      <c r="I1475" s="1" t="str">
        <f ca="1">IFERROR(__xludf.DUMMYFUNCTION("""COMPUTED_VALUE"""),"Springer")</f>
        <v>Springer</v>
      </c>
      <c r="J1475" s="1">
        <f ca="1">IFERROR(__xludf.DUMMYFUNCTION("""COMPUTED_VALUE"""),2010)</f>
        <v>2010</v>
      </c>
      <c r="K1475" s="1" t="str">
        <f ca="1">IFERROR(__xludf.DUMMYFUNCTION("""COMPUTED_VALUE"""),"Computer Science")</f>
        <v>Computer Science</v>
      </c>
      <c r="L1475" s="1" t="str">
        <f ca="1">IFERROR(__xludf.DUMMYFUNCTION("""COMPUTED_VALUE"""),"〇")</f>
        <v>〇</v>
      </c>
      <c r="M1475" s="1"/>
      <c r="N1475" s="1" t="str">
        <f ca="1">IFERROR(__xludf.DUMMYFUNCTION("""COMPUTED_VALUE"""),"TO10")</f>
        <v>TO10</v>
      </c>
      <c r="O1475" s="1"/>
      <c r="P1475" s="1"/>
    </row>
    <row r="1476" spans="1:16" ht="14.25" customHeight="1" x14ac:dyDescent="0.25">
      <c r="A1476" s="1"/>
      <c r="B1476" s="1">
        <f ca="1"/>
        <v>1464</v>
      </c>
      <c r="C1476" s="1">
        <f ca="1">IFERROR(__xludf.DUMMYFUNCTION("""COMPUTED_VALUE"""),2023)</f>
        <v>2023</v>
      </c>
      <c r="D1476" s="1">
        <f ca="1">IFERROR(__xludf.DUMMYFUNCTION("""COMPUTED_VALUE"""),11963)</f>
        <v>11963</v>
      </c>
      <c r="E1476" s="1" t="str">
        <f ca="1">IFERROR(__xludf.DUMMYFUNCTION("""COMPUTED_VALUE"""),"Kinematics and Physics of Celestial Bodies")</f>
        <v>Kinematics and Physics of Celestial Bodies</v>
      </c>
      <c r="F1476" s="1" t="str">
        <f ca="1">IFERROR(__xludf.DUMMYFUNCTION("""COMPUTED_VALUE"""),"1934-8401")</f>
        <v>1934-8401</v>
      </c>
      <c r="G1476" s="1" t="str">
        <f ca="1">IFERROR(__xludf.DUMMYFUNCTION("""COMPUTED_VALUE"""),"0884-5913")</f>
        <v>0884-5913</v>
      </c>
      <c r="H1476" s="27" t="str">
        <f ca="1">IFERROR(__xludf.DUMMYFUNCTION("""COMPUTED_VALUE"""),"https://link.springer.com/journal/11963")</f>
        <v>https://link.springer.com/journal/11963</v>
      </c>
      <c r="I1476" s="1" t="str">
        <f ca="1">IFERROR(__xludf.DUMMYFUNCTION("""COMPUTED_VALUE"""),"Pleiades Publishing")</f>
        <v>Pleiades Publishing</v>
      </c>
      <c r="J1476" s="1">
        <f ca="1">IFERROR(__xludf.DUMMYFUNCTION("""COMPUTED_VALUE"""),2007)</f>
        <v>2007</v>
      </c>
      <c r="K1476" s="1" t="str">
        <f ca="1">IFERROR(__xludf.DUMMYFUNCTION("""COMPUTED_VALUE"""),"Physics and Astronomy")</f>
        <v>Physics and Astronomy</v>
      </c>
      <c r="L1476" s="1" t="str">
        <f ca="1">IFERROR(__xludf.DUMMYFUNCTION("""COMPUTED_VALUE"""),"〇")</f>
        <v>〇</v>
      </c>
      <c r="M1476" s="1" t="str">
        <f ca="1">IFERROR(__xludf.DUMMYFUNCTION("""COMPUTED_VALUE"""),"〇")</f>
        <v>〇</v>
      </c>
      <c r="N1476" s="1" t="str">
        <f ca="1">IFERROR(__xludf.DUMMYFUNCTION("""COMPUTED_VALUE"""),"TO7")</f>
        <v>TO7</v>
      </c>
      <c r="O1476" s="1"/>
      <c r="P1476" s="1"/>
    </row>
    <row r="1477" spans="1:16" ht="14.25" customHeight="1" x14ac:dyDescent="0.25">
      <c r="A1477" s="1"/>
      <c r="B1477" s="1">
        <f ca="1"/>
        <v>1465</v>
      </c>
      <c r="C1477" s="1">
        <f ca="1">IFERROR(__xludf.DUMMYFUNCTION("""COMPUTED_VALUE"""),2023)</f>
        <v>2023</v>
      </c>
      <c r="D1477" s="1">
        <f ca="1">IFERROR(__xludf.DUMMYFUNCTION("""COMPUTED_VALUE"""),10975)</f>
        <v>10975</v>
      </c>
      <c r="E1477" s="1" t="str">
        <f ca="1">IFERROR(__xludf.DUMMYFUNCTION("""COMPUTED_VALUE"""),"Kinetics and Catalysis")</f>
        <v>Kinetics and Catalysis</v>
      </c>
      <c r="F1477" s="1" t="str">
        <f ca="1">IFERROR(__xludf.DUMMYFUNCTION("""COMPUTED_VALUE"""),"1608-3210")</f>
        <v>1608-3210</v>
      </c>
      <c r="G1477" s="1" t="str">
        <f ca="1">IFERROR(__xludf.DUMMYFUNCTION("""COMPUTED_VALUE"""),"0023-1584")</f>
        <v>0023-1584</v>
      </c>
      <c r="H1477" s="27" t="str">
        <f ca="1">IFERROR(__xludf.DUMMYFUNCTION("""COMPUTED_VALUE"""),"https://link.springer.com/journal/10975")</f>
        <v>https://link.springer.com/journal/10975</v>
      </c>
      <c r="I1477" s="1" t="str">
        <f ca="1">IFERROR(__xludf.DUMMYFUNCTION("""COMPUTED_VALUE"""),"Pleiades Publishing")</f>
        <v>Pleiades Publishing</v>
      </c>
      <c r="J1477" s="1">
        <f ca="1">IFERROR(__xludf.DUMMYFUNCTION("""COMPUTED_VALUE"""),2000)</f>
        <v>2000</v>
      </c>
      <c r="K1477" s="1" t="str">
        <f ca="1">IFERROR(__xludf.DUMMYFUNCTION("""COMPUTED_VALUE"""),"Chemistry and Materials Science")</f>
        <v>Chemistry and Materials Science</v>
      </c>
      <c r="L1477" s="1" t="str">
        <f ca="1">IFERROR(__xludf.DUMMYFUNCTION("""COMPUTED_VALUE"""),"〇")</f>
        <v>〇</v>
      </c>
      <c r="M1477" s="1" t="str">
        <f ca="1">IFERROR(__xludf.DUMMYFUNCTION("""COMPUTED_VALUE"""),"〇")</f>
        <v>〇</v>
      </c>
      <c r="N1477" s="1"/>
      <c r="O1477" s="1"/>
      <c r="P1477" s="1"/>
    </row>
    <row r="1478" spans="1:16" ht="14.25" customHeight="1" x14ac:dyDescent="0.25">
      <c r="A1478" s="1"/>
      <c r="B1478" s="1">
        <f ca="1"/>
        <v>1466</v>
      </c>
      <c r="C1478" s="1">
        <f ca="1">IFERROR(__xludf.DUMMYFUNCTION("""COMPUTED_VALUE"""),2023)</f>
        <v>2023</v>
      </c>
      <c r="D1478" s="1">
        <f ca="1">IFERROR(__xludf.DUMMYFUNCTION("""COMPUTED_VALUE"""),42489)</f>
        <v>42489</v>
      </c>
      <c r="E1478" s="1" t="str">
        <f ca="1">IFERROR(__xludf.DUMMYFUNCTION("""COMPUTED_VALUE"""),"KN - Journal of Cartography and Geographic Information")</f>
        <v>KN - Journal of Cartography and Geographic Information</v>
      </c>
      <c r="F1478" s="1" t="str">
        <f ca="1">IFERROR(__xludf.DUMMYFUNCTION("""COMPUTED_VALUE"""),"2524-4965")</f>
        <v>2524-4965</v>
      </c>
      <c r="G1478" s="1" t="str">
        <f ca="1">IFERROR(__xludf.DUMMYFUNCTION("""COMPUTED_VALUE"""),"2524-4957")</f>
        <v>2524-4957</v>
      </c>
      <c r="H1478" s="27" t="str">
        <f ca="1">IFERROR(__xludf.DUMMYFUNCTION("""COMPUTED_VALUE"""),"https://link.springer.com/journal/42489")</f>
        <v>https://link.springer.com/journal/42489</v>
      </c>
      <c r="I1478" s="1" t="str">
        <f ca="1">IFERROR(__xludf.DUMMYFUNCTION("""COMPUTED_VALUE"""),"Springer")</f>
        <v>Springer</v>
      </c>
      <c r="J1478" s="1">
        <f ca="1">IFERROR(__xludf.DUMMYFUNCTION("""COMPUTED_VALUE"""),2000)</f>
        <v>2000</v>
      </c>
      <c r="K1478" s="1" t="str">
        <f ca="1">IFERROR(__xludf.DUMMYFUNCTION("""COMPUTED_VALUE"""),"Earth and Environmental Science")</f>
        <v>Earth and Environmental Science</v>
      </c>
      <c r="L1478" s="1" t="str">
        <f ca="1">IFERROR(__xludf.DUMMYFUNCTION("""COMPUTED_VALUE"""),"〇")</f>
        <v>〇</v>
      </c>
      <c r="M1478" s="1"/>
      <c r="N1478" s="1" t="str">
        <f ca="1">IFERROR(__xludf.DUMMYFUNCTION("""COMPUTED_VALUE"""),"TO19")</f>
        <v>TO19</v>
      </c>
      <c r="O1478" s="1"/>
      <c r="P1478" s="1"/>
    </row>
    <row r="1479" spans="1:16" ht="14.25" customHeight="1" x14ac:dyDescent="0.25">
      <c r="A1479" s="1"/>
      <c r="B1479" s="1">
        <f ca="1"/>
        <v>1467</v>
      </c>
      <c r="C1479" s="1">
        <f ca="1">IFERROR(__xludf.DUMMYFUNCTION("""COMPUTED_VALUE"""),2023)</f>
        <v>2023</v>
      </c>
      <c r="D1479" s="1">
        <f ca="1">IFERROR(__xludf.DUMMYFUNCTION("""COMPUTED_VALUE"""),167)</f>
        <v>167</v>
      </c>
      <c r="E1479" s="1" t="str">
        <f ca="1">IFERROR(__xludf.DUMMYFUNCTION("""COMPUTED_VALUE"""),"Knee Surgery, Sports Traumatology, Arthroscopy")</f>
        <v>Knee Surgery, Sports Traumatology, Arthroscopy</v>
      </c>
      <c r="F1479" s="1" t="str">
        <f ca="1">IFERROR(__xludf.DUMMYFUNCTION("""COMPUTED_VALUE"""),"1433-7347")</f>
        <v>1433-7347</v>
      </c>
      <c r="G1479" s="1" t="str">
        <f ca="1">IFERROR(__xludf.DUMMYFUNCTION("""COMPUTED_VALUE"""),"0942-2056")</f>
        <v>0942-2056</v>
      </c>
      <c r="H1479" s="27" t="str">
        <f ca="1">IFERROR(__xludf.DUMMYFUNCTION("""COMPUTED_VALUE"""),"https://link.springer.com/journal/167")</f>
        <v>https://link.springer.com/journal/167</v>
      </c>
      <c r="I1479" s="1" t="str">
        <f ca="1">IFERROR(__xludf.DUMMYFUNCTION("""COMPUTED_VALUE"""),"Springer")</f>
        <v>Springer</v>
      </c>
      <c r="J1479" s="1">
        <f ca="1">IFERROR(__xludf.DUMMYFUNCTION("""COMPUTED_VALUE"""),2000)</f>
        <v>2000</v>
      </c>
      <c r="K1479" s="1" t="str">
        <f ca="1">IFERROR(__xludf.DUMMYFUNCTION("""COMPUTED_VALUE"""),"Medicine")</f>
        <v>Medicine</v>
      </c>
      <c r="L1479" s="1" t="str">
        <f ca="1">IFERROR(__xludf.DUMMYFUNCTION("""COMPUTED_VALUE"""),"〇")</f>
        <v>〇</v>
      </c>
      <c r="M1479" s="1" t="str">
        <f ca="1">IFERROR(__xludf.DUMMYFUNCTION("""COMPUTED_VALUE"""),"〇")</f>
        <v>〇</v>
      </c>
      <c r="N1479" s="1"/>
      <c r="O1479" s="1"/>
      <c r="P1479" s="1"/>
    </row>
    <row r="1480" spans="1:16" ht="14.25" customHeight="1" x14ac:dyDescent="0.25">
      <c r="A1480" s="1"/>
      <c r="B1480" s="1">
        <f ca="1"/>
        <v>1468</v>
      </c>
      <c r="C1480" s="1">
        <f ca="1">IFERROR(__xludf.DUMMYFUNCTION("""COMPUTED_VALUE"""),2023)</f>
        <v>2023</v>
      </c>
      <c r="D1480" s="1">
        <f ca="1">IFERROR(__xludf.DUMMYFUNCTION("""COMPUTED_VALUE"""),43205)</f>
        <v>43205</v>
      </c>
      <c r="E1480" s="1" t="str">
        <f ca="1">IFERROR(__xludf.DUMMYFUNCTION("""COMPUTED_VALUE"""),"Knie Journal")</f>
        <v>Knie Journal</v>
      </c>
      <c r="F1480" s="1" t="str">
        <f ca="1">IFERROR(__xludf.DUMMYFUNCTION("""COMPUTED_VALUE"""),"2662-4036")</f>
        <v>2662-4036</v>
      </c>
      <c r="G1480" s="1" t="str">
        <f ca="1">IFERROR(__xludf.DUMMYFUNCTION("""COMPUTED_VALUE"""),"2662-4028")</f>
        <v>2662-4028</v>
      </c>
      <c r="H1480" s="27" t="str">
        <f ca="1">IFERROR(__xludf.DUMMYFUNCTION("""COMPUTED_VALUE"""),"https://link.springer.com/journal/43205")</f>
        <v>https://link.springer.com/journal/43205</v>
      </c>
      <c r="I1480" s="1" t="str">
        <f ca="1">IFERROR(__xludf.DUMMYFUNCTION("""COMPUTED_VALUE"""),"SpringerMedizin")</f>
        <v>SpringerMedizin</v>
      </c>
      <c r="J1480" s="1">
        <f ca="1">IFERROR(__xludf.DUMMYFUNCTION("""COMPUTED_VALUE"""),2019)</f>
        <v>2019</v>
      </c>
      <c r="K1480" s="1" t="str">
        <f ca="1">IFERROR(__xludf.DUMMYFUNCTION("""COMPUTED_VALUE"""),"Medicine")</f>
        <v>Medicine</v>
      </c>
      <c r="L1480" s="1" t="str">
        <f ca="1">IFERROR(__xludf.DUMMYFUNCTION("""COMPUTED_VALUE"""),"〇")</f>
        <v>〇</v>
      </c>
      <c r="M1480" s="1"/>
      <c r="N1480" s="1" t="str">
        <f ca="1">IFERROR(__xludf.DUMMYFUNCTION("""COMPUTED_VALUE"""),"SNS19")</f>
        <v>SNS19</v>
      </c>
      <c r="O1480" s="1"/>
      <c r="P1480" s="1"/>
    </row>
    <row r="1481" spans="1:16" ht="14.25" customHeight="1" x14ac:dyDescent="0.25">
      <c r="A1481" s="1"/>
      <c r="B1481" s="1">
        <f ca="1"/>
        <v>1469</v>
      </c>
      <c r="C1481" s="1">
        <f ca="1">IFERROR(__xludf.DUMMYFUNCTION("""COMPUTED_VALUE"""),2023)</f>
        <v>2023</v>
      </c>
      <c r="D1481" s="1">
        <f ca="1">IFERROR(__xludf.DUMMYFUNCTION("""COMPUTED_VALUE"""),10115)</f>
        <v>10115</v>
      </c>
      <c r="E1481" s="1" t="str">
        <f ca="1">IFERROR(__xludf.DUMMYFUNCTION("""COMPUTED_VALUE"""),"Knowledge and Information Systems")</f>
        <v>Knowledge and Information Systems</v>
      </c>
      <c r="F1481" s="1" t="str">
        <f ca="1">IFERROR(__xludf.DUMMYFUNCTION("""COMPUTED_VALUE"""),"0219-3116")</f>
        <v>0219-3116</v>
      </c>
      <c r="G1481" s="1" t="str">
        <f ca="1">IFERROR(__xludf.DUMMYFUNCTION("""COMPUTED_VALUE"""),"0219-1377")</f>
        <v>0219-1377</v>
      </c>
      <c r="H1481" s="27" t="str">
        <f ca="1">IFERROR(__xludf.DUMMYFUNCTION("""COMPUTED_VALUE"""),"https://link.springer.com/journal/10115")</f>
        <v>https://link.springer.com/journal/10115</v>
      </c>
      <c r="I1481" s="1" t="str">
        <f ca="1">IFERROR(__xludf.DUMMYFUNCTION("""COMPUTED_VALUE"""),"Springer")</f>
        <v>Springer</v>
      </c>
      <c r="J1481" s="1">
        <f ca="1">IFERROR(__xludf.DUMMYFUNCTION("""COMPUTED_VALUE"""),2000)</f>
        <v>2000</v>
      </c>
      <c r="K1481" s="1" t="str">
        <f ca="1">IFERROR(__xludf.DUMMYFUNCTION("""COMPUTED_VALUE"""),"Computer Science")</f>
        <v>Computer Science</v>
      </c>
      <c r="L1481" s="1" t="str">
        <f ca="1">IFERROR(__xludf.DUMMYFUNCTION("""COMPUTED_VALUE"""),"〇")</f>
        <v>〇</v>
      </c>
      <c r="M1481" s="1" t="str">
        <f ca="1">IFERROR(__xludf.DUMMYFUNCTION("""COMPUTED_VALUE"""),"〇")</f>
        <v>〇</v>
      </c>
      <c r="N1481" s="1"/>
      <c r="O1481" s="1"/>
      <c r="P1481" s="1"/>
    </row>
    <row r="1482" spans="1:16" ht="14.25" customHeight="1" x14ac:dyDescent="0.25">
      <c r="A1482" s="1"/>
      <c r="B1482" s="1">
        <f ca="1"/>
        <v>1470</v>
      </c>
      <c r="C1482" s="1">
        <f ca="1">IFERROR(__xludf.DUMMYFUNCTION("""COMPUTED_VALUE"""),2023)</f>
        <v>2023</v>
      </c>
      <c r="D1482" s="1">
        <f ca="1">IFERROR(__xludf.DUMMYFUNCTION("""COMPUTED_VALUE"""),13367)</f>
        <v>13367</v>
      </c>
      <c r="E1482" s="1" t="str">
        <f ca="1">IFERROR(__xludf.DUMMYFUNCTION("""COMPUTED_VALUE"""),"Korea-Australia Rheology Journal")</f>
        <v>Korea-Australia Rheology Journal</v>
      </c>
      <c r="F1482" s="1" t="str">
        <f ca="1">IFERROR(__xludf.DUMMYFUNCTION("""COMPUTED_VALUE"""),"2093-7660")</f>
        <v>2093-7660</v>
      </c>
      <c r="G1482" s="1" t="str">
        <f ca="1">IFERROR(__xludf.DUMMYFUNCTION("""COMPUTED_VALUE"""),"1226-119X")</f>
        <v>1226-119X</v>
      </c>
      <c r="H1482" s="27" t="str">
        <f ca="1">IFERROR(__xludf.DUMMYFUNCTION("""COMPUTED_VALUE"""),"https://link.springer.com/journal/13367")</f>
        <v>https://link.springer.com/journal/13367</v>
      </c>
      <c r="I1482" s="1" t="str">
        <f ca="1">IFERROR(__xludf.DUMMYFUNCTION("""COMPUTED_VALUE"""),"Korean Society of Rheology, Australian Society of Rheology, co-published with Springer")</f>
        <v>Korean Society of Rheology, Australian Society of Rheology, co-published with Springer</v>
      </c>
      <c r="J1482" s="1">
        <f ca="1">IFERROR(__xludf.DUMMYFUNCTION("""COMPUTED_VALUE"""),2011)</f>
        <v>2011</v>
      </c>
      <c r="K1482" s="1" t="str">
        <f ca="1">IFERROR(__xludf.DUMMYFUNCTION("""COMPUTED_VALUE"""),"Chemistry and Materials Science")</f>
        <v>Chemistry and Materials Science</v>
      </c>
      <c r="L1482" s="1" t="str">
        <f ca="1">IFERROR(__xludf.DUMMYFUNCTION("""COMPUTED_VALUE"""),"〇")</f>
        <v>〇</v>
      </c>
      <c r="M1482" s="1"/>
      <c r="N1482" s="1" t="str">
        <f ca="1">IFERROR(__xludf.DUMMYFUNCTION("""COMPUTED_VALUE"""),"TO11")</f>
        <v>TO11</v>
      </c>
      <c r="O1482" s="1"/>
      <c r="P1482" s="1"/>
    </row>
    <row r="1483" spans="1:16" ht="14.25" customHeight="1" x14ac:dyDescent="0.25">
      <c r="A1483" s="1"/>
      <c r="B1483" s="1">
        <f ca="1"/>
        <v>1471</v>
      </c>
      <c r="C1483" s="1">
        <f ca="1">IFERROR(__xludf.DUMMYFUNCTION("""COMPUTED_VALUE"""),2023)</f>
        <v>2023</v>
      </c>
      <c r="D1483" s="1">
        <f ca="1">IFERROR(__xludf.DUMMYFUNCTION("""COMPUTED_VALUE"""),11814)</f>
        <v>11814</v>
      </c>
      <c r="E1483" s="1" t="str">
        <f ca="1">IFERROR(__xludf.DUMMYFUNCTION("""COMPUTED_VALUE"""),"Korean Journal of Chemical Engineering")</f>
        <v>Korean Journal of Chemical Engineering</v>
      </c>
      <c r="F1483" s="1" t="str">
        <f ca="1">IFERROR(__xludf.DUMMYFUNCTION("""COMPUTED_VALUE"""),"1975-7220")</f>
        <v>1975-7220</v>
      </c>
      <c r="G1483" s="1" t="str">
        <f ca="1">IFERROR(__xludf.DUMMYFUNCTION("""COMPUTED_VALUE"""),"0256-1115")</f>
        <v>0256-1115</v>
      </c>
      <c r="H1483" s="27" t="str">
        <f ca="1">IFERROR(__xludf.DUMMYFUNCTION("""COMPUTED_VALUE"""),"https://link.springer.com/journal/11814")</f>
        <v>https://link.springer.com/journal/11814</v>
      </c>
      <c r="I1483" s="1" t="str">
        <f ca="1">IFERROR(__xludf.DUMMYFUNCTION("""COMPUTED_VALUE"""),"Springer")</f>
        <v>Springer</v>
      </c>
      <c r="J1483" s="1">
        <f ca="1">IFERROR(__xludf.DUMMYFUNCTION("""COMPUTED_VALUE"""),2000)</f>
        <v>2000</v>
      </c>
      <c r="K1483" s="1" t="str">
        <f ca="1">IFERROR(__xludf.DUMMYFUNCTION("""COMPUTED_VALUE"""),"Chemistry and Materials Science")</f>
        <v>Chemistry and Materials Science</v>
      </c>
      <c r="L1483" s="1" t="str">
        <f ca="1">IFERROR(__xludf.DUMMYFUNCTION("""COMPUTED_VALUE"""),"〇")</f>
        <v>〇</v>
      </c>
      <c r="M1483" s="1" t="str">
        <f ca="1">IFERROR(__xludf.DUMMYFUNCTION("""COMPUTED_VALUE"""),"〇")</f>
        <v>〇</v>
      </c>
      <c r="N1483" s="1" t="str">
        <f ca="1">IFERROR(__xludf.DUMMYFUNCTION("""COMPUTED_VALUE"""),"TO7")</f>
        <v>TO7</v>
      </c>
      <c r="O1483" s="1"/>
      <c r="P1483" s="1"/>
    </row>
    <row r="1484" spans="1:16" ht="14.25" customHeight="1" x14ac:dyDescent="0.25">
      <c r="A1484" s="1"/>
      <c r="B1484" s="1">
        <f ca="1"/>
        <v>1472</v>
      </c>
      <c r="C1484" s="1">
        <f ca="1">IFERROR(__xludf.DUMMYFUNCTION("""COMPUTED_VALUE"""),2023)</f>
        <v>2023</v>
      </c>
      <c r="D1484" s="1">
        <f ca="1">IFERROR(__xludf.DUMMYFUNCTION("""COMPUTED_VALUE"""),12205)</f>
        <v>12205</v>
      </c>
      <c r="E1484" s="1" t="str">
        <f ca="1">IFERROR(__xludf.DUMMYFUNCTION("""COMPUTED_VALUE"""),"KSCE Journal of Civil Engineering")</f>
        <v>KSCE Journal of Civil Engineering</v>
      </c>
      <c r="F1484" s="1" t="str">
        <f ca="1">IFERROR(__xludf.DUMMYFUNCTION("""COMPUTED_VALUE"""),"1976-3808")</f>
        <v>1976-3808</v>
      </c>
      <c r="G1484" s="1" t="str">
        <f ca="1">IFERROR(__xludf.DUMMYFUNCTION("""COMPUTED_VALUE"""),"1226-7988")</f>
        <v>1226-7988</v>
      </c>
      <c r="H1484" s="27" t="str">
        <f ca="1">IFERROR(__xludf.DUMMYFUNCTION("""COMPUTED_VALUE"""),"https://link.springer.com/journal/12205")</f>
        <v>https://link.springer.com/journal/12205</v>
      </c>
      <c r="I1484" s="1" t="str">
        <f ca="1">IFERROR(__xludf.DUMMYFUNCTION("""COMPUTED_VALUE"""),"Korean Society of Civil Engineers, co-published with Springer")</f>
        <v>Korean Society of Civil Engineers, co-published with Springer</v>
      </c>
      <c r="J1484" s="1">
        <f ca="1">IFERROR(__xludf.DUMMYFUNCTION("""COMPUTED_VALUE"""),2000)</f>
        <v>2000</v>
      </c>
      <c r="K1484" s="1" t="str">
        <f ca="1">IFERROR(__xludf.DUMMYFUNCTION("""COMPUTED_VALUE"""),"Engineering")</f>
        <v>Engineering</v>
      </c>
      <c r="L1484" s="1" t="str">
        <f ca="1">IFERROR(__xludf.DUMMYFUNCTION("""COMPUTED_VALUE"""),"〇")</f>
        <v>〇</v>
      </c>
      <c r="M1484" s="1" t="str">
        <f ca="1">IFERROR(__xludf.DUMMYFUNCTION("""COMPUTED_VALUE"""),"〇")</f>
        <v>〇</v>
      </c>
      <c r="N1484" s="1" t="str">
        <f ca="1">IFERROR(__xludf.DUMMYFUNCTION("""COMPUTED_VALUE"""),"TO8")</f>
        <v>TO8</v>
      </c>
      <c r="O1484" s="1"/>
      <c r="P1484" s="1"/>
    </row>
    <row r="1485" spans="1:16" ht="14.25" customHeight="1" x14ac:dyDescent="0.25">
      <c r="A1485" s="1"/>
      <c r="B1485" s="1">
        <f ca="1"/>
        <v>1473</v>
      </c>
      <c r="C1485" s="1">
        <f ca="1">IFERROR(__xludf.DUMMYFUNCTION("""COMPUTED_VALUE"""),2023)</f>
        <v>2023</v>
      </c>
      <c r="D1485" s="1">
        <f ca="1">IFERROR(__xludf.DUMMYFUNCTION("""COMPUTED_VALUE"""),11577)</f>
        <v>11577</v>
      </c>
      <c r="E1485" s="1" t="str">
        <f ca="1">IFERROR(__xludf.DUMMYFUNCTION("""COMPUTED_VALUE"""),"KZfSS Kölner Zeitschrift für Soziologie und Sozialpsychologie")</f>
        <v>KZfSS Kölner Zeitschrift für Soziologie und Sozialpsychologie</v>
      </c>
      <c r="F1485" s="1" t="str">
        <f ca="1">IFERROR(__xludf.DUMMYFUNCTION("""COMPUTED_VALUE"""),"1861-891X")</f>
        <v>1861-891X</v>
      </c>
      <c r="G1485" s="1" t="str">
        <f ca="1">IFERROR(__xludf.DUMMYFUNCTION("""COMPUTED_VALUE"""),"0023-2653")</f>
        <v>0023-2653</v>
      </c>
      <c r="H1485" s="27" t="str">
        <f ca="1">IFERROR(__xludf.DUMMYFUNCTION("""COMPUTED_VALUE"""),"https://link.springer.com/journal/11577")</f>
        <v>https://link.springer.com/journal/11577</v>
      </c>
      <c r="I1485" s="1" t="str">
        <f ca="1">IFERROR(__xludf.DUMMYFUNCTION("""COMPUTED_VALUE"""),"Springer VS")</f>
        <v>Springer VS</v>
      </c>
      <c r="J1485" s="1">
        <f ca="1">IFERROR(__xludf.DUMMYFUNCTION("""COMPUTED_VALUE"""),2000)</f>
        <v>2000</v>
      </c>
      <c r="K1485" s="1" t="str">
        <f ca="1">IFERROR(__xludf.DUMMYFUNCTION("""COMPUTED_VALUE"""),"Social Sciences")</f>
        <v>Social Sciences</v>
      </c>
      <c r="L1485" s="1" t="str">
        <f ca="1">IFERROR(__xludf.DUMMYFUNCTION("""COMPUTED_VALUE"""),"〇")</f>
        <v>〇</v>
      </c>
      <c r="M1485" s="1" t="str">
        <f ca="1">IFERROR(__xludf.DUMMYFUNCTION("""COMPUTED_VALUE"""),"〇")</f>
        <v>〇</v>
      </c>
      <c r="N1485" s="1" t="str">
        <f ca="1">IFERROR(__xludf.DUMMYFUNCTION("""COMPUTED_VALUE"""),"SNS7")</f>
        <v>SNS7</v>
      </c>
      <c r="O1485" s="1"/>
      <c r="P1485" s="1"/>
    </row>
    <row r="1486" spans="1:16" ht="14.25" customHeight="1" x14ac:dyDescent="0.25">
      <c r="A1486" s="1"/>
      <c r="B1486" s="1">
        <f ca="1"/>
        <v>1474</v>
      </c>
      <c r="C1486" s="1">
        <f ca="1">IFERROR(__xludf.DUMMYFUNCTION("""COMPUTED_VALUE"""),2023)</f>
        <v>2023</v>
      </c>
      <c r="D1486" s="1">
        <f ca="1">IFERROR(__xludf.DUMMYFUNCTION("""COMPUTED_VALUE"""),44007)</f>
        <v>44007</v>
      </c>
      <c r="E1486" s="1" t="str">
        <f ca="1">IFERROR(__xludf.DUMMYFUNCTION("""COMPUTED_VALUE"""),"La Matematica")</f>
        <v>La Matematica</v>
      </c>
      <c r="F1486" s="1" t="str">
        <f ca="1">IFERROR(__xludf.DUMMYFUNCTION("""COMPUTED_VALUE"""),"2730-9657")</f>
        <v>2730-9657</v>
      </c>
      <c r="G1486" s="1"/>
      <c r="H1486" s="27" t="str">
        <f ca="1">IFERROR(__xludf.DUMMYFUNCTION("""COMPUTED_VALUE"""),"https://link.springer.com/journal/44007")</f>
        <v>https://link.springer.com/journal/44007</v>
      </c>
      <c r="I1486" s="1" t="str">
        <f ca="1">IFERROR(__xludf.DUMMYFUNCTION("""COMPUTED_VALUE"""),"Springer")</f>
        <v>Springer</v>
      </c>
      <c r="J1486" s="1">
        <f ca="1">IFERROR(__xludf.DUMMYFUNCTION("""COMPUTED_VALUE"""),2022)</f>
        <v>2022</v>
      </c>
      <c r="K1486" s="1" t="str">
        <f ca="1">IFERROR(__xludf.DUMMYFUNCTION("""COMPUTED_VALUE"""),"Mathematics and Statistics")</f>
        <v>Mathematics and Statistics</v>
      </c>
      <c r="L1486" s="1"/>
      <c r="M1486" s="1"/>
      <c r="N1486" s="1" t="str">
        <f ca="1">IFERROR(__xludf.DUMMYFUNCTION("""COMPUTED_VALUE"""),"SNS22")</f>
        <v>SNS22</v>
      </c>
      <c r="O1486" s="1"/>
      <c r="P1486" s="1"/>
    </row>
    <row r="1487" spans="1:16" ht="14.25" customHeight="1" x14ac:dyDescent="0.25">
      <c r="A1487" s="1"/>
      <c r="B1487" s="1">
        <f ca="1"/>
        <v>1475</v>
      </c>
      <c r="C1487" s="1">
        <f ca="1">IFERROR(__xludf.DUMMYFUNCTION("""COMPUTED_VALUE"""),2023)</f>
        <v>2023</v>
      </c>
      <c r="D1487" s="1">
        <f ca="1">IFERROR(__xludf.DUMMYFUNCTION("""COMPUTED_VALUE"""),11547)</f>
        <v>11547</v>
      </c>
      <c r="E1487" s="1" t="str">
        <f ca="1">IFERROR(__xludf.DUMMYFUNCTION("""COMPUTED_VALUE"""),"La radiologia medica")</f>
        <v>La radiologia medica</v>
      </c>
      <c r="F1487" s="1" t="str">
        <f ca="1">IFERROR(__xludf.DUMMYFUNCTION("""COMPUTED_VALUE"""),"1826-6983")</f>
        <v>1826-6983</v>
      </c>
      <c r="G1487" s="1"/>
      <c r="H1487" s="27" t="str">
        <f ca="1">IFERROR(__xludf.DUMMYFUNCTION("""COMPUTED_VALUE"""),"https://link.springer.com/journal/11547")</f>
        <v>https://link.springer.com/journal/11547</v>
      </c>
      <c r="I1487" s="1" t="str">
        <f ca="1">IFERROR(__xludf.DUMMYFUNCTION("""COMPUTED_VALUE"""),"Springer")</f>
        <v>Springer</v>
      </c>
      <c r="J1487" s="1">
        <f ca="1">IFERROR(__xludf.DUMMYFUNCTION("""COMPUTED_VALUE"""),2006)</f>
        <v>2006</v>
      </c>
      <c r="K1487" s="1" t="str">
        <f ca="1">IFERROR(__xludf.DUMMYFUNCTION("""COMPUTED_VALUE"""),"Medicine")</f>
        <v>Medicine</v>
      </c>
      <c r="L1487" s="1"/>
      <c r="M1487" s="1" t="str">
        <f ca="1">IFERROR(__xludf.DUMMYFUNCTION("""COMPUTED_VALUE"""),"〇")</f>
        <v>〇</v>
      </c>
      <c r="N1487" s="1"/>
      <c r="O1487" s="1"/>
      <c r="P1487" s="1"/>
    </row>
    <row r="1488" spans="1:16" ht="14.25" customHeight="1" x14ac:dyDescent="0.25">
      <c r="A1488" s="1"/>
      <c r="B1488" s="1">
        <f ca="1"/>
        <v>1476</v>
      </c>
      <c r="C1488" s="1">
        <f ca="1">IFERROR(__xludf.DUMMYFUNCTION("""COMPUTED_VALUE"""),2023)</f>
        <v>2023</v>
      </c>
      <c r="D1488" s="1">
        <f ca="1">IFERROR(__xludf.DUMMYFUNCTION("""COMPUTED_VALUE"""),40766)</f>
        <v>40766</v>
      </c>
      <c r="E1488" s="1" t="str">
        <f ca="1">IFERROR(__xludf.DUMMYFUNCTION("""COMPUTED_VALUE"""),"La Rivista del Nuovo Cimento")</f>
        <v>La Rivista del Nuovo Cimento</v>
      </c>
      <c r="F1488" s="1" t="str">
        <f ca="1">IFERROR(__xludf.DUMMYFUNCTION("""COMPUTED_VALUE"""),"1826-9850")</f>
        <v>1826-9850</v>
      </c>
      <c r="G1488" s="1" t="str">
        <f ca="1">IFERROR(__xludf.DUMMYFUNCTION("""COMPUTED_VALUE"""),"0393-697X")</f>
        <v>0393-697X</v>
      </c>
      <c r="H1488" s="27" t="str">
        <f ca="1">IFERROR(__xludf.DUMMYFUNCTION("""COMPUTED_VALUE"""),"https://link.springer.com/journal/40766")</f>
        <v>https://link.springer.com/journal/40766</v>
      </c>
      <c r="I1488" s="1" t="str">
        <f ca="1">IFERROR(__xludf.DUMMYFUNCTION("""COMPUTED_VALUE"""),"Springer")</f>
        <v>Springer</v>
      </c>
      <c r="J1488" s="1">
        <f ca="1">IFERROR(__xludf.DUMMYFUNCTION("""COMPUTED_VALUE"""),2000)</f>
        <v>2000</v>
      </c>
      <c r="K1488" s="1" t="str">
        <f ca="1">IFERROR(__xludf.DUMMYFUNCTION("""COMPUTED_VALUE"""),"Physics and Astronomy")</f>
        <v>Physics and Astronomy</v>
      </c>
      <c r="L1488" s="1" t="str">
        <f ca="1">IFERROR(__xludf.DUMMYFUNCTION("""COMPUTED_VALUE"""),"〇")</f>
        <v>〇</v>
      </c>
      <c r="M1488" s="1"/>
      <c r="N1488" s="1" t="str">
        <f ca="1">IFERROR(__xludf.DUMMYFUNCTION("""COMPUTED_VALUE"""),"TO20")</f>
        <v>TO20</v>
      </c>
      <c r="O1488" s="1"/>
      <c r="P1488" s="1"/>
    </row>
    <row r="1489" spans="1:16" ht="14.25" customHeight="1" x14ac:dyDescent="0.25">
      <c r="A1489" s="1"/>
      <c r="B1489" s="1">
        <f ca="1"/>
        <v>1477</v>
      </c>
      <c r="C1489" s="1">
        <f ca="1">IFERROR(__xludf.DUMMYFUNCTION("""COMPUTED_VALUE"""),2023)</f>
        <v>2023</v>
      </c>
      <c r="D1489" s="1">
        <f ca="1">IFERROR(__xludf.DUMMYFUNCTION("""COMPUTED_VALUE"""),11355)</f>
        <v>11355</v>
      </c>
      <c r="E1489" s="1" t="str">
        <f ca="1">IFERROR(__xludf.DUMMYFUNCTION("""COMPUTED_VALUE"""),"Landscape and Ecological Engineering")</f>
        <v>Landscape and Ecological Engineering</v>
      </c>
      <c r="F1489" s="1" t="str">
        <f ca="1">IFERROR(__xludf.DUMMYFUNCTION("""COMPUTED_VALUE"""),"1860-188X")</f>
        <v>1860-188X</v>
      </c>
      <c r="G1489" s="1" t="str">
        <f ca="1">IFERROR(__xludf.DUMMYFUNCTION("""COMPUTED_VALUE"""),"1860-1871")</f>
        <v>1860-1871</v>
      </c>
      <c r="H1489" s="27" t="str">
        <f ca="1">IFERROR(__xludf.DUMMYFUNCTION("""COMPUTED_VALUE"""),"https://link.springer.com/journal/11355")</f>
        <v>https://link.springer.com/journal/11355</v>
      </c>
      <c r="I1489" s="1" t="str">
        <f ca="1">IFERROR(__xludf.DUMMYFUNCTION("""COMPUTED_VALUE"""),"Springer")</f>
        <v>Springer</v>
      </c>
      <c r="J1489" s="1">
        <f ca="1">IFERROR(__xludf.DUMMYFUNCTION("""COMPUTED_VALUE"""),2005)</f>
        <v>2005</v>
      </c>
      <c r="K1489" s="1" t="str">
        <f ca="1">IFERROR(__xludf.DUMMYFUNCTION("""COMPUTED_VALUE"""),"Biomedical and Life Sciences")</f>
        <v>Biomedical and Life Sciences</v>
      </c>
      <c r="L1489" s="1" t="str">
        <f ca="1">IFERROR(__xludf.DUMMYFUNCTION("""COMPUTED_VALUE"""),"〇")</f>
        <v>〇</v>
      </c>
      <c r="M1489" s="1" t="str">
        <f ca="1">IFERROR(__xludf.DUMMYFUNCTION("""COMPUTED_VALUE"""),"〇")</f>
        <v>〇</v>
      </c>
      <c r="N1489" s="1"/>
      <c r="O1489" s="1"/>
      <c r="P1489" s="1"/>
    </row>
    <row r="1490" spans="1:16" ht="14.25" customHeight="1" x14ac:dyDescent="0.25">
      <c r="A1490" s="1"/>
      <c r="B1490" s="1">
        <f ca="1"/>
        <v>1478</v>
      </c>
      <c r="C1490" s="1">
        <f ca="1">IFERROR(__xludf.DUMMYFUNCTION("""COMPUTED_VALUE"""),2023)</f>
        <v>2023</v>
      </c>
      <c r="D1490" s="1">
        <f ca="1">IFERROR(__xludf.DUMMYFUNCTION("""COMPUTED_VALUE"""),10980)</f>
        <v>10980</v>
      </c>
      <c r="E1490" s="1" t="str">
        <f ca="1">IFERROR(__xludf.DUMMYFUNCTION("""COMPUTED_VALUE"""),"Landscape Ecology")</f>
        <v>Landscape Ecology</v>
      </c>
      <c r="F1490" s="1" t="str">
        <f ca="1">IFERROR(__xludf.DUMMYFUNCTION("""COMPUTED_VALUE"""),"1572-9761")</f>
        <v>1572-9761</v>
      </c>
      <c r="G1490" s="1" t="str">
        <f ca="1">IFERROR(__xludf.DUMMYFUNCTION("""COMPUTED_VALUE"""),"0921-2973")</f>
        <v>0921-2973</v>
      </c>
      <c r="H1490" s="27" t="str">
        <f ca="1">IFERROR(__xludf.DUMMYFUNCTION("""COMPUTED_VALUE"""),"https://link.springer.com/journal/10980")</f>
        <v>https://link.springer.com/journal/10980</v>
      </c>
      <c r="I1490" s="1" t="str">
        <f ca="1">IFERROR(__xludf.DUMMYFUNCTION("""COMPUTED_VALUE"""),"Springer")</f>
        <v>Springer</v>
      </c>
      <c r="J1490" s="1">
        <f ca="1">IFERROR(__xludf.DUMMYFUNCTION("""COMPUTED_VALUE"""),2000)</f>
        <v>2000</v>
      </c>
      <c r="K1490" s="1" t="str">
        <f ca="1">IFERROR(__xludf.DUMMYFUNCTION("""COMPUTED_VALUE"""),"Biomedical and Life Sciences")</f>
        <v>Biomedical and Life Sciences</v>
      </c>
      <c r="L1490" s="1" t="str">
        <f ca="1">IFERROR(__xludf.DUMMYFUNCTION("""COMPUTED_VALUE"""),"〇")</f>
        <v>〇</v>
      </c>
      <c r="M1490" s="1" t="str">
        <f ca="1">IFERROR(__xludf.DUMMYFUNCTION("""COMPUTED_VALUE"""),"〇")</f>
        <v>〇</v>
      </c>
      <c r="N1490" s="1"/>
      <c r="O1490" s="1"/>
      <c r="P1490" s="1"/>
    </row>
    <row r="1491" spans="1:16" ht="14.25" customHeight="1" x14ac:dyDescent="0.25">
      <c r="A1491" s="1"/>
      <c r="B1491" s="1">
        <f ca="1"/>
        <v>1479</v>
      </c>
      <c r="C1491" s="1">
        <f ca="1">IFERROR(__xludf.DUMMYFUNCTION("""COMPUTED_VALUE"""),2023)</f>
        <v>2023</v>
      </c>
      <c r="D1491" s="1">
        <f ca="1">IFERROR(__xludf.DUMMYFUNCTION("""COMPUTED_VALUE"""),10346)</f>
        <v>10346</v>
      </c>
      <c r="E1491" s="1" t="str">
        <f ca="1">IFERROR(__xludf.DUMMYFUNCTION("""COMPUTED_VALUE"""),"Landslides")</f>
        <v>Landslides</v>
      </c>
      <c r="F1491" s="1" t="str">
        <f ca="1">IFERROR(__xludf.DUMMYFUNCTION("""COMPUTED_VALUE"""),"1612-5118")</f>
        <v>1612-5118</v>
      </c>
      <c r="G1491" s="1" t="str">
        <f ca="1">IFERROR(__xludf.DUMMYFUNCTION("""COMPUTED_VALUE"""),"1612-510X")</f>
        <v>1612-510X</v>
      </c>
      <c r="H1491" s="27" t="str">
        <f ca="1">IFERROR(__xludf.DUMMYFUNCTION("""COMPUTED_VALUE"""),"https://link.springer.com/journal/10346")</f>
        <v>https://link.springer.com/journal/10346</v>
      </c>
      <c r="I1491" s="1" t="str">
        <f ca="1">IFERROR(__xludf.DUMMYFUNCTION("""COMPUTED_VALUE"""),"Springer")</f>
        <v>Springer</v>
      </c>
      <c r="J1491" s="1">
        <f ca="1">IFERROR(__xludf.DUMMYFUNCTION("""COMPUTED_VALUE"""),2004)</f>
        <v>2004</v>
      </c>
      <c r="K1491" s="1" t="str">
        <f ca="1">IFERROR(__xludf.DUMMYFUNCTION("""COMPUTED_VALUE"""),"Earth and Environmental Science")</f>
        <v>Earth and Environmental Science</v>
      </c>
      <c r="L1491" s="1" t="str">
        <f ca="1">IFERROR(__xludf.DUMMYFUNCTION("""COMPUTED_VALUE"""),"〇")</f>
        <v>〇</v>
      </c>
      <c r="M1491" s="1" t="str">
        <f ca="1">IFERROR(__xludf.DUMMYFUNCTION("""COMPUTED_VALUE"""),"〇")</f>
        <v>〇</v>
      </c>
      <c r="N1491" s="1"/>
      <c r="O1491" s="1"/>
      <c r="P1491" s="1"/>
    </row>
    <row r="1492" spans="1:16" ht="14.25" customHeight="1" x14ac:dyDescent="0.25">
      <c r="A1492" s="1"/>
      <c r="B1492" s="1">
        <f ca="1"/>
        <v>1480</v>
      </c>
      <c r="C1492" s="1">
        <f ca="1">IFERROR(__xludf.DUMMYFUNCTION("""COMPUTED_VALUE"""),2023)</f>
        <v>2023</v>
      </c>
      <c r="D1492" s="1">
        <f ca="1">IFERROR(__xludf.DUMMYFUNCTION("""COMPUTED_VALUE"""),423)</f>
        <v>423</v>
      </c>
      <c r="E1492" s="1" t="str">
        <f ca="1">IFERROR(__xludf.DUMMYFUNCTION("""COMPUTED_VALUE"""),"Langenbeck's Archives of Surgery")</f>
        <v>Langenbeck's Archives of Surgery</v>
      </c>
      <c r="F1492" s="1" t="str">
        <f ca="1">IFERROR(__xludf.DUMMYFUNCTION("""COMPUTED_VALUE"""),"1435-2451")</f>
        <v>1435-2451</v>
      </c>
      <c r="G1492" s="1"/>
      <c r="H1492" s="27" t="str">
        <f ca="1">IFERROR(__xludf.DUMMYFUNCTION("""COMPUTED_VALUE"""),"https://link.springer.com/journal/423")</f>
        <v>https://link.springer.com/journal/423</v>
      </c>
      <c r="I1492" s="1" t="str">
        <f ca="1">IFERROR(__xludf.DUMMYFUNCTION("""COMPUTED_VALUE"""),"Springer")</f>
        <v>Springer</v>
      </c>
      <c r="J1492" s="1">
        <f ca="1">IFERROR(__xludf.DUMMYFUNCTION("""COMPUTED_VALUE"""),2000)</f>
        <v>2000</v>
      </c>
      <c r="K1492" s="1" t="str">
        <f ca="1">IFERROR(__xludf.DUMMYFUNCTION("""COMPUTED_VALUE"""),"Medicine")</f>
        <v>Medicine</v>
      </c>
      <c r="L1492" s="1"/>
      <c r="M1492" s="1" t="str">
        <f ca="1">IFERROR(__xludf.DUMMYFUNCTION("""COMPUTED_VALUE"""),"〇")</f>
        <v>〇</v>
      </c>
      <c r="N1492" s="1"/>
      <c r="O1492" s="1"/>
      <c r="P1492" s="1"/>
    </row>
    <row r="1493" spans="1:16" ht="14.25" customHeight="1" x14ac:dyDescent="0.25">
      <c r="A1493" s="1"/>
      <c r="B1493" s="1">
        <f ca="1"/>
        <v>1481</v>
      </c>
      <c r="C1493" s="1">
        <f ca="1">IFERROR(__xludf.DUMMYFUNCTION("""COMPUTED_VALUE"""),2023)</f>
        <v>2023</v>
      </c>
      <c r="D1493" s="1">
        <f ca="1">IFERROR(__xludf.DUMMYFUNCTION("""COMPUTED_VALUE"""),10993)</f>
        <v>10993</v>
      </c>
      <c r="E1493" s="1" t="str">
        <f ca="1">IFERROR(__xludf.DUMMYFUNCTION("""COMPUTED_VALUE"""),"Language Policy")</f>
        <v>Language Policy</v>
      </c>
      <c r="F1493" s="1" t="str">
        <f ca="1">IFERROR(__xludf.DUMMYFUNCTION("""COMPUTED_VALUE"""),"1573-1863")</f>
        <v>1573-1863</v>
      </c>
      <c r="G1493" s="1" t="str">
        <f ca="1">IFERROR(__xludf.DUMMYFUNCTION("""COMPUTED_VALUE"""),"1568-4555")</f>
        <v>1568-4555</v>
      </c>
      <c r="H1493" s="27" t="str">
        <f ca="1">IFERROR(__xludf.DUMMYFUNCTION("""COMPUTED_VALUE"""),"https://link.springer.com/journal/10993")</f>
        <v>https://link.springer.com/journal/10993</v>
      </c>
      <c r="I1493" s="1" t="str">
        <f ca="1">IFERROR(__xludf.DUMMYFUNCTION("""COMPUTED_VALUE"""),"Springer")</f>
        <v>Springer</v>
      </c>
      <c r="J1493" s="1">
        <f ca="1">IFERROR(__xludf.DUMMYFUNCTION("""COMPUTED_VALUE"""),2002)</f>
        <v>2002</v>
      </c>
      <c r="K1493" s="1" t="str">
        <f ca="1">IFERROR(__xludf.DUMMYFUNCTION("""COMPUTED_VALUE"""),"Social Sciences")</f>
        <v>Social Sciences</v>
      </c>
      <c r="L1493" s="1" t="str">
        <f ca="1">IFERROR(__xludf.DUMMYFUNCTION("""COMPUTED_VALUE"""),"〇")</f>
        <v>〇</v>
      </c>
      <c r="M1493" s="1" t="str">
        <f ca="1">IFERROR(__xludf.DUMMYFUNCTION("""COMPUTED_VALUE"""),"〇")</f>
        <v>〇</v>
      </c>
      <c r="N1493" s="1"/>
      <c r="O1493" s="1"/>
      <c r="P1493" s="1"/>
    </row>
    <row r="1494" spans="1:16" ht="14.25" customHeight="1" x14ac:dyDescent="0.25">
      <c r="A1494" s="1"/>
      <c r="B1494" s="1">
        <f ca="1"/>
        <v>1482</v>
      </c>
      <c r="C1494" s="1">
        <f ca="1">IFERROR(__xludf.DUMMYFUNCTION("""COMPUTED_VALUE"""),2023)</f>
        <v>2023</v>
      </c>
      <c r="D1494" s="1">
        <f ca="1">IFERROR(__xludf.DUMMYFUNCTION("""COMPUTED_VALUE"""),10579)</f>
        <v>10579</v>
      </c>
      <c r="E1494" s="1" t="str">
        <f ca="1">IFERROR(__xludf.DUMMYFUNCTION("""COMPUTED_VALUE"""),"Language Resources and Evaluation")</f>
        <v>Language Resources and Evaluation</v>
      </c>
      <c r="F1494" s="1" t="str">
        <f ca="1">IFERROR(__xludf.DUMMYFUNCTION("""COMPUTED_VALUE"""),"1574-0218")</f>
        <v>1574-0218</v>
      </c>
      <c r="G1494" s="1" t="str">
        <f ca="1">IFERROR(__xludf.DUMMYFUNCTION("""COMPUTED_VALUE"""),"1574-020X")</f>
        <v>1574-020X</v>
      </c>
      <c r="H1494" s="27" t="str">
        <f ca="1">IFERROR(__xludf.DUMMYFUNCTION("""COMPUTED_VALUE"""),"https://link.springer.com/journal/10579")</f>
        <v>https://link.springer.com/journal/10579</v>
      </c>
      <c r="I1494" s="1" t="str">
        <f ca="1">IFERROR(__xludf.DUMMYFUNCTION("""COMPUTED_VALUE"""),"Springer")</f>
        <v>Springer</v>
      </c>
      <c r="J1494" s="1">
        <f ca="1">IFERROR(__xludf.DUMMYFUNCTION("""COMPUTED_VALUE"""),2000)</f>
        <v>2000</v>
      </c>
      <c r="K1494" s="1" t="str">
        <f ca="1">IFERROR(__xludf.DUMMYFUNCTION("""COMPUTED_VALUE"""),"Social Sciences")</f>
        <v>Social Sciences</v>
      </c>
      <c r="L1494" s="1" t="str">
        <f ca="1">IFERROR(__xludf.DUMMYFUNCTION("""COMPUTED_VALUE"""),"〇")</f>
        <v>〇</v>
      </c>
      <c r="M1494" s="1" t="str">
        <f ca="1">IFERROR(__xludf.DUMMYFUNCTION("""COMPUTED_VALUE"""),"〇")</f>
        <v>〇</v>
      </c>
      <c r="N1494" s="1"/>
      <c r="O1494" s="1"/>
      <c r="P1494" s="1"/>
    </row>
    <row r="1495" spans="1:16" ht="14.25" customHeight="1" x14ac:dyDescent="0.25">
      <c r="A1495" s="1"/>
      <c r="B1495" s="1">
        <f ca="1"/>
        <v>1483</v>
      </c>
      <c r="C1495" s="1">
        <f ca="1">IFERROR(__xludf.DUMMYFUNCTION("""COMPUTED_VALUE"""),2023)</f>
        <v>2023</v>
      </c>
      <c r="D1495" s="1">
        <f ca="1">IFERROR(__xludf.DUMMYFUNCTION("""COMPUTED_VALUE"""),41547)</f>
        <v>41547</v>
      </c>
      <c r="E1495" s="1" t="str">
        <f ca="1">IFERROR(__xludf.DUMMYFUNCTION("""COMPUTED_VALUE"""),"Lasers in Dental Science")</f>
        <v>Lasers in Dental Science</v>
      </c>
      <c r="F1495" s="1" t="str">
        <f ca="1">IFERROR(__xludf.DUMMYFUNCTION("""COMPUTED_VALUE"""),"2367-2587")</f>
        <v>2367-2587</v>
      </c>
      <c r="G1495" s="1"/>
      <c r="H1495" s="27" t="str">
        <f ca="1">IFERROR(__xludf.DUMMYFUNCTION("""COMPUTED_VALUE"""),"https://link.springer.com/journal/41547")</f>
        <v>https://link.springer.com/journal/41547</v>
      </c>
      <c r="I1495" s="1" t="str">
        <f ca="1">IFERROR(__xludf.DUMMYFUNCTION("""COMPUTED_VALUE"""),"Springer")</f>
        <v>Springer</v>
      </c>
      <c r="J1495" s="1">
        <f ca="1">IFERROR(__xludf.DUMMYFUNCTION("""COMPUTED_VALUE"""),2017)</f>
        <v>2017</v>
      </c>
      <c r="K1495" s="1" t="str">
        <f ca="1">IFERROR(__xludf.DUMMYFUNCTION("""COMPUTED_VALUE"""),"Medicine")</f>
        <v>Medicine</v>
      </c>
      <c r="L1495" s="1"/>
      <c r="M1495" s="1"/>
      <c r="N1495" s="1" t="str">
        <f ca="1">IFERROR(__xludf.DUMMYFUNCTION("""COMPUTED_VALUE"""),"SNS17")</f>
        <v>SNS17</v>
      </c>
      <c r="O1495" s="1"/>
      <c r="P1495" s="1"/>
    </row>
    <row r="1496" spans="1:16" ht="14.25" customHeight="1" x14ac:dyDescent="0.25">
      <c r="A1496" s="1"/>
      <c r="B1496" s="1">
        <f ca="1"/>
        <v>1484</v>
      </c>
      <c r="C1496" s="1">
        <f ca="1">IFERROR(__xludf.DUMMYFUNCTION("""COMPUTED_VALUE"""),2023)</f>
        <v>2023</v>
      </c>
      <c r="D1496" s="1">
        <f ca="1">IFERROR(__xludf.DUMMYFUNCTION("""COMPUTED_VALUE"""),40516)</f>
        <v>40516</v>
      </c>
      <c r="E1496" s="1" t="str">
        <f ca="1">IFERROR(__xludf.DUMMYFUNCTION("""COMPUTED_VALUE"""),"Lasers in Manufacturing and Materials Processing")</f>
        <v>Lasers in Manufacturing and Materials Processing</v>
      </c>
      <c r="F1496" s="1" t="str">
        <f ca="1">IFERROR(__xludf.DUMMYFUNCTION("""COMPUTED_VALUE"""),"2196-7237")</f>
        <v>2196-7237</v>
      </c>
      <c r="G1496" s="1" t="str">
        <f ca="1">IFERROR(__xludf.DUMMYFUNCTION("""COMPUTED_VALUE"""),"2196-7229")</f>
        <v>2196-7229</v>
      </c>
      <c r="H1496" s="27" t="str">
        <f ca="1">IFERROR(__xludf.DUMMYFUNCTION("""COMPUTED_VALUE"""),"https://link.springer.com/journal/40516")</f>
        <v>https://link.springer.com/journal/40516</v>
      </c>
      <c r="I1496" s="1" t="str">
        <f ca="1">IFERROR(__xludf.DUMMYFUNCTION("""COMPUTED_VALUE"""),"Springer")</f>
        <v>Springer</v>
      </c>
      <c r="J1496" s="1">
        <f ca="1">IFERROR(__xludf.DUMMYFUNCTION("""COMPUTED_VALUE"""),2014)</f>
        <v>2014</v>
      </c>
      <c r="K1496" s="1" t="str">
        <f ca="1">IFERROR(__xludf.DUMMYFUNCTION("""COMPUTED_VALUE"""),"Engineering")</f>
        <v>Engineering</v>
      </c>
      <c r="L1496" s="1" t="str">
        <f ca="1">IFERROR(__xludf.DUMMYFUNCTION("""COMPUTED_VALUE"""),"〇")</f>
        <v>〇</v>
      </c>
      <c r="M1496" s="1"/>
      <c r="N1496" s="1" t="str">
        <f ca="1">IFERROR(__xludf.DUMMYFUNCTION("""COMPUTED_VALUE"""),"SNS14")</f>
        <v>SNS14</v>
      </c>
      <c r="O1496" s="1"/>
      <c r="P1496" s="1"/>
    </row>
    <row r="1497" spans="1:16" ht="14.25" customHeight="1" x14ac:dyDescent="0.25">
      <c r="A1497" s="1"/>
      <c r="B1497" s="1">
        <f ca="1"/>
        <v>1485</v>
      </c>
      <c r="C1497" s="1">
        <f ca="1">IFERROR(__xludf.DUMMYFUNCTION("""COMPUTED_VALUE"""),2023)</f>
        <v>2023</v>
      </c>
      <c r="D1497" s="1">
        <f ca="1">IFERROR(__xludf.DUMMYFUNCTION("""COMPUTED_VALUE"""),10103)</f>
        <v>10103</v>
      </c>
      <c r="E1497" s="1" t="str">
        <f ca="1">IFERROR(__xludf.DUMMYFUNCTION("""COMPUTED_VALUE"""),"Lasers in Medical Science")</f>
        <v>Lasers in Medical Science</v>
      </c>
      <c r="F1497" s="1" t="str">
        <f ca="1">IFERROR(__xludf.DUMMYFUNCTION("""COMPUTED_VALUE"""),"1435-604X")</f>
        <v>1435-604X</v>
      </c>
      <c r="G1497" s="1"/>
      <c r="H1497" s="27" t="str">
        <f ca="1">IFERROR(__xludf.DUMMYFUNCTION("""COMPUTED_VALUE"""),"https://link.springer.com/journal/10103")</f>
        <v>https://link.springer.com/journal/10103</v>
      </c>
      <c r="I1497" s="1" t="str">
        <f ca="1">IFERROR(__xludf.DUMMYFUNCTION("""COMPUTED_VALUE"""),"Springer")</f>
        <v>Springer</v>
      </c>
      <c r="J1497" s="1">
        <f ca="1">IFERROR(__xludf.DUMMYFUNCTION("""COMPUTED_VALUE"""),2000)</f>
        <v>2000</v>
      </c>
      <c r="K1497" s="1" t="str">
        <f ca="1">IFERROR(__xludf.DUMMYFUNCTION("""COMPUTED_VALUE"""),"Medicine")</f>
        <v>Medicine</v>
      </c>
      <c r="L1497" s="1"/>
      <c r="M1497" s="1" t="str">
        <f ca="1">IFERROR(__xludf.DUMMYFUNCTION("""COMPUTED_VALUE"""),"〇")</f>
        <v>〇</v>
      </c>
      <c r="N1497" s="1"/>
      <c r="O1497" s="1"/>
      <c r="P1497" s="1"/>
    </row>
    <row r="1498" spans="1:16" ht="14.25" customHeight="1" x14ac:dyDescent="0.25">
      <c r="A1498" s="1"/>
      <c r="B1498" s="1">
        <f ca="1"/>
        <v>1486</v>
      </c>
      <c r="C1498" s="1">
        <f ca="1">IFERROR(__xludf.DUMMYFUNCTION("""COMPUTED_VALUE"""),2023)</f>
        <v>2023</v>
      </c>
      <c r="D1498" s="1">
        <f ca="1">IFERROR(__xludf.DUMMYFUNCTION("""COMPUTED_VALUE"""),10978)</f>
        <v>10978</v>
      </c>
      <c r="E1498" s="1" t="str">
        <f ca="1">IFERROR(__xludf.DUMMYFUNCTION("""COMPUTED_VALUE"""),"Law and Critique")</f>
        <v>Law and Critique</v>
      </c>
      <c r="F1498" s="1" t="str">
        <f ca="1">IFERROR(__xludf.DUMMYFUNCTION("""COMPUTED_VALUE"""),"1572-8617")</f>
        <v>1572-8617</v>
      </c>
      <c r="G1498" s="1" t="str">
        <f ca="1">IFERROR(__xludf.DUMMYFUNCTION("""COMPUTED_VALUE"""),"0957-8536")</f>
        <v>0957-8536</v>
      </c>
      <c r="H1498" s="27" t="str">
        <f ca="1">IFERROR(__xludf.DUMMYFUNCTION("""COMPUTED_VALUE"""),"https://link.springer.com/journal/10978")</f>
        <v>https://link.springer.com/journal/10978</v>
      </c>
      <c r="I1498" s="1" t="str">
        <f ca="1">IFERROR(__xludf.DUMMYFUNCTION("""COMPUTED_VALUE"""),"Springer")</f>
        <v>Springer</v>
      </c>
      <c r="J1498" s="1">
        <f ca="1">IFERROR(__xludf.DUMMYFUNCTION("""COMPUTED_VALUE"""),2000)</f>
        <v>2000</v>
      </c>
      <c r="K1498" s="1" t="str">
        <f ca="1">IFERROR(__xludf.DUMMYFUNCTION("""COMPUTED_VALUE"""),"Education")</f>
        <v>Education</v>
      </c>
      <c r="L1498" s="1" t="str">
        <f ca="1">IFERROR(__xludf.DUMMYFUNCTION("""COMPUTED_VALUE"""),"〇")</f>
        <v>〇</v>
      </c>
      <c r="M1498" s="1" t="str">
        <f ca="1">IFERROR(__xludf.DUMMYFUNCTION("""COMPUTED_VALUE"""),"〇")</f>
        <v>〇</v>
      </c>
      <c r="N1498" s="1"/>
      <c r="O1498" s="1"/>
      <c r="P1498" s="1"/>
    </row>
    <row r="1499" spans="1:16" ht="14.25" customHeight="1" x14ac:dyDescent="0.25">
      <c r="A1499" s="1"/>
      <c r="B1499" s="1">
        <f ca="1"/>
        <v>1487</v>
      </c>
      <c r="C1499" s="1">
        <f ca="1">IFERROR(__xludf.DUMMYFUNCTION("""COMPUTED_VALUE"""),2023)</f>
        <v>2023</v>
      </c>
      <c r="D1499" s="1">
        <f ca="1">IFERROR(__xludf.DUMMYFUNCTION("""COMPUTED_VALUE"""),10982)</f>
        <v>10982</v>
      </c>
      <c r="E1499" s="1" t="str">
        <f ca="1">IFERROR(__xludf.DUMMYFUNCTION("""COMPUTED_VALUE"""),"Law and Philosophy")</f>
        <v>Law and Philosophy</v>
      </c>
      <c r="F1499" s="1" t="str">
        <f ca="1">IFERROR(__xludf.DUMMYFUNCTION("""COMPUTED_VALUE"""),"1573-0522")</f>
        <v>1573-0522</v>
      </c>
      <c r="G1499" s="1" t="str">
        <f ca="1">IFERROR(__xludf.DUMMYFUNCTION("""COMPUTED_VALUE"""),"0167-5249")</f>
        <v>0167-5249</v>
      </c>
      <c r="H1499" s="27" t="str">
        <f ca="1">IFERROR(__xludf.DUMMYFUNCTION("""COMPUTED_VALUE"""),"https://link.springer.com/journal/10982")</f>
        <v>https://link.springer.com/journal/10982</v>
      </c>
      <c r="I1499" s="1" t="str">
        <f ca="1">IFERROR(__xludf.DUMMYFUNCTION("""COMPUTED_VALUE"""),"Springer")</f>
        <v>Springer</v>
      </c>
      <c r="J1499" s="1">
        <f ca="1">IFERROR(__xludf.DUMMYFUNCTION("""COMPUTED_VALUE"""),2000)</f>
        <v>2000</v>
      </c>
      <c r="K1499" s="1" t="str">
        <f ca="1">IFERROR(__xludf.DUMMYFUNCTION("""COMPUTED_VALUE"""),"Law and Criminology")</f>
        <v>Law and Criminology</v>
      </c>
      <c r="L1499" s="1" t="str">
        <f ca="1">IFERROR(__xludf.DUMMYFUNCTION("""COMPUTED_VALUE"""),"〇")</f>
        <v>〇</v>
      </c>
      <c r="M1499" s="1" t="str">
        <f ca="1">IFERROR(__xludf.DUMMYFUNCTION("""COMPUTED_VALUE"""),"〇")</f>
        <v>〇</v>
      </c>
      <c r="N1499" s="1"/>
      <c r="O1499" s="1"/>
      <c r="P1499" s="1"/>
    </row>
    <row r="1500" spans="1:16" ht="14.25" customHeight="1" x14ac:dyDescent="0.25">
      <c r="A1500" s="1"/>
      <c r="B1500" s="1">
        <f ca="1"/>
        <v>1488</v>
      </c>
      <c r="C1500" s="1">
        <f ca="1">IFERROR(__xludf.DUMMYFUNCTION("""COMPUTED_VALUE"""),2023)</f>
        <v>2023</v>
      </c>
      <c r="D1500" s="1">
        <f ca="1">IFERROR(__xludf.DUMMYFUNCTION("""COMPUTED_VALUE"""),13420)</f>
        <v>13420</v>
      </c>
      <c r="E1500" s="1" t="str">
        <f ca="1">IFERROR(__xludf.DUMMYFUNCTION("""COMPUTED_VALUE"""),"Learning &amp; Behavior")</f>
        <v>Learning &amp; Behavior</v>
      </c>
      <c r="F1500" s="1" t="str">
        <f ca="1">IFERROR(__xludf.DUMMYFUNCTION("""COMPUTED_VALUE"""),"1543-4508")</f>
        <v>1543-4508</v>
      </c>
      <c r="G1500" s="1" t="str">
        <f ca="1">IFERROR(__xludf.DUMMYFUNCTION("""COMPUTED_VALUE"""),"1543-4494")</f>
        <v>1543-4494</v>
      </c>
      <c r="H1500" s="27" t="str">
        <f ca="1">IFERROR(__xludf.DUMMYFUNCTION("""COMPUTED_VALUE"""),"https://link.springer.com/journal/13420")</f>
        <v>https://link.springer.com/journal/13420</v>
      </c>
      <c r="I1500" s="1" t="str">
        <f ca="1">IFERROR(__xludf.DUMMYFUNCTION("""COMPUTED_VALUE"""),"Springer")</f>
        <v>Springer</v>
      </c>
      <c r="J1500" s="1">
        <f ca="1">IFERROR(__xludf.DUMMYFUNCTION("""COMPUTED_VALUE"""),2000)</f>
        <v>2000</v>
      </c>
      <c r="K1500" s="1" t="str">
        <f ca="1">IFERROR(__xludf.DUMMYFUNCTION("""COMPUTED_VALUE"""),"Behavioral Science and Psychology")</f>
        <v>Behavioral Science and Psychology</v>
      </c>
      <c r="L1500" s="1" t="str">
        <f ca="1">IFERROR(__xludf.DUMMYFUNCTION("""COMPUTED_VALUE"""),"〇")</f>
        <v>〇</v>
      </c>
      <c r="M1500" s="1"/>
      <c r="N1500" s="1" t="str">
        <f ca="1">IFERROR(__xludf.DUMMYFUNCTION("""COMPUTED_VALUE"""),"TO11")</f>
        <v>TO11</v>
      </c>
      <c r="O1500" s="1"/>
      <c r="P1500" s="1"/>
    </row>
    <row r="1501" spans="1:16" ht="14.25" customHeight="1" x14ac:dyDescent="0.25">
      <c r="A1501" s="1"/>
      <c r="B1501" s="1">
        <f ca="1"/>
        <v>1489</v>
      </c>
      <c r="C1501" s="1">
        <f ca="1">IFERROR(__xludf.DUMMYFUNCTION("""COMPUTED_VALUE"""),2023)</f>
        <v>2023</v>
      </c>
      <c r="D1501" s="1">
        <f ca="1">IFERROR(__xludf.DUMMYFUNCTION("""COMPUTED_VALUE"""),10984)</f>
        <v>10984</v>
      </c>
      <c r="E1501" s="1" t="str">
        <f ca="1">IFERROR(__xludf.DUMMYFUNCTION("""COMPUTED_VALUE"""),"Learning Environments Research")</f>
        <v>Learning Environments Research</v>
      </c>
      <c r="F1501" s="1" t="str">
        <f ca="1">IFERROR(__xludf.DUMMYFUNCTION("""COMPUTED_VALUE"""),"1573-1855")</f>
        <v>1573-1855</v>
      </c>
      <c r="G1501" s="1" t="str">
        <f ca="1">IFERROR(__xludf.DUMMYFUNCTION("""COMPUTED_VALUE"""),"1387-1579")</f>
        <v>1387-1579</v>
      </c>
      <c r="H1501" s="27" t="str">
        <f ca="1">IFERROR(__xludf.DUMMYFUNCTION("""COMPUTED_VALUE"""),"https://link.springer.com/journal/10984")</f>
        <v>https://link.springer.com/journal/10984</v>
      </c>
      <c r="I1501" s="1" t="str">
        <f ca="1">IFERROR(__xludf.DUMMYFUNCTION("""COMPUTED_VALUE"""),"Springer")</f>
        <v>Springer</v>
      </c>
      <c r="J1501" s="1">
        <f ca="1">IFERROR(__xludf.DUMMYFUNCTION("""COMPUTED_VALUE"""),2000)</f>
        <v>2000</v>
      </c>
      <c r="K1501" s="1" t="str">
        <f ca="1">IFERROR(__xludf.DUMMYFUNCTION("""COMPUTED_VALUE"""),"Education")</f>
        <v>Education</v>
      </c>
      <c r="L1501" s="1" t="str">
        <f ca="1">IFERROR(__xludf.DUMMYFUNCTION("""COMPUTED_VALUE"""),"〇")</f>
        <v>〇</v>
      </c>
      <c r="M1501" s="1" t="str">
        <f ca="1">IFERROR(__xludf.DUMMYFUNCTION("""COMPUTED_VALUE"""),"〇")</f>
        <v>〇</v>
      </c>
      <c r="N1501" s="1"/>
      <c r="O1501" s="1"/>
      <c r="P1501" s="1"/>
    </row>
    <row r="1502" spans="1:16" ht="14.25" customHeight="1" x14ac:dyDescent="0.25">
      <c r="A1502" s="1"/>
      <c r="B1502" s="1">
        <f ca="1"/>
        <v>1490</v>
      </c>
      <c r="C1502" s="1">
        <f ca="1">IFERROR(__xludf.DUMMYFUNCTION("""COMPUTED_VALUE"""),2023)</f>
        <v>2023</v>
      </c>
      <c r="D1502" s="1">
        <f ca="1">IFERROR(__xludf.DUMMYFUNCTION("""COMPUTED_VALUE"""),40619)</f>
        <v>40619</v>
      </c>
      <c r="E1502" s="1" t="str">
        <f ca="1">IFERROR(__xludf.DUMMYFUNCTION("""COMPUTED_VALUE"""),"L'Endocrinologo")</f>
        <v>L'Endocrinologo</v>
      </c>
      <c r="F1502" s="1" t="str">
        <f ca="1">IFERROR(__xludf.DUMMYFUNCTION("""COMPUTED_VALUE"""),"1720-8351")</f>
        <v>1720-8351</v>
      </c>
      <c r="G1502" s="1" t="str">
        <f ca="1">IFERROR(__xludf.DUMMYFUNCTION("""COMPUTED_VALUE"""),"1590-170X")</f>
        <v>1590-170X</v>
      </c>
      <c r="H1502" s="27" t="str">
        <f ca="1">IFERROR(__xludf.DUMMYFUNCTION("""COMPUTED_VALUE"""),"https://link.springer.com/journal/40619")</f>
        <v>https://link.springer.com/journal/40619</v>
      </c>
      <c r="I1502" s="1" t="str">
        <f ca="1">IFERROR(__xludf.DUMMYFUNCTION("""COMPUTED_VALUE"""),"Springer")</f>
        <v>Springer</v>
      </c>
      <c r="J1502" s="1">
        <f ca="1">IFERROR(__xludf.DUMMYFUNCTION("""COMPUTED_VALUE"""),2000)</f>
        <v>2000</v>
      </c>
      <c r="K1502" s="1" t="str">
        <f ca="1">IFERROR(__xludf.DUMMYFUNCTION("""COMPUTED_VALUE"""),"Medicine")</f>
        <v>Medicine</v>
      </c>
      <c r="L1502" s="1" t="str">
        <f ca="1">IFERROR(__xludf.DUMMYFUNCTION("""COMPUTED_VALUE"""),"〇")</f>
        <v>〇</v>
      </c>
      <c r="M1502" s="1"/>
      <c r="N1502" s="1" t="str">
        <f ca="1">IFERROR(__xludf.DUMMYFUNCTION("""COMPUTED_VALUE"""),"TO14")</f>
        <v>TO14</v>
      </c>
      <c r="O1502" s="1"/>
      <c r="P1502" s="1"/>
    </row>
    <row r="1503" spans="1:16" ht="14.25" customHeight="1" x14ac:dyDescent="0.25">
      <c r="A1503" s="1"/>
      <c r="B1503" s="1">
        <f ca="1"/>
        <v>1491</v>
      </c>
      <c r="C1503" s="1">
        <f ca="1">IFERROR(__xludf.DUMMYFUNCTION("""COMPUTED_VALUE"""),2023)</f>
        <v>2023</v>
      </c>
      <c r="D1503" s="1">
        <f ca="1">IFERROR(__xludf.DUMMYFUNCTION("""COMPUTED_VALUE"""),11005)</f>
        <v>11005</v>
      </c>
      <c r="E1503" s="1" t="str">
        <f ca="1">IFERROR(__xludf.DUMMYFUNCTION("""COMPUTED_VALUE"""),"Letters in Mathematical Physics")</f>
        <v>Letters in Mathematical Physics</v>
      </c>
      <c r="F1503" s="1" t="str">
        <f ca="1">IFERROR(__xludf.DUMMYFUNCTION("""COMPUTED_VALUE"""),"1573-0530")</f>
        <v>1573-0530</v>
      </c>
      <c r="G1503" s="1"/>
      <c r="H1503" s="27" t="str">
        <f ca="1">IFERROR(__xludf.DUMMYFUNCTION("""COMPUTED_VALUE"""),"https://link.springer.com/journal/11005")</f>
        <v>https://link.springer.com/journal/11005</v>
      </c>
      <c r="I1503" s="1" t="str">
        <f ca="1">IFERROR(__xludf.DUMMYFUNCTION("""COMPUTED_VALUE"""),"Springer")</f>
        <v>Springer</v>
      </c>
      <c r="J1503" s="1">
        <f ca="1">IFERROR(__xludf.DUMMYFUNCTION("""COMPUTED_VALUE"""),2000)</f>
        <v>2000</v>
      </c>
      <c r="K1503" s="1" t="str">
        <f ca="1">IFERROR(__xludf.DUMMYFUNCTION("""COMPUTED_VALUE"""),"Physics and Astronomy")</f>
        <v>Physics and Astronomy</v>
      </c>
      <c r="L1503" s="1"/>
      <c r="M1503" s="1" t="str">
        <f ca="1">IFERROR(__xludf.DUMMYFUNCTION("""COMPUTED_VALUE"""),"〇")</f>
        <v>〇</v>
      </c>
      <c r="N1503" s="1"/>
      <c r="O1503" s="1"/>
      <c r="P1503" s="1"/>
    </row>
    <row r="1504" spans="1:16" ht="14.25" customHeight="1" x14ac:dyDescent="0.25">
      <c r="A1504" s="1"/>
      <c r="B1504" s="1">
        <f ca="1"/>
        <v>1492</v>
      </c>
      <c r="C1504" s="1">
        <f ca="1">IFERROR(__xludf.DUMMYFUNCTION("""COMPUTED_VALUE"""),2023)</f>
        <v>2023</v>
      </c>
      <c r="D1504" s="1">
        <f ca="1">IFERROR(__xludf.DUMMYFUNCTION("""COMPUTED_VALUE"""),12076)</f>
        <v>12076</v>
      </c>
      <c r="E1504" s="1" t="str">
        <f ca="1">IFERROR(__xludf.DUMMYFUNCTION("""COMPUTED_VALUE"""),"Letters in Spatial and Resource Sciences")</f>
        <v>Letters in Spatial and Resource Sciences</v>
      </c>
      <c r="F1504" s="1" t="str">
        <f ca="1">IFERROR(__xludf.DUMMYFUNCTION("""COMPUTED_VALUE"""),"1864-404X")</f>
        <v>1864-404X</v>
      </c>
      <c r="G1504" s="1"/>
      <c r="H1504" s="27" t="str">
        <f ca="1">IFERROR(__xludf.DUMMYFUNCTION("""COMPUTED_VALUE"""),"https://link.springer.com/journal/12076")</f>
        <v>https://link.springer.com/journal/12076</v>
      </c>
      <c r="I1504" s="1" t="str">
        <f ca="1">IFERROR(__xludf.DUMMYFUNCTION("""COMPUTED_VALUE"""),"Springer")</f>
        <v>Springer</v>
      </c>
      <c r="J1504" s="1">
        <f ca="1">IFERROR(__xludf.DUMMYFUNCTION("""COMPUTED_VALUE"""),2008)</f>
        <v>2008</v>
      </c>
      <c r="K1504" s="1" t="str">
        <f ca="1">IFERROR(__xludf.DUMMYFUNCTION("""COMPUTED_VALUE"""),"Economics and Finance")</f>
        <v>Economics and Finance</v>
      </c>
      <c r="L1504" s="1"/>
      <c r="M1504" s="1" t="str">
        <f ca="1">IFERROR(__xludf.DUMMYFUNCTION("""COMPUTED_VALUE"""),"〇")</f>
        <v>〇</v>
      </c>
      <c r="N1504" s="1" t="str">
        <f ca="1">IFERROR(__xludf.DUMMYFUNCTION("""COMPUTED_VALUE"""),"SNS8")</f>
        <v>SNS8</v>
      </c>
      <c r="O1504" s="1"/>
      <c r="P1504" s="1"/>
    </row>
    <row r="1505" spans="1:16" ht="14.25" customHeight="1" x14ac:dyDescent="0.25">
      <c r="A1505" s="1"/>
      <c r="B1505" s="1">
        <f ca="1"/>
        <v>1493</v>
      </c>
      <c r="C1505" s="1">
        <f ca="1">IFERROR(__xludf.DUMMYFUNCTION("""COMPUTED_VALUE"""),2023)</f>
        <v>2023</v>
      </c>
      <c r="D1505" s="1">
        <f ca="1">IFERROR(__xludf.DUMMYFUNCTION("""COMPUTED_VALUE"""),41872)</f>
        <v>41872</v>
      </c>
      <c r="E1505" s="1" t="str">
        <f ca="1">IFERROR(__xludf.DUMMYFUNCTION("""COMPUTED_VALUE"""),"Life Cycle Reliability and Safety Engineering")</f>
        <v>Life Cycle Reliability and Safety Engineering</v>
      </c>
      <c r="F1505" s="1" t="str">
        <f ca="1">IFERROR(__xludf.DUMMYFUNCTION("""COMPUTED_VALUE"""),"2520-1360")</f>
        <v>2520-1360</v>
      </c>
      <c r="G1505" s="1" t="str">
        <f ca="1">IFERROR(__xludf.DUMMYFUNCTION("""COMPUTED_VALUE"""),"2520-1352")</f>
        <v>2520-1352</v>
      </c>
      <c r="H1505" s="27" t="str">
        <f ca="1">IFERROR(__xludf.DUMMYFUNCTION("""COMPUTED_VALUE"""),"https://link.springer.com/journal/41872")</f>
        <v>https://link.springer.com/journal/41872</v>
      </c>
      <c r="I1505" s="1" t="str">
        <f ca="1">IFERROR(__xludf.DUMMYFUNCTION("""COMPUTED_VALUE"""),"Springer")</f>
        <v>Springer</v>
      </c>
      <c r="J1505" s="1">
        <f ca="1">IFERROR(__xludf.DUMMYFUNCTION("""COMPUTED_VALUE"""),2017)</f>
        <v>2017</v>
      </c>
      <c r="K1505" s="1" t="str">
        <f ca="1">IFERROR(__xludf.DUMMYFUNCTION("""COMPUTED_VALUE"""),"Engineering")</f>
        <v>Engineering</v>
      </c>
      <c r="L1505" s="1" t="str">
        <f ca="1">IFERROR(__xludf.DUMMYFUNCTION("""COMPUTED_VALUE"""),"〇")</f>
        <v>〇</v>
      </c>
      <c r="M1505" s="1"/>
      <c r="N1505" s="1" t="str">
        <f ca="1">IFERROR(__xludf.DUMMYFUNCTION("""COMPUTED_VALUE"""),"TO17")</f>
        <v>TO17</v>
      </c>
      <c r="O1505" s="1"/>
      <c r="P1505" s="1"/>
    </row>
    <row r="1506" spans="1:16" ht="14.25" customHeight="1" x14ac:dyDescent="0.25">
      <c r="A1506" s="1"/>
      <c r="B1506" s="1">
        <f ca="1"/>
        <v>1494</v>
      </c>
      <c r="C1506" s="1">
        <f ca="1">IFERROR(__xludf.DUMMYFUNCTION("""COMPUTED_VALUE"""),2023)</f>
        <v>2023</v>
      </c>
      <c r="D1506" s="1">
        <f ca="1">IFERROR(__xludf.DUMMYFUNCTION("""COMPUTED_VALUE"""),10985)</f>
        <v>10985</v>
      </c>
      <c r="E1506" s="1" t="str">
        <f ca="1">IFERROR(__xludf.DUMMYFUNCTION("""COMPUTED_VALUE"""),"Lifetime Data Analysis")</f>
        <v>Lifetime Data Analysis</v>
      </c>
      <c r="F1506" s="1" t="str">
        <f ca="1">IFERROR(__xludf.DUMMYFUNCTION("""COMPUTED_VALUE"""),"1572-9249")</f>
        <v>1572-9249</v>
      </c>
      <c r="G1506" s="1" t="str">
        <f ca="1">IFERROR(__xludf.DUMMYFUNCTION("""COMPUTED_VALUE"""),"1380-7870")</f>
        <v>1380-7870</v>
      </c>
      <c r="H1506" s="27" t="str">
        <f ca="1">IFERROR(__xludf.DUMMYFUNCTION("""COMPUTED_VALUE"""),"https://link.springer.com/journal/10985")</f>
        <v>https://link.springer.com/journal/10985</v>
      </c>
      <c r="I1506" s="1" t="str">
        <f ca="1">IFERROR(__xludf.DUMMYFUNCTION("""COMPUTED_VALUE"""),"Springer")</f>
        <v>Springer</v>
      </c>
      <c r="J1506" s="1">
        <f ca="1">IFERROR(__xludf.DUMMYFUNCTION("""COMPUTED_VALUE"""),2000)</f>
        <v>2000</v>
      </c>
      <c r="K1506" s="1" t="str">
        <f ca="1">IFERROR(__xludf.DUMMYFUNCTION("""COMPUTED_VALUE"""),"Mathematics and Statistics")</f>
        <v>Mathematics and Statistics</v>
      </c>
      <c r="L1506" s="1" t="str">
        <f ca="1">IFERROR(__xludf.DUMMYFUNCTION("""COMPUTED_VALUE"""),"〇")</f>
        <v>〇</v>
      </c>
      <c r="M1506" s="1" t="str">
        <f ca="1">IFERROR(__xludf.DUMMYFUNCTION("""COMPUTED_VALUE"""),"〇")</f>
        <v>〇</v>
      </c>
      <c r="N1506" s="1"/>
      <c r="O1506" s="1"/>
      <c r="P1506" s="1"/>
    </row>
    <row r="1507" spans="1:16" ht="14.25" customHeight="1" x14ac:dyDescent="0.25">
      <c r="A1507" s="1"/>
      <c r="B1507" s="1">
        <f ca="1"/>
        <v>1495</v>
      </c>
      <c r="C1507" s="1">
        <f ca="1">IFERROR(__xludf.DUMMYFUNCTION("""COMPUTED_VALUE"""),2023)</f>
        <v>2023</v>
      </c>
      <c r="D1507" s="1">
        <f ca="1">IFERROR(__xludf.DUMMYFUNCTION("""COMPUTED_VALUE"""),10201)</f>
        <v>10201</v>
      </c>
      <c r="E1507" s="1" t="str">
        <f ca="1">IFERROR(__xludf.DUMMYFUNCTION("""COMPUTED_VALUE"""),"Limnology")</f>
        <v>Limnology</v>
      </c>
      <c r="F1507" s="1" t="str">
        <f ca="1">IFERROR(__xludf.DUMMYFUNCTION("""COMPUTED_VALUE"""),"1439-863X")</f>
        <v>1439-863X</v>
      </c>
      <c r="G1507" s="1" t="str">
        <f ca="1">IFERROR(__xludf.DUMMYFUNCTION("""COMPUTED_VALUE"""),"1439-8621")</f>
        <v>1439-8621</v>
      </c>
      <c r="H1507" s="27" t="str">
        <f ca="1">IFERROR(__xludf.DUMMYFUNCTION("""COMPUTED_VALUE"""),"https://link.springer.com/journal/10201")</f>
        <v>https://link.springer.com/journal/10201</v>
      </c>
      <c r="I1507" s="1" t="str">
        <f ca="1">IFERROR(__xludf.DUMMYFUNCTION("""COMPUTED_VALUE"""),"Springer")</f>
        <v>Springer</v>
      </c>
      <c r="J1507" s="1">
        <f ca="1">IFERROR(__xludf.DUMMYFUNCTION("""COMPUTED_VALUE"""),2000)</f>
        <v>2000</v>
      </c>
      <c r="K1507" s="1" t="str">
        <f ca="1">IFERROR(__xludf.DUMMYFUNCTION("""COMPUTED_VALUE"""),"Biomedical and Life Sciences")</f>
        <v>Biomedical and Life Sciences</v>
      </c>
      <c r="L1507" s="1" t="str">
        <f ca="1">IFERROR(__xludf.DUMMYFUNCTION("""COMPUTED_VALUE"""),"〇")</f>
        <v>〇</v>
      </c>
      <c r="M1507" s="1" t="str">
        <f ca="1">IFERROR(__xludf.DUMMYFUNCTION("""COMPUTED_VALUE"""),"〇")</f>
        <v>〇</v>
      </c>
      <c r="N1507" s="1"/>
      <c r="O1507" s="1"/>
      <c r="P1507" s="1"/>
    </row>
    <row r="1508" spans="1:16" ht="14.25" customHeight="1" x14ac:dyDescent="0.25">
      <c r="A1508" s="1"/>
      <c r="B1508" s="1">
        <f ca="1"/>
        <v>1496</v>
      </c>
      <c r="C1508" s="1">
        <f ca="1">IFERROR(__xludf.DUMMYFUNCTION("""COMPUTED_VALUE"""),2023)</f>
        <v>2023</v>
      </c>
      <c r="D1508" s="1">
        <f ca="1">IFERROR(__xludf.DUMMYFUNCTION("""COMPUTED_VALUE"""),10988)</f>
        <v>10988</v>
      </c>
      <c r="E1508" s="1" t="str">
        <f ca="1">IFERROR(__xludf.DUMMYFUNCTION("""COMPUTED_VALUE"""),"Linguistics and Philosophy")</f>
        <v>Linguistics and Philosophy</v>
      </c>
      <c r="F1508" s="1" t="str">
        <f ca="1">IFERROR(__xludf.DUMMYFUNCTION("""COMPUTED_VALUE"""),"1573-0549")</f>
        <v>1573-0549</v>
      </c>
      <c r="G1508" s="1" t="str">
        <f ca="1">IFERROR(__xludf.DUMMYFUNCTION("""COMPUTED_VALUE"""),"0165-0157")</f>
        <v>0165-0157</v>
      </c>
      <c r="H1508" s="27" t="str">
        <f ca="1">IFERROR(__xludf.DUMMYFUNCTION("""COMPUTED_VALUE"""),"https://link.springer.com/journal/10988")</f>
        <v>https://link.springer.com/journal/10988</v>
      </c>
      <c r="I1508" s="1" t="str">
        <f ca="1">IFERROR(__xludf.DUMMYFUNCTION("""COMPUTED_VALUE"""),"Springer")</f>
        <v>Springer</v>
      </c>
      <c r="J1508" s="1">
        <f ca="1">IFERROR(__xludf.DUMMYFUNCTION("""COMPUTED_VALUE"""),2000)</f>
        <v>2000</v>
      </c>
      <c r="K1508" s="1" t="str">
        <f ca="1">IFERROR(__xludf.DUMMYFUNCTION("""COMPUTED_VALUE"""),"Social Sciences")</f>
        <v>Social Sciences</v>
      </c>
      <c r="L1508" s="1" t="str">
        <f ca="1">IFERROR(__xludf.DUMMYFUNCTION("""COMPUTED_VALUE"""),"〇")</f>
        <v>〇</v>
      </c>
      <c r="M1508" s="1" t="str">
        <f ca="1">IFERROR(__xludf.DUMMYFUNCTION("""COMPUTED_VALUE"""),"〇")</f>
        <v>〇</v>
      </c>
      <c r="N1508" s="1"/>
      <c r="O1508" s="1"/>
      <c r="P1508" s="1"/>
    </row>
    <row r="1509" spans="1:16" ht="14.25" customHeight="1" x14ac:dyDescent="0.25">
      <c r="A1509" s="1"/>
      <c r="B1509" s="1">
        <f ca="1"/>
        <v>1497</v>
      </c>
      <c r="C1509" s="1">
        <f ca="1">IFERROR(__xludf.DUMMYFUNCTION("""COMPUTED_VALUE"""),2023)</f>
        <v>2023</v>
      </c>
      <c r="D1509" s="1">
        <f ca="1">IFERROR(__xludf.DUMMYFUNCTION("""COMPUTED_VALUE"""),41025)</f>
        <v>41025</v>
      </c>
      <c r="E1509" s="1" t="str">
        <f ca="1">IFERROR(__xludf.DUMMYFUNCTION("""COMPUTED_VALUE"""),"List Forum für Wirtschafts- und Finanzpolitik")</f>
        <v>List Forum für Wirtschafts- und Finanzpolitik</v>
      </c>
      <c r="F1509" s="1" t="str">
        <f ca="1">IFERROR(__xludf.DUMMYFUNCTION("""COMPUTED_VALUE"""),"2364-3943")</f>
        <v>2364-3943</v>
      </c>
      <c r="G1509" s="1" t="str">
        <f ca="1">IFERROR(__xludf.DUMMYFUNCTION("""COMPUTED_VALUE"""),"0937-0862")</f>
        <v>0937-0862</v>
      </c>
      <c r="H1509" s="27" t="str">
        <f ca="1">IFERROR(__xludf.DUMMYFUNCTION("""COMPUTED_VALUE"""),"https://link.springer.com/journal/41025")</f>
        <v>https://link.springer.com/journal/41025</v>
      </c>
      <c r="I1509" s="1" t="str">
        <f ca="1">IFERROR(__xludf.DUMMYFUNCTION("""COMPUTED_VALUE"""),"Springer Gabler")</f>
        <v>Springer Gabler</v>
      </c>
      <c r="J1509" s="1">
        <f ca="1">IFERROR(__xludf.DUMMYFUNCTION("""COMPUTED_VALUE"""),2005)</f>
        <v>2005</v>
      </c>
      <c r="K1509" s="1" t="str">
        <f ca="1">IFERROR(__xludf.DUMMYFUNCTION("""COMPUTED_VALUE"""),"Economics and Finance")</f>
        <v>Economics and Finance</v>
      </c>
      <c r="L1509" s="1" t="str">
        <f ca="1">IFERROR(__xludf.DUMMYFUNCTION("""COMPUTED_VALUE"""),"〇")</f>
        <v>〇</v>
      </c>
      <c r="M1509" s="1"/>
      <c r="N1509" s="1" t="str">
        <f ca="1">IFERROR(__xludf.DUMMYFUNCTION("""COMPUTED_VALUE"""),"TO15")</f>
        <v>TO15</v>
      </c>
      <c r="O1509" s="1"/>
      <c r="P1509" s="1"/>
    </row>
    <row r="1510" spans="1:16" ht="14.25" customHeight="1" x14ac:dyDescent="0.25">
      <c r="A1510" s="1"/>
      <c r="B1510" s="1">
        <f ca="1"/>
        <v>1498</v>
      </c>
      <c r="C1510" s="1">
        <f ca="1">IFERROR(__xludf.DUMMYFUNCTION("""COMPUTED_VALUE"""),2023)</f>
        <v>2023</v>
      </c>
      <c r="D1510" s="1">
        <f ca="1">IFERROR(__xludf.DUMMYFUNCTION("""COMPUTED_VALUE"""),10987)</f>
        <v>10987</v>
      </c>
      <c r="E1510" s="1" t="str">
        <f ca="1">IFERROR(__xludf.DUMMYFUNCTION("""COMPUTED_VALUE"""),"Lithology and Mineral Resources")</f>
        <v>Lithology and Mineral Resources</v>
      </c>
      <c r="F1510" s="1" t="str">
        <f ca="1">IFERROR(__xludf.DUMMYFUNCTION("""COMPUTED_VALUE"""),"1608-3229")</f>
        <v>1608-3229</v>
      </c>
      <c r="G1510" s="1" t="str">
        <f ca="1">IFERROR(__xludf.DUMMYFUNCTION("""COMPUTED_VALUE"""),"0024-4902")</f>
        <v>0024-4902</v>
      </c>
      <c r="H1510" s="27" t="str">
        <f ca="1">IFERROR(__xludf.DUMMYFUNCTION("""COMPUTED_VALUE"""),"https://link.springer.com/journal/10987")</f>
        <v>https://link.springer.com/journal/10987</v>
      </c>
      <c r="I1510" s="1" t="str">
        <f ca="1">IFERROR(__xludf.DUMMYFUNCTION("""COMPUTED_VALUE"""),"Pleiades Publishing")</f>
        <v>Pleiades Publishing</v>
      </c>
      <c r="J1510" s="1">
        <f ca="1">IFERROR(__xludf.DUMMYFUNCTION("""COMPUTED_VALUE"""),2000)</f>
        <v>2000</v>
      </c>
      <c r="K1510" s="1" t="str">
        <f ca="1">IFERROR(__xludf.DUMMYFUNCTION("""COMPUTED_VALUE"""),"Earth and Environmental Science")</f>
        <v>Earth and Environmental Science</v>
      </c>
      <c r="L1510" s="1" t="str">
        <f ca="1">IFERROR(__xludf.DUMMYFUNCTION("""COMPUTED_VALUE"""),"〇")</f>
        <v>〇</v>
      </c>
      <c r="M1510" s="1" t="str">
        <f ca="1">IFERROR(__xludf.DUMMYFUNCTION("""COMPUTED_VALUE"""),"〇")</f>
        <v>〇</v>
      </c>
      <c r="N1510" s="1"/>
      <c r="O1510" s="1"/>
      <c r="P1510" s="1"/>
    </row>
    <row r="1511" spans="1:16" ht="14.25" customHeight="1" x14ac:dyDescent="0.25">
      <c r="A1511" s="1"/>
      <c r="B1511" s="1">
        <f ca="1"/>
        <v>1499</v>
      </c>
      <c r="C1511" s="1">
        <f ca="1">IFERROR(__xludf.DUMMYFUNCTION("""COMPUTED_VALUE"""),2023)</f>
        <v>2023</v>
      </c>
      <c r="D1511" s="1">
        <f ca="1">IFERROR(__xludf.DUMMYFUNCTION("""COMPUTED_VALUE"""),10986)</f>
        <v>10986</v>
      </c>
      <c r="E1511" s="1" t="str">
        <f ca="1">IFERROR(__xludf.DUMMYFUNCTION("""COMPUTED_VALUE"""),"Lithuanian Mathematical Journal")</f>
        <v>Lithuanian Mathematical Journal</v>
      </c>
      <c r="F1511" s="1" t="str">
        <f ca="1">IFERROR(__xludf.DUMMYFUNCTION("""COMPUTED_VALUE"""),"1573-8825")</f>
        <v>1573-8825</v>
      </c>
      <c r="G1511" s="1" t="str">
        <f ca="1">IFERROR(__xludf.DUMMYFUNCTION("""COMPUTED_VALUE"""),"0363-1672")</f>
        <v>0363-1672</v>
      </c>
      <c r="H1511" s="27" t="str">
        <f ca="1">IFERROR(__xludf.DUMMYFUNCTION("""COMPUTED_VALUE"""),"https://link.springer.com/journal/10986")</f>
        <v>https://link.springer.com/journal/10986</v>
      </c>
      <c r="I1511" s="1" t="str">
        <f ca="1">IFERROR(__xludf.DUMMYFUNCTION("""COMPUTED_VALUE"""),"Springer")</f>
        <v>Springer</v>
      </c>
      <c r="J1511" s="1">
        <f ca="1">IFERROR(__xludf.DUMMYFUNCTION("""COMPUTED_VALUE"""),2000)</f>
        <v>2000</v>
      </c>
      <c r="K1511" s="1" t="str">
        <f ca="1">IFERROR(__xludf.DUMMYFUNCTION("""COMPUTED_VALUE"""),"Mathematics and Statistics")</f>
        <v>Mathematics and Statistics</v>
      </c>
      <c r="L1511" s="1" t="str">
        <f ca="1">IFERROR(__xludf.DUMMYFUNCTION("""COMPUTED_VALUE"""),"〇")</f>
        <v>〇</v>
      </c>
      <c r="M1511" s="1" t="str">
        <f ca="1">IFERROR(__xludf.DUMMYFUNCTION("""COMPUTED_VALUE"""),"〇")</f>
        <v>〇</v>
      </c>
      <c r="N1511" s="1"/>
      <c r="O1511" s="1"/>
      <c r="P1511" s="1"/>
    </row>
    <row r="1512" spans="1:16" ht="14.25" customHeight="1" x14ac:dyDescent="0.25">
      <c r="A1512" s="1"/>
      <c r="B1512" s="1">
        <f ca="1"/>
        <v>1500</v>
      </c>
      <c r="C1512" s="1">
        <f ca="1">IFERROR(__xludf.DUMMYFUNCTION("""COMPUTED_VALUE"""),2023)</f>
        <v>2023</v>
      </c>
      <c r="D1512" s="1">
        <f ca="1">IFERROR(__xludf.DUMMYFUNCTION("""COMPUTED_VALUE"""),10991)</f>
        <v>10991</v>
      </c>
      <c r="E1512" s="1" t="str">
        <f ca="1">IFERROR(__xludf.DUMMYFUNCTION("""COMPUTED_VALUE"""),"Liverpool Law Review")</f>
        <v>Liverpool Law Review</v>
      </c>
      <c r="F1512" s="1" t="str">
        <f ca="1">IFERROR(__xludf.DUMMYFUNCTION("""COMPUTED_VALUE"""),"1572-8625")</f>
        <v>1572-8625</v>
      </c>
      <c r="G1512" s="1" t="str">
        <f ca="1">IFERROR(__xludf.DUMMYFUNCTION("""COMPUTED_VALUE"""),"0144-932X")</f>
        <v>0144-932X</v>
      </c>
      <c r="H1512" s="27" t="str">
        <f ca="1">IFERROR(__xludf.DUMMYFUNCTION("""COMPUTED_VALUE"""),"https://link.springer.com/journal/10991")</f>
        <v>https://link.springer.com/journal/10991</v>
      </c>
      <c r="I1512" s="1" t="str">
        <f ca="1">IFERROR(__xludf.DUMMYFUNCTION("""COMPUTED_VALUE"""),"Springer")</f>
        <v>Springer</v>
      </c>
      <c r="J1512" s="1">
        <f ca="1">IFERROR(__xludf.DUMMYFUNCTION("""COMPUTED_VALUE"""),2000)</f>
        <v>2000</v>
      </c>
      <c r="K1512" s="1" t="str">
        <f ca="1">IFERROR(__xludf.DUMMYFUNCTION("""COMPUTED_VALUE"""),"Law and Criminology")</f>
        <v>Law and Criminology</v>
      </c>
      <c r="L1512" s="1" t="str">
        <f ca="1">IFERROR(__xludf.DUMMYFUNCTION("""COMPUTED_VALUE"""),"〇")</f>
        <v>〇</v>
      </c>
      <c r="M1512" s="1" t="str">
        <f ca="1">IFERROR(__xludf.DUMMYFUNCTION("""COMPUTED_VALUE"""),"〇")</f>
        <v>〇</v>
      </c>
      <c r="N1512" s="1"/>
      <c r="O1512" s="1"/>
      <c r="P1512" s="1"/>
    </row>
    <row r="1513" spans="1:16" ht="14.25" customHeight="1" x14ac:dyDescent="0.25">
      <c r="A1513" s="1"/>
      <c r="B1513" s="1">
        <f ca="1"/>
        <v>1501</v>
      </c>
      <c r="C1513" s="1">
        <f ca="1">IFERROR(__xludf.DUMMYFUNCTION("""COMPUTED_VALUE"""),2023)</f>
        <v>2023</v>
      </c>
      <c r="D1513" s="1">
        <f ca="1">IFERROR(__xludf.DUMMYFUNCTION("""COMPUTED_VALUE"""),12202)</f>
        <v>12202</v>
      </c>
      <c r="E1513" s="1" t="str">
        <f ca="1">IFERROR(__xludf.DUMMYFUNCTION("""COMPUTED_VALUE"""),"Lobachevskii Journal of Mathematics")</f>
        <v>Lobachevskii Journal of Mathematics</v>
      </c>
      <c r="F1513" s="1" t="str">
        <f ca="1">IFERROR(__xludf.DUMMYFUNCTION("""COMPUTED_VALUE"""),"1818-9962")</f>
        <v>1818-9962</v>
      </c>
      <c r="G1513" s="1" t="str">
        <f ca="1">IFERROR(__xludf.DUMMYFUNCTION("""COMPUTED_VALUE"""),"1995-0802")</f>
        <v>1995-0802</v>
      </c>
      <c r="H1513" s="27" t="str">
        <f ca="1">IFERROR(__xludf.DUMMYFUNCTION("""COMPUTED_VALUE"""),"https://link.springer.com/journal/12202")</f>
        <v>https://link.springer.com/journal/12202</v>
      </c>
      <c r="I1513" s="1" t="str">
        <f ca="1">IFERROR(__xludf.DUMMYFUNCTION("""COMPUTED_VALUE"""),"Pleiades Publishing")</f>
        <v>Pleiades Publishing</v>
      </c>
      <c r="J1513" s="1">
        <f ca="1">IFERROR(__xludf.DUMMYFUNCTION("""COMPUTED_VALUE"""),2008)</f>
        <v>2008</v>
      </c>
      <c r="K1513" s="1" t="str">
        <f ca="1">IFERROR(__xludf.DUMMYFUNCTION("""COMPUTED_VALUE"""),"Mathematics and Statistics")</f>
        <v>Mathematics and Statistics</v>
      </c>
      <c r="L1513" s="1" t="str">
        <f ca="1">IFERROR(__xludf.DUMMYFUNCTION("""COMPUTED_VALUE"""),"〇")</f>
        <v>〇</v>
      </c>
      <c r="M1513" s="1" t="str">
        <f ca="1">IFERROR(__xludf.DUMMYFUNCTION("""COMPUTED_VALUE"""),"〇")</f>
        <v>〇</v>
      </c>
      <c r="N1513" s="1" t="str">
        <f ca="1">IFERROR(__xludf.DUMMYFUNCTION("""COMPUTED_VALUE"""),"TO8")</f>
        <v>TO8</v>
      </c>
      <c r="O1513" s="1"/>
      <c r="P1513" s="1"/>
    </row>
    <row r="1514" spans="1:16" ht="14.25" customHeight="1" x14ac:dyDescent="0.25">
      <c r="A1514" s="1"/>
      <c r="B1514" s="1">
        <f ca="1"/>
        <v>1502</v>
      </c>
      <c r="C1514" s="1">
        <f ca="1">IFERROR(__xludf.DUMMYFUNCTION("""COMPUTED_VALUE"""),2023)</f>
        <v>2023</v>
      </c>
      <c r="D1514" s="1">
        <f ca="1">IFERROR(__xludf.DUMMYFUNCTION("""COMPUTED_VALUE"""),11787)</f>
        <v>11787</v>
      </c>
      <c r="E1514" s="1" t="str">
        <f ca="1">IFERROR(__xludf.DUMMYFUNCTION("""COMPUTED_VALUE"""),"Logica Universalis")</f>
        <v>Logica Universalis</v>
      </c>
      <c r="F1514" s="1" t="str">
        <f ca="1">IFERROR(__xludf.DUMMYFUNCTION("""COMPUTED_VALUE"""),"1661-8300")</f>
        <v>1661-8300</v>
      </c>
      <c r="G1514" s="1" t="str">
        <f ca="1">IFERROR(__xludf.DUMMYFUNCTION("""COMPUTED_VALUE"""),"1661-8297")</f>
        <v>1661-8297</v>
      </c>
      <c r="H1514" s="27" t="str">
        <f ca="1">IFERROR(__xludf.DUMMYFUNCTION("""COMPUTED_VALUE"""),"https://link.springer.com/journal/11787")</f>
        <v>https://link.springer.com/journal/11787</v>
      </c>
      <c r="I1514" s="1" t="str">
        <f ca="1">IFERROR(__xludf.DUMMYFUNCTION("""COMPUTED_VALUE"""),"Birkhäuser")</f>
        <v>Birkhäuser</v>
      </c>
      <c r="J1514" s="1">
        <f ca="1">IFERROR(__xludf.DUMMYFUNCTION("""COMPUTED_VALUE"""),2007)</f>
        <v>2007</v>
      </c>
      <c r="K1514" s="1" t="str">
        <f ca="1">IFERROR(__xludf.DUMMYFUNCTION("""COMPUTED_VALUE"""),"Mathematics and Statistics")</f>
        <v>Mathematics and Statistics</v>
      </c>
      <c r="L1514" s="1" t="str">
        <f ca="1">IFERROR(__xludf.DUMMYFUNCTION("""COMPUTED_VALUE"""),"〇")</f>
        <v>〇</v>
      </c>
      <c r="M1514" s="1" t="str">
        <f ca="1">IFERROR(__xludf.DUMMYFUNCTION("""COMPUTED_VALUE"""),"〇")</f>
        <v>〇</v>
      </c>
      <c r="N1514" s="1" t="str">
        <f ca="1">IFERROR(__xludf.DUMMYFUNCTION("""COMPUTED_VALUE"""),"SNS7")</f>
        <v>SNS7</v>
      </c>
      <c r="O1514" s="1"/>
      <c r="P1514" s="1"/>
    </row>
    <row r="1515" spans="1:16" ht="14.25" customHeight="1" x14ac:dyDescent="0.25">
      <c r="A1515" s="1"/>
      <c r="B1515" s="1">
        <f ca="1"/>
        <v>1503</v>
      </c>
      <c r="C1515" s="1">
        <f ca="1">IFERROR(__xludf.DUMMYFUNCTION("""COMPUTED_VALUE"""),2023)</f>
        <v>2023</v>
      </c>
      <c r="D1515" s="1">
        <f ca="1">IFERROR(__xludf.DUMMYFUNCTION("""COMPUTED_VALUE"""),408)</f>
        <v>408</v>
      </c>
      <c r="E1515" s="1" t="str">
        <f ca="1">IFERROR(__xludf.DUMMYFUNCTION("""COMPUTED_VALUE"""),"Lung")</f>
        <v>Lung</v>
      </c>
      <c r="F1515" s="1" t="str">
        <f ca="1">IFERROR(__xludf.DUMMYFUNCTION("""COMPUTED_VALUE"""),"1432-1750")</f>
        <v>1432-1750</v>
      </c>
      <c r="G1515" s="1"/>
      <c r="H1515" s="27" t="str">
        <f ca="1">IFERROR(__xludf.DUMMYFUNCTION("""COMPUTED_VALUE"""),"https://link.springer.com/journal/408")</f>
        <v>https://link.springer.com/journal/408</v>
      </c>
      <c r="I1515" s="1" t="str">
        <f ca="1">IFERROR(__xludf.DUMMYFUNCTION("""COMPUTED_VALUE"""),"Springer")</f>
        <v>Springer</v>
      </c>
      <c r="J1515" s="1">
        <f ca="1">IFERROR(__xludf.DUMMYFUNCTION("""COMPUTED_VALUE"""),2000)</f>
        <v>2000</v>
      </c>
      <c r="K1515" s="1" t="str">
        <f ca="1">IFERROR(__xludf.DUMMYFUNCTION("""COMPUTED_VALUE"""),"Medicine")</f>
        <v>Medicine</v>
      </c>
      <c r="L1515" s="1"/>
      <c r="M1515" s="1" t="str">
        <f ca="1">IFERROR(__xludf.DUMMYFUNCTION("""COMPUTED_VALUE"""),"〇")</f>
        <v>〇</v>
      </c>
      <c r="N1515" s="1"/>
      <c r="O1515" s="1"/>
      <c r="P1515" s="1"/>
    </row>
    <row r="1516" spans="1:16" ht="14.25" customHeight="1" x14ac:dyDescent="0.25">
      <c r="A1516" s="1"/>
      <c r="B1516" s="1">
        <f ca="1"/>
        <v>1504</v>
      </c>
      <c r="C1516" s="1">
        <f ca="1">IFERROR(__xludf.DUMMYFUNCTION("""COMPUTED_VALUE"""),2023)</f>
        <v>2023</v>
      </c>
      <c r="D1516" s="1">
        <f ca="1">IFERROR(__xludf.DUMMYFUNCTION("""COMPUTED_VALUE"""),11633)</f>
        <v>11633</v>
      </c>
      <c r="E1516" s="1" t="str">
        <f ca="1">IFERROR(__xludf.DUMMYFUNCTION("""COMPUTED_VALUE"""),"Machine Intelligence Research")</f>
        <v>Machine Intelligence Research</v>
      </c>
      <c r="F1516" s="1" t="str">
        <f ca="1">IFERROR(__xludf.DUMMYFUNCTION("""COMPUTED_VALUE"""),"1751-8520")</f>
        <v>1751-8520</v>
      </c>
      <c r="G1516" s="1" t="str">
        <f ca="1">IFERROR(__xludf.DUMMYFUNCTION("""COMPUTED_VALUE"""),"1476-8186")</f>
        <v>1476-8186</v>
      </c>
      <c r="H1516" s="27" t="str">
        <f ca="1">IFERROR(__xludf.DUMMYFUNCTION("""COMPUTED_VALUE"""),"https://link.springer.com/journal/11633")</f>
        <v>https://link.springer.com/journal/11633</v>
      </c>
      <c r="I1516" s="1" t="str">
        <f ca="1">IFERROR(__xludf.DUMMYFUNCTION("""COMPUTED_VALUE"""),"Institute of Automation, Chinese Academy of Sciences, co-published with Springer")</f>
        <v>Institute of Automation, Chinese Academy of Sciences, co-published with Springer</v>
      </c>
      <c r="J1516" s="1">
        <f ca="1">IFERROR(__xludf.DUMMYFUNCTION("""COMPUTED_VALUE"""),2004)</f>
        <v>2004</v>
      </c>
      <c r="K1516" s="1" t="str">
        <f ca="1">IFERROR(__xludf.DUMMYFUNCTION("""COMPUTED_VALUE"""),"Computer Science")</f>
        <v>Computer Science</v>
      </c>
      <c r="L1516" s="1" t="str">
        <f ca="1">IFERROR(__xludf.DUMMYFUNCTION("""COMPUTED_VALUE"""),"〇")</f>
        <v>〇</v>
      </c>
      <c r="M1516" s="1" t="str">
        <f ca="1">IFERROR(__xludf.DUMMYFUNCTION("""COMPUTED_VALUE"""),"〇")</f>
        <v>〇</v>
      </c>
      <c r="N1516" s="1" t="str">
        <f ca="1">IFERROR(__xludf.DUMMYFUNCTION("""COMPUTED_VALUE"""),"TO7")</f>
        <v>TO7</v>
      </c>
      <c r="O1516" s="1"/>
      <c r="P1516" s="1"/>
    </row>
    <row r="1517" spans="1:16" ht="14.25" customHeight="1" x14ac:dyDescent="0.25">
      <c r="A1517" s="1"/>
      <c r="B1517" s="1">
        <f ca="1"/>
        <v>1505</v>
      </c>
      <c r="C1517" s="1">
        <f ca="1">IFERROR(__xludf.DUMMYFUNCTION("""COMPUTED_VALUE"""),2023)</f>
        <v>2023</v>
      </c>
      <c r="D1517" s="1">
        <f ca="1">IFERROR(__xludf.DUMMYFUNCTION("""COMPUTED_VALUE"""),10994)</f>
        <v>10994</v>
      </c>
      <c r="E1517" s="1" t="str">
        <f ca="1">IFERROR(__xludf.DUMMYFUNCTION("""COMPUTED_VALUE"""),"Machine Learning")</f>
        <v>Machine Learning</v>
      </c>
      <c r="F1517" s="1" t="str">
        <f ca="1">IFERROR(__xludf.DUMMYFUNCTION("""COMPUTED_VALUE"""),"1573-0565")</f>
        <v>1573-0565</v>
      </c>
      <c r="G1517" s="1" t="str">
        <f ca="1">IFERROR(__xludf.DUMMYFUNCTION("""COMPUTED_VALUE"""),"0885-6125")</f>
        <v>0885-6125</v>
      </c>
      <c r="H1517" s="27" t="str">
        <f ca="1">IFERROR(__xludf.DUMMYFUNCTION("""COMPUTED_VALUE"""),"https://link.springer.com/journal/10994")</f>
        <v>https://link.springer.com/journal/10994</v>
      </c>
      <c r="I1517" s="1" t="str">
        <f ca="1">IFERROR(__xludf.DUMMYFUNCTION("""COMPUTED_VALUE"""),"Springer")</f>
        <v>Springer</v>
      </c>
      <c r="J1517" s="1">
        <f ca="1">IFERROR(__xludf.DUMMYFUNCTION("""COMPUTED_VALUE"""),2000)</f>
        <v>2000</v>
      </c>
      <c r="K1517" s="1" t="str">
        <f ca="1">IFERROR(__xludf.DUMMYFUNCTION("""COMPUTED_VALUE"""),"Computer Science")</f>
        <v>Computer Science</v>
      </c>
      <c r="L1517" s="1" t="str">
        <f ca="1">IFERROR(__xludf.DUMMYFUNCTION("""COMPUTED_VALUE"""),"〇")</f>
        <v>〇</v>
      </c>
      <c r="M1517" s="1" t="str">
        <f ca="1">IFERROR(__xludf.DUMMYFUNCTION("""COMPUTED_VALUE"""),"〇")</f>
        <v>〇</v>
      </c>
      <c r="N1517" s="1"/>
      <c r="O1517" s="1"/>
      <c r="P1517" s="1"/>
    </row>
    <row r="1518" spans="1:16" ht="14.25" customHeight="1" x14ac:dyDescent="0.25">
      <c r="A1518" s="1"/>
      <c r="B1518" s="1">
        <f ca="1"/>
        <v>1506</v>
      </c>
      <c r="C1518" s="1">
        <f ca="1">IFERROR(__xludf.DUMMYFUNCTION("""COMPUTED_VALUE"""),2023)</f>
        <v>2023</v>
      </c>
      <c r="D1518" s="1">
        <f ca="1">IFERROR(__xludf.DUMMYFUNCTION("""COMPUTED_VALUE"""),138)</f>
        <v>138</v>
      </c>
      <c r="E1518" s="1" t="str">
        <f ca="1">IFERROR(__xludf.DUMMYFUNCTION("""COMPUTED_VALUE"""),"Machine Vision and Applications")</f>
        <v>Machine Vision and Applications</v>
      </c>
      <c r="F1518" s="1" t="str">
        <f ca="1">IFERROR(__xludf.DUMMYFUNCTION("""COMPUTED_VALUE"""),"1432-1769")</f>
        <v>1432-1769</v>
      </c>
      <c r="G1518" s="1" t="str">
        <f ca="1">IFERROR(__xludf.DUMMYFUNCTION("""COMPUTED_VALUE"""),"0932-8092")</f>
        <v>0932-8092</v>
      </c>
      <c r="H1518" s="27" t="str">
        <f ca="1">IFERROR(__xludf.DUMMYFUNCTION("""COMPUTED_VALUE"""),"https://link.springer.com/journal/138")</f>
        <v>https://link.springer.com/journal/138</v>
      </c>
      <c r="I1518" s="1" t="str">
        <f ca="1">IFERROR(__xludf.DUMMYFUNCTION("""COMPUTED_VALUE"""),"Springer")</f>
        <v>Springer</v>
      </c>
      <c r="J1518" s="1">
        <f ca="1">IFERROR(__xludf.DUMMYFUNCTION("""COMPUTED_VALUE"""),2000)</f>
        <v>2000</v>
      </c>
      <c r="K1518" s="1" t="str">
        <f ca="1">IFERROR(__xludf.DUMMYFUNCTION("""COMPUTED_VALUE"""),"Computer Science")</f>
        <v>Computer Science</v>
      </c>
      <c r="L1518" s="1" t="str">
        <f ca="1">IFERROR(__xludf.DUMMYFUNCTION("""COMPUTED_VALUE"""),"〇")</f>
        <v>〇</v>
      </c>
      <c r="M1518" s="1" t="str">
        <f ca="1">IFERROR(__xludf.DUMMYFUNCTION("""COMPUTED_VALUE"""),"〇")</f>
        <v>〇</v>
      </c>
      <c r="N1518" s="1"/>
      <c r="O1518" s="1"/>
      <c r="P1518" s="1"/>
    </row>
    <row r="1519" spans="1:16" ht="14.25" customHeight="1" x14ac:dyDescent="0.25">
      <c r="A1519" s="1"/>
      <c r="B1519" s="1">
        <f ca="1"/>
        <v>1507</v>
      </c>
      <c r="C1519" s="1">
        <f ca="1">IFERROR(__xludf.DUMMYFUNCTION("""COMPUTED_VALUE"""),2023)</f>
        <v>2023</v>
      </c>
      <c r="D1519" s="1">
        <f ca="1">IFERROR(__xludf.DUMMYFUNCTION("""COMPUTED_VALUE"""),13233)</f>
        <v>13233</v>
      </c>
      <c r="E1519" s="1" t="str">
        <f ca="1">IFERROR(__xludf.DUMMYFUNCTION("""COMPUTED_VALUE"""),"Macromolecular Research")</f>
        <v>Macromolecular Research</v>
      </c>
      <c r="F1519" s="1" t="str">
        <f ca="1">IFERROR(__xludf.DUMMYFUNCTION("""COMPUTED_VALUE"""),"2092-7673")</f>
        <v>2092-7673</v>
      </c>
      <c r="G1519" s="1" t="str">
        <f ca="1">IFERROR(__xludf.DUMMYFUNCTION("""COMPUTED_VALUE"""),"1598-5032")</f>
        <v>1598-5032</v>
      </c>
      <c r="H1519" s="27" t="str">
        <f ca="1">IFERROR(__xludf.DUMMYFUNCTION("""COMPUTED_VALUE"""),"https://link.springer.com/journal/13233")</f>
        <v>https://link.springer.com/journal/13233</v>
      </c>
      <c r="I1519" s="1" t="str">
        <f ca="1">IFERROR(__xludf.DUMMYFUNCTION("""COMPUTED_VALUE"""),"The Polymer Society of Korea, co-published with Springer")</f>
        <v>The Polymer Society of Korea, co-published with Springer</v>
      </c>
      <c r="J1519" s="1">
        <f ca="1">IFERROR(__xludf.DUMMYFUNCTION("""COMPUTED_VALUE"""),2002)</f>
        <v>2002</v>
      </c>
      <c r="K1519" s="1" t="str">
        <f ca="1">IFERROR(__xludf.DUMMYFUNCTION("""COMPUTED_VALUE"""),"Chemistry and Materials Science")</f>
        <v>Chemistry and Materials Science</v>
      </c>
      <c r="L1519" s="1" t="str">
        <f ca="1">IFERROR(__xludf.DUMMYFUNCTION("""COMPUTED_VALUE"""),"〇")</f>
        <v>〇</v>
      </c>
      <c r="M1519" s="1"/>
      <c r="N1519" s="1" t="str">
        <f ca="1">IFERROR(__xludf.DUMMYFUNCTION("""COMPUTED_VALUE"""),"TO10")</f>
        <v>TO10</v>
      </c>
      <c r="O1519" s="1"/>
      <c r="P1519" s="1"/>
    </row>
    <row r="1520" spans="1:16" ht="14.25" customHeight="1" x14ac:dyDescent="0.25">
      <c r="A1520" s="1"/>
      <c r="B1520" s="1">
        <f ca="1"/>
        <v>1508</v>
      </c>
      <c r="C1520" s="1">
        <f ca="1">IFERROR(__xludf.DUMMYFUNCTION("""COMPUTED_VALUE"""),2023)</f>
        <v>2023</v>
      </c>
      <c r="D1520" s="1">
        <f ca="1">IFERROR(__xludf.DUMMYFUNCTION("""COMPUTED_VALUE"""),10334)</f>
        <v>10334</v>
      </c>
      <c r="E1520" s="1" t="str">
        <f ca="1">IFERROR(__xludf.DUMMYFUNCTION("""COMPUTED_VALUE"""),"Magnetic Resonance Materials in Physics, Biology and Medicine")</f>
        <v>Magnetic Resonance Materials in Physics, Biology and Medicine</v>
      </c>
      <c r="F1520" s="1" t="str">
        <f ca="1">IFERROR(__xludf.DUMMYFUNCTION("""COMPUTED_VALUE"""),"1352-8661")</f>
        <v>1352-8661</v>
      </c>
      <c r="G1520" s="1"/>
      <c r="H1520" s="27" t="str">
        <f ca="1">IFERROR(__xludf.DUMMYFUNCTION("""COMPUTED_VALUE"""),"https://link.springer.com/journal/10334")</f>
        <v>https://link.springer.com/journal/10334</v>
      </c>
      <c r="I1520" s="1" t="str">
        <f ca="1">IFERROR(__xludf.DUMMYFUNCTION("""COMPUTED_VALUE"""),"Springer")</f>
        <v>Springer</v>
      </c>
      <c r="J1520" s="1">
        <f ca="1">IFERROR(__xludf.DUMMYFUNCTION("""COMPUTED_VALUE"""),2000)</f>
        <v>2000</v>
      </c>
      <c r="K1520" s="1" t="str">
        <f ca="1">IFERROR(__xludf.DUMMYFUNCTION("""COMPUTED_VALUE"""),"Medicine")</f>
        <v>Medicine</v>
      </c>
      <c r="L1520" s="1"/>
      <c r="M1520" s="1" t="str">
        <f ca="1">IFERROR(__xludf.DUMMYFUNCTION("""COMPUTED_VALUE"""),"〇")</f>
        <v>〇</v>
      </c>
      <c r="N1520" s="1"/>
      <c r="O1520" s="1"/>
      <c r="P1520" s="1"/>
    </row>
    <row r="1521" spans="1:16" ht="14.25" customHeight="1" x14ac:dyDescent="0.25">
      <c r="A1521" s="1"/>
      <c r="B1521" s="1">
        <f ca="1"/>
        <v>1509</v>
      </c>
      <c r="C1521" s="1">
        <f ca="1">IFERROR(__xludf.DUMMYFUNCTION("""COMPUTED_VALUE"""),2023)</f>
        <v>2023</v>
      </c>
      <c r="D1521" s="1">
        <f ca="1">IFERROR(__xludf.DUMMYFUNCTION("""COMPUTED_VALUE"""),13364)</f>
        <v>13364</v>
      </c>
      <c r="E1521" s="1" t="str">
        <f ca="1">IFERROR(__xludf.DUMMYFUNCTION("""COMPUTED_VALUE"""),"Mammal Research")</f>
        <v>Mammal Research</v>
      </c>
      <c r="F1521" s="1" t="str">
        <f ca="1">IFERROR(__xludf.DUMMYFUNCTION("""COMPUTED_VALUE"""),"2199-241X")</f>
        <v>2199-241X</v>
      </c>
      <c r="G1521" s="1" t="str">
        <f ca="1">IFERROR(__xludf.DUMMYFUNCTION("""COMPUTED_VALUE"""),"2199-2401")</f>
        <v>2199-2401</v>
      </c>
      <c r="H1521" s="27" t="str">
        <f ca="1">IFERROR(__xludf.DUMMYFUNCTION("""COMPUTED_VALUE"""),"https://link.springer.com/journal/13364")</f>
        <v>https://link.springer.com/journal/13364</v>
      </c>
      <c r="I1521" s="1" t="str">
        <f ca="1">IFERROR(__xludf.DUMMYFUNCTION("""COMPUTED_VALUE"""),"Springer")</f>
        <v>Springer</v>
      </c>
      <c r="J1521" s="1">
        <f ca="1">IFERROR(__xludf.DUMMYFUNCTION("""COMPUTED_VALUE"""),2001)</f>
        <v>2001</v>
      </c>
      <c r="K1521" s="1" t="str">
        <f ca="1">IFERROR(__xludf.DUMMYFUNCTION("""COMPUTED_VALUE"""),"Biomedical and Life Sciences")</f>
        <v>Biomedical and Life Sciences</v>
      </c>
      <c r="L1521" s="1" t="str">
        <f ca="1">IFERROR(__xludf.DUMMYFUNCTION("""COMPUTED_VALUE"""),"〇")</f>
        <v>〇</v>
      </c>
      <c r="M1521" s="1"/>
      <c r="N1521" s="1" t="str">
        <f ca="1">IFERROR(__xludf.DUMMYFUNCTION("""COMPUTED_VALUE"""),"TO11")</f>
        <v>TO11</v>
      </c>
      <c r="O1521" s="1"/>
      <c r="P1521" s="1"/>
    </row>
    <row r="1522" spans="1:16" ht="14.25" customHeight="1" x14ac:dyDescent="0.25">
      <c r="A1522" s="1"/>
      <c r="B1522" s="1">
        <f ca="1"/>
        <v>1510</v>
      </c>
      <c r="C1522" s="1">
        <f ca="1">IFERROR(__xludf.DUMMYFUNCTION("""COMPUTED_VALUE"""),2023)</f>
        <v>2023</v>
      </c>
      <c r="D1522" s="1">
        <f ca="1">IFERROR(__xludf.DUMMYFUNCTION("""COMPUTED_VALUE"""),42991)</f>
        <v>42991</v>
      </c>
      <c r="E1522" s="1" t="str">
        <f ca="1">IFERROR(__xludf.DUMMYFUNCTION("""COMPUTED_VALUE"""),"Mammalian Biology")</f>
        <v>Mammalian Biology</v>
      </c>
      <c r="F1522" s="1" t="str">
        <f ca="1">IFERROR(__xludf.DUMMYFUNCTION("""COMPUTED_VALUE"""),"1618-1476")</f>
        <v>1618-1476</v>
      </c>
      <c r="G1522" s="1" t="str">
        <f ca="1">IFERROR(__xludf.DUMMYFUNCTION("""COMPUTED_VALUE"""),"1616-5047")</f>
        <v>1616-5047</v>
      </c>
      <c r="H1522" s="27" t="str">
        <f ca="1">IFERROR(__xludf.DUMMYFUNCTION("""COMPUTED_VALUE"""),"https://link.springer.com/journal/42991")</f>
        <v>https://link.springer.com/journal/42991</v>
      </c>
      <c r="I1522" s="1" t="str">
        <f ca="1">IFERROR(__xludf.DUMMYFUNCTION("""COMPUTED_VALUE"""),"Springer")</f>
        <v>Springer</v>
      </c>
      <c r="J1522" s="1">
        <f ca="1">IFERROR(__xludf.DUMMYFUNCTION("""COMPUTED_VALUE"""),2002)</f>
        <v>2002</v>
      </c>
      <c r="K1522" s="1" t="str">
        <f ca="1">IFERROR(__xludf.DUMMYFUNCTION("""COMPUTED_VALUE"""),"Biomedical and Life Sciences")</f>
        <v>Biomedical and Life Sciences</v>
      </c>
      <c r="L1522" s="1" t="str">
        <f ca="1">IFERROR(__xludf.DUMMYFUNCTION("""COMPUTED_VALUE"""),"〇")</f>
        <v>〇</v>
      </c>
      <c r="M1522" s="1"/>
      <c r="N1522" s="1" t="str">
        <f ca="1">IFERROR(__xludf.DUMMYFUNCTION("""COMPUTED_VALUE"""),"TO20")</f>
        <v>TO20</v>
      </c>
      <c r="O1522" s="1"/>
      <c r="P1522" s="1"/>
    </row>
    <row r="1523" spans="1:16" ht="14.25" customHeight="1" x14ac:dyDescent="0.25">
      <c r="A1523" s="1"/>
      <c r="B1523" s="1">
        <f ca="1"/>
        <v>1511</v>
      </c>
      <c r="C1523" s="1">
        <f ca="1">IFERROR(__xludf.DUMMYFUNCTION("""COMPUTED_VALUE"""),2023)</f>
        <v>2023</v>
      </c>
      <c r="D1523" s="1">
        <f ca="1">IFERROR(__xludf.DUMMYFUNCTION("""COMPUTED_VALUE"""),335)</f>
        <v>335</v>
      </c>
      <c r="E1523" s="1" t="str">
        <f ca="1">IFERROR(__xludf.DUMMYFUNCTION("""COMPUTED_VALUE"""),"Mammalian Genome")</f>
        <v>Mammalian Genome</v>
      </c>
      <c r="F1523" s="1" t="str">
        <f ca="1">IFERROR(__xludf.DUMMYFUNCTION("""COMPUTED_VALUE"""),"1432-1777")</f>
        <v>1432-1777</v>
      </c>
      <c r="G1523" s="1" t="str">
        <f ca="1">IFERROR(__xludf.DUMMYFUNCTION("""COMPUTED_VALUE"""),"0938-8990")</f>
        <v>0938-8990</v>
      </c>
      <c r="H1523" s="27" t="str">
        <f ca="1">IFERROR(__xludf.DUMMYFUNCTION("""COMPUTED_VALUE"""),"https://link.springer.com/journal/335")</f>
        <v>https://link.springer.com/journal/335</v>
      </c>
      <c r="I1523" s="1" t="str">
        <f ca="1">IFERROR(__xludf.DUMMYFUNCTION("""COMPUTED_VALUE"""),"Springer")</f>
        <v>Springer</v>
      </c>
      <c r="J1523" s="1">
        <f ca="1">IFERROR(__xludf.DUMMYFUNCTION("""COMPUTED_VALUE"""),2000)</f>
        <v>2000</v>
      </c>
      <c r="K1523" s="1" t="str">
        <f ca="1">IFERROR(__xludf.DUMMYFUNCTION("""COMPUTED_VALUE"""),"Biomedical and Life Sciences")</f>
        <v>Biomedical and Life Sciences</v>
      </c>
      <c r="L1523" s="1" t="str">
        <f ca="1">IFERROR(__xludf.DUMMYFUNCTION("""COMPUTED_VALUE"""),"〇")</f>
        <v>〇</v>
      </c>
      <c r="M1523" s="1" t="str">
        <f ca="1">IFERROR(__xludf.DUMMYFUNCTION("""COMPUTED_VALUE"""),"〇")</f>
        <v>〇</v>
      </c>
      <c r="N1523" s="1"/>
      <c r="O1523" s="1"/>
      <c r="P1523" s="1"/>
    </row>
    <row r="1524" spans="1:16" ht="14.25" customHeight="1" x14ac:dyDescent="0.25">
      <c r="A1524" s="1"/>
      <c r="B1524" s="1">
        <f ca="1"/>
        <v>1512</v>
      </c>
      <c r="C1524" s="1">
        <f ca="1">IFERROR(__xludf.DUMMYFUNCTION("""COMPUTED_VALUE"""),2023)</f>
        <v>2023</v>
      </c>
      <c r="D1524" s="1">
        <f ca="1">IFERROR(__xludf.DUMMYFUNCTION("""COMPUTED_VALUE"""),11575)</f>
        <v>11575</v>
      </c>
      <c r="E1524" s="1" t="str">
        <f ca="1">IFERROR(__xludf.DUMMYFUNCTION("""COMPUTED_VALUE"""),"Management International Review")</f>
        <v>Management International Review</v>
      </c>
      <c r="F1524" s="1" t="str">
        <f ca="1">IFERROR(__xludf.DUMMYFUNCTION("""COMPUTED_VALUE"""),"1861-8901")</f>
        <v>1861-8901</v>
      </c>
      <c r="G1524" s="1" t="str">
        <f ca="1">IFERROR(__xludf.DUMMYFUNCTION("""COMPUTED_VALUE"""),"0938-8249")</f>
        <v>0938-8249</v>
      </c>
      <c r="H1524" s="27" t="str">
        <f ca="1">IFERROR(__xludf.DUMMYFUNCTION("""COMPUTED_VALUE"""),"https://link.springer.com/journal/11575")</f>
        <v>https://link.springer.com/journal/11575</v>
      </c>
      <c r="I1524" s="1" t="str">
        <f ca="1">IFERROR(__xludf.DUMMYFUNCTION("""COMPUTED_VALUE"""),"Springer")</f>
        <v>Springer</v>
      </c>
      <c r="J1524" s="1">
        <f ca="1">IFERROR(__xludf.DUMMYFUNCTION("""COMPUTED_VALUE"""),2006)</f>
        <v>2006</v>
      </c>
      <c r="K1524" s="1" t="str">
        <f ca="1">IFERROR(__xludf.DUMMYFUNCTION("""COMPUTED_VALUE"""),"Business and Management")</f>
        <v>Business and Management</v>
      </c>
      <c r="L1524" s="1" t="str">
        <f ca="1">IFERROR(__xludf.DUMMYFUNCTION("""COMPUTED_VALUE"""),"〇")</f>
        <v>〇</v>
      </c>
      <c r="M1524" s="1" t="str">
        <f ca="1">IFERROR(__xludf.DUMMYFUNCTION("""COMPUTED_VALUE"""),"〇")</f>
        <v>〇</v>
      </c>
      <c r="N1524" s="1" t="str">
        <f ca="1">IFERROR(__xludf.DUMMYFUNCTION("""COMPUTED_VALUE"""),"SNS7")</f>
        <v>SNS7</v>
      </c>
      <c r="O1524" s="1"/>
      <c r="P1524" s="1"/>
    </row>
    <row r="1525" spans="1:16" ht="14.25" customHeight="1" x14ac:dyDescent="0.25">
      <c r="A1525" s="1"/>
      <c r="B1525" s="1">
        <f ca="1"/>
        <v>1513</v>
      </c>
      <c r="C1525" s="1">
        <f ca="1">IFERROR(__xludf.DUMMYFUNCTION("""COMPUTED_VALUE"""),2023)</f>
        <v>2023</v>
      </c>
      <c r="D1525" s="1">
        <f ca="1">IFERROR(__xludf.DUMMYFUNCTION("""COMPUTED_VALUE"""),11301)</f>
        <v>11301</v>
      </c>
      <c r="E1525" s="1" t="str">
        <f ca="1">IFERROR(__xludf.DUMMYFUNCTION("""COMPUTED_VALUE"""),"Management Review Quarterly")</f>
        <v>Management Review Quarterly</v>
      </c>
      <c r="F1525" s="1" t="str">
        <f ca="1">IFERROR(__xludf.DUMMYFUNCTION("""COMPUTED_VALUE"""),"2198-1639")</f>
        <v>2198-1639</v>
      </c>
      <c r="G1525" s="1" t="str">
        <f ca="1">IFERROR(__xludf.DUMMYFUNCTION("""COMPUTED_VALUE"""),"2198-1620")</f>
        <v>2198-1620</v>
      </c>
      <c r="H1525" s="27" t="str">
        <f ca="1">IFERROR(__xludf.DUMMYFUNCTION("""COMPUTED_VALUE"""),"https://link.springer.com/journal/11301")</f>
        <v>https://link.springer.com/journal/11301</v>
      </c>
      <c r="I1525" s="1" t="str">
        <f ca="1">IFERROR(__xludf.DUMMYFUNCTION("""COMPUTED_VALUE"""),"Springer")</f>
        <v>Springer</v>
      </c>
      <c r="J1525" s="1">
        <f ca="1">IFERROR(__xludf.DUMMYFUNCTION("""COMPUTED_VALUE"""),2005)</f>
        <v>2005</v>
      </c>
      <c r="K1525" s="1" t="str">
        <f ca="1">IFERROR(__xludf.DUMMYFUNCTION("""COMPUTED_VALUE"""),"Business and Management")</f>
        <v>Business and Management</v>
      </c>
      <c r="L1525" s="1" t="str">
        <f ca="1">IFERROR(__xludf.DUMMYFUNCTION("""COMPUTED_VALUE"""),"〇")</f>
        <v>〇</v>
      </c>
      <c r="M1525" s="1" t="str">
        <f ca="1">IFERROR(__xludf.DUMMYFUNCTION("""COMPUTED_VALUE"""),"〇")</f>
        <v>〇</v>
      </c>
      <c r="N1525" s="1"/>
      <c r="O1525" s="1"/>
      <c r="P1525" s="1"/>
    </row>
    <row r="1526" spans="1:16" ht="14.25" customHeight="1" x14ac:dyDescent="0.25">
      <c r="A1526" s="1"/>
      <c r="B1526" s="1">
        <f ca="1"/>
        <v>1514</v>
      </c>
      <c r="C1526" s="1">
        <f ca="1">IFERROR(__xludf.DUMMYFUNCTION("""COMPUTED_VALUE"""),2023)</f>
        <v>2023</v>
      </c>
      <c r="D1526" s="1">
        <f ca="1">IFERROR(__xludf.DUMMYFUNCTION("""COMPUTED_VALUE"""),337)</f>
        <v>337</v>
      </c>
      <c r="E1526" s="1" t="str">
        <f ca="1">IFERROR(__xludf.DUMMYFUNCTION("""COMPUTED_VALUE"""),"Manuelle Medizin")</f>
        <v>Manuelle Medizin</v>
      </c>
      <c r="F1526" s="1" t="str">
        <f ca="1">IFERROR(__xludf.DUMMYFUNCTION("""COMPUTED_VALUE"""),"1433-0466")</f>
        <v>1433-0466</v>
      </c>
      <c r="G1526" s="1" t="str">
        <f ca="1">IFERROR(__xludf.DUMMYFUNCTION("""COMPUTED_VALUE"""),"0025-2514")</f>
        <v>0025-2514</v>
      </c>
      <c r="H1526" s="27" t="str">
        <f ca="1">IFERROR(__xludf.DUMMYFUNCTION("""COMPUTED_VALUE"""),"https://link.springer.com/journal/337")</f>
        <v>https://link.springer.com/journal/337</v>
      </c>
      <c r="I1526" s="1" t="str">
        <f ca="1">IFERROR(__xludf.DUMMYFUNCTION("""COMPUTED_VALUE"""),"SpringerMedizin")</f>
        <v>SpringerMedizin</v>
      </c>
      <c r="J1526" s="1">
        <f ca="1">IFERROR(__xludf.DUMMYFUNCTION("""COMPUTED_VALUE"""),2000)</f>
        <v>2000</v>
      </c>
      <c r="K1526" s="1" t="str">
        <f ca="1">IFERROR(__xludf.DUMMYFUNCTION("""COMPUTED_VALUE"""),"Medicine")</f>
        <v>Medicine</v>
      </c>
      <c r="L1526" s="1" t="str">
        <f ca="1">IFERROR(__xludf.DUMMYFUNCTION("""COMPUTED_VALUE"""),"〇")</f>
        <v>〇</v>
      </c>
      <c r="M1526" s="1" t="str">
        <f ca="1">IFERROR(__xludf.DUMMYFUNCTION("""COMPUTED_VALUE"""),"〇")</f>
        <v>〇</v>
      </c>
      <c r="N1526" s="1"/>
      <c r="O1526" s="1"/>
      <c r="P1526" s="1"/>
    </row>
    <row r="1527" spans="1:16" ht="14.25" customHeight="1" x14ac:dyDescent="0.25">
      <c r="A1527" s="1"/>
      <c r="B1527" s="1">
        <f ca="1"/>
        <v>1515</v>
      </c>
      <c r="C1527" s="1">
        <f ca="1">IFERROR(__xludf.DUMMYFUNCTION("""COMPUTED_VALUE"""),2023)</f>
        <v>2023</v>
      </c>
      <c r="D1527" s="1">
        <f ca="1">IFERROR(__xludf.DUMMYFUNCTION("""COMPUTED_VALUE"""),229)</f>
        <v>229</v>
      </c>
      <c r="E1527" s="1" t="str">
        <f ca="1">IFERROR(__xludf.DUMMYFUNCTION("""COMPUTED_VALUE"""),"manuscripta mathematica")</f>
        <v>manuscripta mathematica</v>
      </c>
      <c r="F1527" s="1" t="str">
        <f ca="1">IFERROR(__xludf.DUMMYFUNCTION("""COMPUTED_VALUE"""),"1432-1785")</f>
        <v>1432-1785</v>
      </c>
      <c r="G1527" s="1" t="str">
        <f ca="1">IFERROR(__xludf.DUMMYFUNCTION("""COMPUTED_VALUE"""),"0025-2611")</f>
        <v>0025-2611</v>
      </c>
      <c r="H1527" s="27" t="str">
        <f ca="1">IFERROR(__xludf.DUMMYFUNCTION("""COMPUTED_VALUE"""),"https://link.springer.com/journal/229")</f>
        <v>https://link.springer.com/journal/229</v>
      </c>
      <c r="I1527" s="1" t="str">
        <f ca="1">IFERROR(__xludf.DUMMYFUNCTION("""COMPUTED_VALUE"""),"Springer")</f>
        <v>Springer</v>
      </c>
      <c r="J1527" s="1">
        <f ca="1">IFERROR(__xludf.DUMMYFUNCTION("""COMPUTED_VALUE"""),2000)</f>
        <v>2000</v>
      </c>
      <c r="K1527" s="1" t="str">
        <f ca="1">IFERROR(__xludf.DUMMYFUNCTION("""COMPUTED_VALUE"""),"Mathematics and Statistics")</f>
        <v>Mathematics and Statistics</v>
      </c>
      <c r="L1527" s="1" t="str">
        <f ca="1">IFERROR(__xludf.DUMMYFUNCTION("""COMPUTED_VALUE"""),"〇")</f>
        <v>〇</v>
      </c>
      <c r="M1527" s="1" t="str">
        <f ca="1">IFERROR(__xludf.DUMMYFUNCTION("""COMPUTED_VALUE"""),"〇")</f>
        <v>〇</v>
      </c>
      <c r="N1527" s="1"/>
      <c r="O1527" s="1"/>
      <c r="P1527" s="1"/>
    </row>
    <row r="1528" spans="1:16" ht="14.25" customHeight="1" x14ac:dyDescent="0.25">
      <c r="A1528" s="1"/>
      <c r="B1528" s="1">
        <f ca="1"/>
        <v>1516</v>
      </c>
      <c r="C1528" s="1">
        <f ca="1">IFERROR(__xludf.DUMMYFUNCTION("""COMPUTED_VALUE"""),2023)</f>
        <v>2023</v>
      </c>
      <c r="D1528" s="1">
        <f ca="1">IFERROR(__xludf.DUMMYFUNCTION("""COMPUTED_VALUE"""),12647)</f>
        <v>12647</v>
      </c>
      <c r="E1528" s="1" t="str">
        <f ca="1">IFERROR(__xludf.DUMMYFUNCTION("""COMPUTED_VALUE"""),"MAPAN")</f>
        <v>MAPAN</v>
      </c>
      <c r="F1528" s="1" t="str">
        <f ca="1">IFERROR(__xludf.DUMMYFUNCTION("""COMPUTED_VALUE"""),"0974-9853")</f>
        <v>0974-9853</v>
      </c>
      <c r="G1528" s="1" t="str">
        <f ca="1">IFERROR(__xludf.DUMMYFUNCTION("""COMPUTED_VALUE"""),"0970-3950")</f>
        <v>0970-3950</v>
      </c>
      <c r="H1528" s="27" t="str">
        <f ca="1">IFERROR(__xludf.DUMMYFUNCTION("""COMPUTED_VALUE"""),"https://link.springer.com/journal/12647")</f>
        <v>https://link.springer.com/journal/12647</v>
      </c>
      <c r="I1528" s="1" t="str">
        <f ca="1">IFERROR(__xludf.DUMMYFUNCTION("""COMPUTED_VALUE"""),"Springer")</f>
        <v>Springer</v>
      </c>
      <c r="J1528" s="1">
        <f ca="1">IFERROR(__xludf.DUMMYFUNCTION("""COMPUTED_VALUE"""),2009)</f>
        <v>2009</v>
      </c>
      <c r="K1528" s="1" t="str">
        <f ca="1">IFERROR(__xludf.DUMMYFUNCTION("""COMPUTED_VALUE"""),"Physics and Astronomy")</f>
        <v>Physics and Astronomy</v>
      </c>
      <c r="L1528" s="1" t="str">
        <f ca="1">IFERROR(__xludf.DUMMYFUNCTION("""COMPUTED_VALUE"""),"〇")</f>
        <v>〇</v>
      </c>
      <c r="M1528" s="1"/>
      <c r="N1528" s="1" t="str">
        <f ca="1">IFERROR(__xludf.DUMMYFUNCTION("""COMPUTED_VALUE"""),"TO9")</f>
        <v>TO9</v>
      </c>
      <c r="O1528" s="1"/>
      <c r="P1528" s="1"/>
    </row>
    <row r="1529" spans="1:16" ht="14.25" customHeight="1" x14ac:dyDescent="0.25">
      <c r="A1529" s="1"/>
      <c r="B1529" s="1">
        <f ca="1"/>
        <v>1517</v>
      </c>
      <c r="C1529" s="1">
        <f ca="1">IFERROR(__xludf.DUMMYFUNCTION("""COMPUTED_VALUE"""),2023)</f>
        <v>2023</v>
      </c>
      <c r="D1529" s="1">
        <f ca="1">IFERROR(__xludf.DUMMYFUNCTION("""COMPUTED_VALUE"""),12526)</f>
        <v>12526</v>
      </c>
      <c r="E1529" s="1" t="str">
        <f ca="1">IFERROR(__xludf.DUMMYFUNCTION("""COMPUTED_VALUE"""),"Marine Biodiversity")</f>
        <v>Marine Biodiversity</v>
      </c>
      <c r="F1529" s="1" t="str">
        <f ca="1">IFERROR(__xludf.DUMMYFUNCTION("""COMPUTED_VALUE"""),"1867-1624")</f>
        <v>1867-1624</v>
      </c>
      <c r="G1529" s="1" t="str">
        <f ca="1">IFERROR(__xludf.DUMMYFUNCTION("""COMPUTED_VALUE"""),"1867-1616")</f>
        <v>1867-1616</v>
      </c>
      <c r="H1529" s="27" t="str">
        <f ca="1">IFERROR(__xludf.DUMMYFUNCTION("""COMPUTED_VALUE"""),"https://link.springer.com/journal/12526")</f>
        <v>https://link.springer.com/journal/12526</v>
      </c>
      <c r="I1529" s="1" t="str">
        <f ca="1">IFERROR(__xludf.DUMMYFUNCTION("""COMPUTED_VALUE"""),"Springer")</f>
        <v>Springer</v>
      </c>
      <c r="J1529" s="1">
        <f ca="1">IFERROR(__xludf.DUMMYFUNCTION("""COMPUTED_VALUE"""),2000)</f>
        <v>2000</v>
      </c>
      <c r="K1529" s="1" t="str">
        <f ca="1">IFERROR(__xludf.DUMMYFUNCTION("""COMPUTED_VALUE"""),"Biomedical and Life Sciences")</f>
        <v>Biomedical and Life Sciences</v>
      </c>
      <c r="L1529" s="1" t="str">
        <f ca="1">IFERROR(__xludf.DUMMYFUNCTION("""COMPUTED_VALUE"""),"〇")</f>
        <v>〇</v>
      </c>
      <c r="M1529" s="1"/>
      <c r="N1529" s="1" t="str">
        <f ca="1">IFERROR(__xludf.DUMMYFUNCTION("""COMPUTED_VALUE"""),"TO9")</f>
        <v>TO9</v>
      </c>
      <c r="O1529" s="1"/>
      <c r="P1529" s="1"/>
    </row>
    <row r="1530" spans="1:16" ht="14.25" customHeight="1" x14ac:dyDescent="0.25">
      <c r="A1530" s="1"/>
      <c r="B1530" s="1">
        <f ca="1"/>
        <v>1518</v>
      </c>
      <c r="C1530" s="1">
        <f ca="1">IFERROR(__xludf.DUMMYFUNCTION("""COMPUTED_VALUE"""),2023)</f>
        <v>2023</v>
      </c>
      <c r="D1530" s="1">
        <f ca="1">IFERROR(__xludf.DUMMYFUNCTION("""COMPUTED_VALUE"""),227)</f>
        <v>227</v>
      </c>
      <c r="E1530" s="1" t="str">
        <f ca="1">IFERROR(__xludf.DUMMYFUNCTION("""COMPUTED_VALUE"""),"Marine Biology")</f>
        <v>Marine Biology</v>
      </c>
      <c r="F1530" s="1" t="str">
        <f ca="1">IFERROR(__xludf.DUMMYFUNCTION("""COMPUTED_VALUE"""),"1432-1793")</f>
        <v>1432-1793</v>
      </c>
      <c r="G1530" s="1" t="str">
        <f ca="1">IFERROR(__xludf.DUMMYFUNCTION("""COMPUTED_VALUE"""),"0025-3162")</f>
        <v>0025-3162</v>
      </c>
      <c r="H1530" s="27" t="str">
        <f ca="1">IFERROR(__xludf.DUMMYFUNCTION("""COMPUTED_VALUE"""),"https://link.springer.com/journal/227")</f>
        <v>https://link.springer.com/journal/227</v>
      </c>
      <c r="I1530" s="1" t="str">
        <f ca="1">IFERROR(__xludf.DUMMYFUNCTION("""COMPUTED_VALUE"""),"Springer")</f>
        <v>Springer</v>
      </c>
      <c r="J1530" s="1">
        <f ca="1">IFERROR(__xludf.DUMMYFUNCTION("""COMPUTED_VALUE"""),2000)</f>
        <v>2000</v>
      </c>
      <c r="K1530" s="1" t="str">
        <f ca="1">IFERROR(__xludf.DUMMYFUNCTION("""COMPUTED_VALUE"""),"Biomedical and Life Sciences")</f>
        <v>Biomedical and Life Sciences</v>
      </c>
      <c r="L1530" s="1" t="str">
        <f ca="1">IFERROR(__xludf.DUMMYFUNCTION("""COMPUTED_VALUE"""),"〇")</f>
        <v>〇</v>
      </c>
      <c r="M1530" s="1" t="str">
        <f ca="1">IFERROR(__xludf.DUMMYFUNCTION("""COMPUTED_VALUE"""),"〇")</f>
        <v>〇</v>
      </c>
      <c r="N1530" s="1"/>
      <c r="O1530" s="1"/>
      <c r="P1530" s="1"/>
    </row>
    <row r="1531" spans="1:16" ht="14.25" customHeight="1" x14ac:dyDescent="0.25">
      <c r="A1531" s="1"/>
      <c r="B1531" s="1">
        <f ca="1"/>
        <v>1519</v>
      </c>
      <c r="C1531" s="1">
        <f ca="1">IFERROR(__xludf.DUMMYFUNCTION("""COMPUTED_VALUE"""),2023)</f>
        <v>2023</v>
      </c>
      <c r="D1531" s="1">
        <f ca="1">IFERROR(__xludf.DUMMYFUNCTION("""COMPUTED_VALUE"""),10126)</f>
        <v>10126</v>
      </c>
      <c r="E1531" s="1" t="str">
        <f ca="1">IFERROR(__xludf.DUMMYFUNCTION("""COMPUTED_VALUE"""),"Marine Biotechnology")</f>
        <v>Marine Biotechnology</v>
      </c>
      <c r="F1531" s="1" t="str">
        <f ca="1">IFERROR(__xludf.DUMMYFUNCTION("""COMPUTED_VALUE"""),"1436-2236")</f>
        <v>1436-2236</v>
      </c>
      <c r="G1531" s="1" t="str">
        <f ca="1">IFERROR(__xludf.DUMMYFUNCTION("""COMPUTED_VALUE"""),"1436-2228")</f>
        <v>1436-2228</v>
      </c>
      <c r="H1531" s="27" t="str">
        <f ca="1">IFERROR(__xludf.DUMMYFUNCTION("""COMPUTED_VALUE"""),"https://link.springer.com/journal/10126")</f>
        <v>https://link.springer.com/journal/10126</v>
      </c>
      <c r="I1531" s="1" t="str">
        <f ca="1">IFERROR(__xludf.DUMMYFUNCTION("""COMPUTED_VALUE"""),"Springer")</f>
        <v>Springer</v>
      </c>
      <c r="J1531" s="1">
        <f ca="1">IFERROR(__xludf.DUMMYFUNCTION("""COMPUTED_VALUE"""),2000)</f>
        <v>2000</v>
      </c>
      <c r="K1531" s="1" t="str">
        <f ca="1">IFERROR(__xludf.DUMMYFUNCTION("""COMPUTED_VALUE"""),"Biomedical and Life Sciences")</f>
        <v>Biomedical and Life Sciences</v>
      </c>
      <c r="L1531" s="1" t="str">
        <f ca="1">IFERROR(__xludf.DUMMYFUNCTION("""COMPUTED_VALUE"""),"〇")</f>
        <v>〇</v>
      </c>
      <c r="M1531" s="1" t="str">
        <f ca="1">IFERROR(__xludf.DUMMYFUNCTION("""COMPUTED_VALUE"""),"〇")</f>
        <v>〇</v>
      </c>
      <c r="N1531" s="1"/>
      <c r="O1531" s="1"/>
      <c r="P1531" s="1"/>
    </row>
    <row r="1532" spans="1:16" ht="14.25" customHeight="1" x14ac:dyDescent="0.25">
      <c r="A1532" s="1"/>
      <c r="B1532" s="1">
        <f ca="1"/>
        <v>1520</v>
      </c>
      <c r="C1532" s="1">
        <f ca="1">IFERROR(__xludf.DUMMYFUNCTION("""COMPUTED_VALUE"""),2023)</f>
        <v>2023</v>
      </c>
      <c r="D1532" s="1">
        <f ca="1">IFERROR(__xludf.DUMMYFUNCTION("""COMPUTED_VALUE"""),11001)</f>
        <v>11001</v>
      </c>
      <c r="E1532" s="1" t="str">
        <f ca="1">IFERROR(__xludf.DUMMYFUNCTION("""COMPUTED_VALUE"""),"Marine Geophysical Research")</f>
        <v>Marine Geophysical Research</v>
      </c>
      <c r="F1532" s="1" t="str">
        <f ca="1">IFERROR(__xludf.DUMMYFUNCTION("""COMPUTED_VALUE"""),"1573-0581")</f>
        <v>1573-0581</v>
      </c>
      <c r="G1532" s="1" t="str">
        <f ca="1">IFERROR(__xludf.DUMMYFUNCTION("""COMPUTED_VALUE"""),"0025-3235")</f>
        <v>0025-3235</v>
      </c>
      <c r="H1532" s="27" t="str">
        <f ca="1">IFERROR(__xludf.DUMMYFUNCTION("""COMPUTED_VALUE"""),"https://link.springer.com/journal/11001")</f>
        <v>https://link.springer.com/journal/11001</v>
      </c>
      <c r="I1532" s="1" t="str">
        <f ca="1">IFERROR(__xludf.DUMMYFUNCTION("""COMPUTED_VALUE"""),"Springer")</f>
        <v>Springer</v>
      </c>
      <c r="J1532" s="1">
        <f ca="1">IFERROR(__xludf.DUMMYFUNCTION("""COMPUTED_VALUE"""),2000)</f>
        <v>2000</v>
      </c>
      <c r="K1532" s="1" t="str">
        <f ca="1">IFERROR(__xludf.DUMMYFUNCTION("""COMPUTED_VALUE"""),"Earth and Environmental Science")</f>
        <v>Earth and Environmental Science</v>
      </c>
      <c r="L1532" s="1" t="str">
        <f ca="1">IFERROR(__xludf.DUMMYFUNCTION("""COMPUTED_VALUE"""),"〇")</f>
        <v>〇</v>
      </c>
      <c r="M1532" s="1" t="str">
        <f ca="1">IFERROR(__xludf.DUMMYFUNCTION("""COMPUTED_VALUE"""),"〇")</f>
        <v>〇</v>
      </c>
      <c r="N1532" s="1"/>
      <c r="O1532" s="1"/>
      <c r="P1532" s="1"/>
    </row>
    <row r="1533" spans="1:16" ht="14.25" customHeight="1" x14ac:dyDescent="0.25">
      <c r="A1533" s="1"/>
      <c r="B1533" s="1">
        <f ca="1"/>
        <v>1521</v>
      </c>
      <c r="C1533" s="1">
        <f ca="1">IFERROR(__xludf.DUMMYFUNCTION("""COMPUTED_VALUE"""),2023)</f>
        <v>2023</v>
      </c>
      <c r="D1533" s="1">
        <f ca="1">IFERROR(__xludf.DUMMYFUNCTION("""COMPUTED_VALUE"""),42995)</f>
        <v>42995</v>
      </c>
      <c r="E1533" s="1" t="str">
        <f ca="1">IFERROR(__xludf.DUMMYFUNCTION("""COMPUTED_VALUE"""),"Marine Life Science &amp; Technology")</f>
        <v>Marine Life Science &amp; Technology</v>
      </c>
      <c r="F1533" s="1" t="str">
        <f ca="1">IFERROR(__xludf.DUMMYFUNCTION("""COMPUTED_VALUE"""),"2662-1746")</f>
        <v>2662-1746</v>
      </c>
      <c r="G1533" s="1"/>
      <c r="H1533" s="27" t="str">
        <f ca="1">IFERROR(__xludf.DUMMYFUNCTION("""COMPUTED_VALUE"""),"https://link.springer.com/journal/42995")</f>
        <v>https://link.springer.com/journal/42995</v>
      </c>
      <c r="I1533" s="1" t="str">
        <f ca="1">IFERROR(__xludf.DUMMYFUNCTION("""COMPUTED_VALUE"""),"Springer")</f>
        <v>Springer</v>
      </c>
      <c r="J1533" s="1">
        <f ca="1">IFERROR(__xludf.DUMMYFUNCTION("""COMPUTED_VALUE"""),2019)</f>
        <v>2019</v>
      </c>
      <c r="K1533" s="1" t="str">
        <f ca="1">IFERROR(__xludf.DUMMYFUNCTION("""COMPUTED_VALUE"""),"Biomedical and Life Sciences")</f>
        <v>Biomedical and Life Sciences</v>
      </c>
      <c r="L1533" s="1"/>
      <c r="M1533" s="1"/>
      <c r="N1533" s="1" t="str">
        <f ca="1">IFERROR(__xludf.DUMMYFUNCTION("""COMPUTED_VALUE"""),"SNS19")</f>
        <v>SNS19</v>
      </c>
      <c r="O1533" s="1"/>
      <c r="P1533" s="1"/>
    </row>
    <row r="1534" spans="1:16" ht="14.25" customHeight="1" x14ac:dyDescent="0.25">
      <c r="A1534" s="1"/>
      <c r="B1534" s="1">
        <f ca="1"/>
        <v>1522</v>
      </c>
      <c r="C1534" s="1">
        <f ca="1">IFERROR(__xludf.DUMMYFUNCTION("""COMPUTED_VALUE"""),2023)</f>
        <v>2023</v>
      </c>
      <c r="D1534" s="1">
        <f ca="1">IFERROR(__xludf.DUMMYFUNCTION("""COMPUTED_VALUE"""),40868)</f>
        <v>40868</v>
      </c>
      <c r="E1534" s="1" t="str">
        <f ca="1">IFERROR(__xludf.DUMMYFUNCTION("""COMPUTED_VALUE"""),"Marine Systems &amp; Ocean Technology")</f>
        <v>Marine Systems &amp; Ocean Technology</v>
      </c>
      <c r="F1534" s="1" t="str">
        <f ca="1">IFERROR(__xludf.DUMMYFUNCTION("""COMPUTED_VALUE"""),"2199-4749")</f>
        <v>2199-4749</v>
      </c>
      <c r="G1534" s="1" t="str">
        <f ca="1">IFERROR(__xludf.DUMMYFUNCTION("""COMPUTED_VALUE"""),"1679-396X")</f>
        <v>1679-396X</v>
      </c>
      <c r="H1534" s="27" t="str">
        <f ca="1">IFERROR(__xludf.DUMMYFUNCTION("""COMPUTED_VALUE"""),"https://link.springer.com/journal/40868")</f>
        <v>https://link.springer.com/journal/40868</v>
      </c>
      <c r="I1534" s="1" t="str">
        <f ca="1">IFERROR(__xludf.DUMMYFUNCTION("""COMPUTED_VALUE"""),"Springer")</f>
        <v>Springer</v>
      </c>
      <c r="J1534" s="1">
        <f ca="1">IFERROR(__xludf.DUMMYFUNCTION("""COMPUTED_VALUE"""),2004)</f>
        <v>2004</v>
      </c>
      <c r="K1534" s="1" t="str">
        <f ca="1">IFERROR(__xludf.DUMMYFUNCTION("""COMPUTED_VALUE"""),"Engineering")</f>
        <v>Engineering</v>
      </c>
      <c r="L1534" s="1" t="str">
        <f ca="1">IFERROR(__xludf.DUMMYFUNCTION("""COMPUTED_VALUE"""),"〇")</f>
        <v>〇</v>
      </c>
      <c r="M1534" s="1"/>
      <c r="N1534" s="1" t="str">
        <f ca="1">IFERROR(__xludf.DUMMYFUNCTION("""COMPUTED_VALUE"""),"TO15")</f>
        <v>TO15</v>
      </c>
      <c r="O1534" s="1"/>
      <c r="P1534" s="1"/>
    </row>
    <row r="1535" spans="1:16" ht="14.25" customHeight="1" x14ac:dyDescent="0.25">
      <c r="A1535" s="1"/>
      <c r="B1535" s="1">
        <f ca="1"/>
        <v>1523</v>
      </c>
      <c r="C1535" s="1">
        <f ca="1">IFERROR(__xludf.DUMMYFUNCTION("""COMPUTED_VALUE"""),2023)</f>
        <v>2023</v>
      </c>
      <c r="D1535" s="1">
        <f ca="1">IFERROR(__xludf.DUMMYFUNCTION("""COMPUTED_VALUE"""),40152)</f>
        <v>40152</v>
      </c>
      <c r="E1535" s="1" t="str">
        <f ca="1">IFERROR(__xludf.DUMMYFUNCTION("""COMPUTED_VALUE"""),"Maritime Studies")</f>
        <v>Maritime Studies</v>
      </c>
      <c r="F1535" s="1" t="str">
        <f ca="1">IFERROR(__xludf.DUMMYFUNCTION("""COMPUTED_VALUE"""),"2212-9790")</f>
        <v>2212-9790</v>
      </c>
      <c r="G1535" s="1" t="str">
        <f ca="1">IFERROR(__xludf.DUMMYFUNCTION("""COMPUTED_VALUE"""),"1872-7859")</f>
        <v>1872-7859</v>
      </c>
      <c r="H1535" s="27" t="str">
        <f ca="1">IFERROR(__xludf.DUMMYFUNCTION("""COMPUTED_VALUE"""),"https://link.springer.com/journal/40152")</f>
        <v>https://link.springer.com/journal/40152</v>
      </c>
      <c r="I1535" s="1" t="str">
        <f ca="1">IFERROR(__xludf.DUMMYFUNCTION("""COMPUTED_VALUE"""),"Springer")</f>
        <v>Springer</v>
      </c>
      <c r="J1535" s="1">
        <f ca="1">IFERROR(__xludf.DUMMYFUNCTION("""COMPUTED_VALUE"""),2012)</f>
        <v>2012</v>
      </c>
      <c r="K1535" s="1" t="str">
        <f ca="1">IFERROR(__xludf.DUMMYFUNCTION("""COMPUTED_VALUE"""),"Social Sciences")</f>
        <v>Social Sciences</v>
      </c>
      <c r="L1535" s="1" t="str">
        <f ca="1">IFERROR(__xludf.DUMMYFUNCTION("""COMPUTED_VALUE"""),"〇")</f>
        <v>〇</v>
      </c>
      <c r="M1535" s="1"/>
      <c r="N1535" s="1"/>
      <c r="O1535" s="1"/>
      <c r="P1535" s="1"/>
    </row>
    <row r="1536" spans="1:16" ht="14.25" customHeight="1" x14ac:dyDescent="0.25">
      <c r="A1536" s="1"/>
      <c r="B1536" s="1">
        <f ca="1"/>
        <v>1524</v>
      </c>
      <c r="C1536" s="1">
        <f ca="1">IFERROR(__xludf.DUMMYFUNCTION("""COMPUTED_VALUE"""),2023)</f>
        <v>2023</v>
      </c>
      <c r="D1536" s="1">
        <f ca="1">IFERROR(__xludf.DUMMYFUNCTION("""COMPUTED_VALUE"""),11002)</f>
        <v>11002</v>
      </c>
      <c r="E1536" s="1" t="str">
        <f ca="1">IFERROR(__xludf.DUMMYFUNCTION("""COMPUTED_VALUE"""),"Marketing Letters")</f>
        <v>Marketing Letters</v>
      </c>
      <c r="F1536" s="1" t="str">
        <f ca="1">IFERROR(__xludf.DUMMYFUNCTION("""COMPUTED_VALUE"""),"1573-059X")</f>
        <v>1573-059X</v>
      </c>
      <c r="G1536" s="1" t="str">
        <f ca="1">IFERROR(__xludf.DUMMYFUNCTION("""COMPUTED_VALUE"""),"0923-0645")</f>
        <v>0923-0645</v>
      </c>
      <c r="H1536" s="27" t="str">
        <f ca="1">IFERROR(__xludf.DUMMYFUNCTION("""COMPUTED_VALUE"""),"https://link.springer.com/journal/11002")</f>
        <v>https://link.springer.com/journal/11002</v>
      </c>
      <c r="I1536" s="1" t="str">
        <f ca="1">IFERROR(__xludf.DUMMYFUNCTION("""COMPUTED_VALUE"""),"Springer")</f>
        <v>Springer</v>
      </c>
      <c r="J1536" s="1">
        <f ca="1">IFERROR(__xludf.DUMMYFUNCTION("""COMPUTED_VALUE"""),2000)</f>
        <v>2000</v>
      </c>
      <c r="K1536" s="1" t="str">
        <f ca="1">IFERROR(__xludf.DUMMYFUNCTION("""COMPUTED_VALUE"""),"Business and Management")</f>
        <v>Business and Management</v>
      </c>
      <c r="L1536" s="1" t="str">
        <f ca="1">IFERROR(__xludf.DUMMYFUNCTION("""COMPUTED_VALUE"""),"〇")</f>
        <v>〇</v>
      </c>
      <c r="M1536" s="1" t="str">
        <f ca="1">IFERROR(__xludf.DUMMYFUNCTION("""COMPUTED_VALUE"""),"〇")</f>
        <v>〇</v>
      </c>
      <c r="N1536" s="1"/>
      <c r="O1536" s="1"/>
      <c r="P1536" s="1"/>
    </row>
    <row r="1537" spans="1:16" ht="14.25" customHeight="1" x14ac:dyDescent="0.25">
      <c r="A1537" s="1"/>
      <c r="B1537" s="1">
        <f ca="1"/>
        <v>1525</v>
      </c>
      <c r="C1537" s="1">
        <f ca="1">IFERROR(__xludf.DUMMYFUNCTION("""COMPUTED_VALUE"""),2023)</f>
        <v>2023</v>
      </c>
      <c r="D1537" s="1">
        <f ca="1">IFERROR(__xludf.DUMMYFUNCTION("""COMPUTED_VALUE"""),11527)</f>
        <v>11527</v>
      </c>
      <c r="E1537" s="1" t="str">
        <f ca="1">IFERROR(__xludf.DUMMYFUNCTION("""COMPUTED_VALUE"""),"Materials and Structures")</f>
        <v>Materials and Structures</v>
      </c>
      <c r="F1537" s="1" t="str">
        <f ca="1">IFERROR(__xludf.DUMMYFUNCTION("""COMPUTED_VALUE"""),"1871-6873")</f>
        <v>1871-6873</v>
      </c>
      <c r="G1537" s="1" t="str">
        <f ca="1">IFERROR(__xludf.DUMMYFUNCTION("""COMPUTED_VALUE"""),"1359-5997")</f>
        <v>1359-5997</v>
      </c>
      <c r="H1537" s="27" t="str">
        <f ca="1">IFERROR(__xludf.DUMMYFUNCTION("""COMPUTED_VALUE"""),"https://link.springer.com/journal/11527")</f>
        <v>https://link.springer.com/journal/11527</v>
      </c>
      <c r="I1537" s="1" t="str">
        <f ca="1">IFERROR(__xludf.DUMMYFUNCTION("""COMPUTED_VALUE"""),"Springer")</f>
        <v>Springer</v>
      </c>
      <c r="J1537" s="1">
        <f ca="1">IFERROR(__xludf.DUMMYFUNCTION("""COMPUTED_VALUE"""),2000)</f>
        <v>2000</v>
      </c>
      <c r="K1537" s="1" t="str">
        <f ca="1">IFERROR(__xludf.DUMMYFUNCTION("""COMPUTED_VALUE"""),"Engineering")</f>
        <v>Engineering</v>
      </c>
      <c r="L1537" s="1" t="str">
        <f ca="1">IFERROR(__xludf.DUMMYFUNCTION("""COMPUTED_VALUE"""),"〇")</f>
        <v>〇</v>
      </c>
      <c r="M1537" s="1" t="str">
        <f ca="1">IFERROR(__xludf.DUMMYFUNCTION("""COMPUTED_VALUE"""),"〇")</f>
        <v>〇</v>
      </c>
      <c r="N1537" s="1"/>
      <c r="O1537" s="1"/>
      <c r="P1537" s="1"/>
    </row>
    <row r="1538" spans="1:16" ht="14.25" customHeight="1" x14ac:dyDescent="0.25">
      <c r="A1538" s="1"/>
      <c r="B1538" s="1">
        <f ca="1"/>
        <v>1526</v>
      </c>
      <c r="C1538" s="1">
        <f ca="1">IFERROR(__xludf.DUMMYFUNCTION("""COMPUTED_VALUE"""),2023)</f>
        <v>2023</v>
      </c>
      <c r="D1538" s="1">
        <f ca="1">IFERROR(__xludf.DUMMYFUNCTION("""COMPUTED_VALUE"""),42824)</f>
        <v>42824</v>
      </c>
      <c r="E1538" s="1" t="str">
        <f ca="1">IFERROR(__xludf.DUMMYFUNCTION("""COMPUTED_VALUE"""),"Materials Circular Economy")</f>
        <v>Materials Circular Economy</v>
      </c>
      <c r="F1538" s="1" t="str">
        <f ca="1">IFERROR(__xludf.DUMMYFUNCTION("""COMPUTED_VALUE"""),"2524-8154")</f>
        <v>2524-8154</v>
      </c>
      <c r="G1538" s="1" t="str">
        <f ca="1">IFERROR(__xludf.DUMMYFUNCTION("""COMPUTED_VALUE"""),"2524-8146")</f>
        <v>2524-8146</v>
      </c>
      <c r="H1538" s="27" t="str">
        <f ca="1">IFERROR(__xludf.DUMMYFUNCTION("""COMPUTED_VALUE"""),"https://link.springer.com/journal/42824")</f>
        <v>https://link.springer.com/journal/42824</v>
      </c>
      <c r="I1538" s="1" t="str">
        <f ca="1">IFERROR(__xludf.DUMMYFUNCTION("""COMPUTED_VALUE"""),"Springer")</f>
        <v>Springer</v>
      </c>
      <c r="J1538" s="1">
        <f ca="1">IFERROR(__xludf.DUMMYFUNCTION("""COMPUTED_VALUE"""),2019)</f>
        <v>2019</v>
      </c>
      <c r="K1538" s="1" t="str">
        <f ca="1">IFERROR(__xludf.DUMMYFUNCTION("""COMPUTED_VALUE"""),"Chemistry and Materials Science")</f>
        <v>Chemistry and Materials Science</v>
      </c>
      <c r="L1538" s="1" t="str">
        <f ca="1">IFERROR(__xludf.DUMMYFUNCTION("""COMPUTED_VALUE"""),"〇")</f>
        <v>〇</v>
      </c>
      <c r="M1538" s="1"/>
      <c r="N1538" s="1" t="str">
        <f ca="1">IFERROR(__xludf.DUMMYFUNCTION("""COMPUTED_VALUE"""),"SNS19")</f>
        <v>SNS19</v>
      </c>
      <c r="O1538" s="1"/>
      <c r="P1538" s="1"/>
    </row>
    <row r="1539" spans="1:16" ht="14.25" customHeight="1" x14ac:dyDescent="0.25">
      <c r="A1539" s="1"/>
      <c r="B1539" s="1">
        <f ca="1"/>
        <v>1527</v>
      </c>
      <c r="C1539" s="1">
        <f ca="1">IFERROR(__xludf.DUMMYFUNCTION("""COMPUTED_VALUE"""),2023)</f>
        <v>2023</v>
      </c>
      <c r="D1539" s="1">
        <f ca="1">IFERROR(__xludf.DUMMYFUNCTION("""COMPUTED_VALUE"""),11003)</f>
        <v>11003</v>
      </c>
      <c r="E1539" s="1" t="str">
        <f ca="1">IFERROR(__xludf.DUMMYFUNCTION("""COMPUTED_VALUE"""),"Materials Science")</f>
        <v>Materials Science</v>
      </c>
      <c r="F1539" s="1" t="str">
        <f ca="1">IFERROR(__xludf.DUMMYFUNCTION("""COMPUTED_VALUE"""),"1573-885X")</f>
        <v>1573-885X</v>
      </c>
      <c r="G1539" s="1" t="str">
        <f ca="1">IFERROR(__xludf.DUMMYFUNCTION("""COMPUTED_VALUE"""),"1068-820X")</f>
        <v>1068-820X</v>
      </c>
      <c r="H1539" s="27" t="str">
        <f ca="1">IFERROR(__xludf.DUMMYFUNCTION("""COMPUTED_VALUE"""),"https://link.springer.com/journal/11003")</f>
        <v>https://link.springer.com/journal/11003</v>
      </c>
      <c r="I1539" s="1" t="str">
        <f ca="1">IFERROR(__xludf.DUMMYFUNCTION("""COMPUTED_VALUE"""),"Springer")</f>
        <v>Springer</v>
      </c>
      <c r="J1539" s="1">
        <f ca="1">IFERROR(__xludf.DUMMYFUNCTION("""COMPUTED_VALUE"""),2000)</f>
        <v>2000</v>
      </c>
      <c r="K1539" s="1" t="str">
        <f ca="1">IFERROR(__xludf.DUMMYFUNCTION("""COMPUTED_VALUE"""),"Chemistry and Materials Science")</f>
        <v>Chemistry and Materials Science</v>
      </c>
      <c r="L1539" s="1" t="str">
        <f ca="1">IFERROR(__xludf.DUMMYFUNCTION("""COMPUTED_VALUE"""),"〇")</f>
        <v>〇</v>
      </c>
      <c r="M1539" s="1" t="str">
        <f ca="1">IFERROR(__xludf.DUMMYFUNCTION("""COMPUTED_VALUE"""),"〇")</f>
        <v>〇</v>
      </c>
      <c r="N1539" s="1"/>
      <c r="O1539" s="1"/>
      <c r="P1539" s="1"/>
    </row>
    <row r="1540" spans="1:16" ht="14.25" customHeight="1" x14ac:dyDescent="0.25">
      <c r="A1540" s="1"/>
      <c r="B1540" s="1">
        <f ca="1"/>
        <v>1528</v>
      </c>
      <c r="C1540" s="1">
        <f ca="1">IFERROR(__xludf.DUMMYFUNCTION("""COMPUTED_VALUE"""),2023)</f>
        <v>2023</v>
      </c>
      <c r="D1540" s="1">
        <f ca="1">IFERROR(__xludf.DUMMYFUNCTION("""COMPUTED_VALUE"""),10995)</f>
        <v>10995</v>
      </c>
      <c r="E1540" s="1" t="str">
        <f ca="1">IFERROR(__xludf.DUMMYFUNCTION("""COMPUTED_VALUE"""),"Maternal and Child Health Journal")</f>
        <v>Maternal and Child Health Journal</v>
      </c>
      <c r="F1540" s="1" t="str">
        <f ca="1">IFERROR(__xludf.DUMMYFUNCTION("""COMPUTED_VALUE"""),"1573-6628")</f>
        <v>1573-6628</v>
      </c>
      <c r="G1540" s="1" t="str">
        <f ca="1">IFERROR(__xludf.DUMMYFUNCTION("""COMPUTED_VALUE"""),"1092-7875")</f>
        <v>1092-7875</v>
      </c>
      <c r="H1540" s="27" t="str">
        <f ca="1">IFERROR(__xludf.DUMMYFUNCTION("""COMPUTED_VALUE"""),"https://link.springer.com/journal/10995")</f>
        <v>https://link.springer.com/journal/10995</v>
      </c>
      <c r="I1540" s="1" t="str">
        <f ca="1">IFERROR(__xludf.DUMMYFUNCTION("""COMPUTED_VALUE"""),"Springer")</f>
        <v>Springer</v>
      </c>
      <c r="J1540" s="1">
        <f ca="1">IFERROR(__xludf.DUMMYFUNCTION("""COMPUTED_VALUE"""),2000)</f>
        <v>2000</v>
      </c>
      <c r="K1540" s="1" t="str">
        <f ca="1">IFERROR(__xludf.DUMMYFUNCTION("""COMPUTED_VALUE"""),"Medicine")</f>
        <v>Medicine</v>
      </c>
      <c r="L1540" s="1" t="str">
        <f ca="1">IFERROR(__xludf.DUMMYFUNCTION("""COMPUTED_VALUE"""),"〇")</f>
        <v>〇</v>
      </c>
      <c r="M1540" s="1" t="str">
        <f ca="1">IFERROR(__xludf.DUMMYFUNCTION("""COMPUTED_VALUE"""),"〇")</f>
        <v>〇</v>
      </c>
      <c r="N1540" s="1"/>
      <c r="O1540" s="1"/>
      <c r="P1540" s="1"/>
    </row>
    <row r="1541" spans="1:16" ht="14.25" customHeight="1" x14ac:dyDescent="0.25">
      <c r="A1541" s="1"/>
      <c r="B1541" s="1">
        <f ca="1"/>
        <v>1529</v>
      </c>
      <c r="C1541" s="1">
        <f ca="1">IFERROR(__xludf.DUMMYFUNCTION("""COMPUTED_VALUE"""),2023)</f>
        <v>2023</v>
      </c>
      <c r="D1541" s="1">
        <f ca="1">IFERROR(__xludf.DUMMYFUNCTION("""COMPUTED_VALUE"""),11004)</f>
        <v>11004</v>
      </c>
      <c r="E1541" s="1" t="str">
        <f ca="1">IFERROR(__xludf.DUMMYFUNCTION("""COMPUTED_VALUE"""),"Mathematical Geosciences")</f>
        <v>Mathematical Geosciences</v>
      </c>
      <c r="F1541" s="1" t="str">
        <f ca="1">IFERROR(__xludf.DUMMYFUNCTION("""COMPUTED_VALUE"""),"1874-8953")</f>
        <v>1874-8953</v>
      </c>
      <c r="G1541" s="1" t="str">
        <f ca="1">IFERROR(__xludf.DUMMYFUNCTION("""COMPUTED_VALUE"""),"1874-8961")</f>
        <v>1874-8961</v>
      </c>
      <c r="H1541" s="27" t="str">
        <f ca="1">IFERROR(__xludf.DUMMYFUNCTION("""COMPUTED_VALUE"""),"https://link.springer.com/journal/11004")</f>
        <v>https://link.springer.com/journal/11004</v>
      </c>
      <c r="I1541" s="1" t="str">
        <f ca="1">IFERROR(__xludf.DUMMYFUNCTION("""COMPUTED_VALUE"""),"Springer")</f>
        <v>Springer</v>
      </c>
      <c r="J1541" s="1">
        <f ca="1">IFERROR(__xludf.DUMMYFUNCTION("""COMPUTED_VALUE"""),2000)</f>
        <v>2000</v>
      </c>
      <c r="K1541" s="1" t="str">
        <f ca="1">IFERROR(__xludf.DUMMYFUNCTION("""COMPUTED_VALUE"""),"Earth and Environmental Science")</f>
        <v>Earth and Environmental Science</v>
      </c>
      <c r="L1541" s="1" t="str">
        <f ca="1">IFERROR(__xludf.DUMMYFUNCTION("""COMPUTED_VALUE"""),"〇")</f>
        <v>〇</v>
      </c>
      <c r="M1541" s="1" t="str">
        <f ca="1">IFERROR(__xludf.DUMMYFUNCTION("""COMPUTED_VALUE"""),"〇")</f>
        <v>〇</v>
      </c>
      <c r="N1541" s="1"/>
      <c r="O1541" s="1"/>
      <c r="P1541" s="1"/>
    </row>
    <row r="1542" spans="1:16" ht="14.25" customHeight="1" x14ac:dyDescent="0.25">
      <c r="A1542" s="1"/>
      <c r="B1542" s="1">
        <f ca="1"/>
        <v>1530</v>
      </c>
      <c r="C1542" s="1">
        <f ca="1">IFERROR(__xludf.DUMMYFUNCTION("""COMPUTED_VALUE"""),2023)</f>
        <v>2023</v>
      </c>
      <c r="D1542" s="1">
        <f ca="1">IFERROR(__xludf.DUMMYFUNCTION("""COMPUTED_VALUE"""),186)</f>
        <v>186</v>
      </c>
      <c r="E1542" s="1" t="str">
        <f ca="1">IFERROR(__xludf.DUMMYFUNCTION("""COMPUTED_VALUE"""),"Mathematical Methods of Operations Research")</f>
        <v>Mathematical Methods of Operations Research</v>
      </c>
      <c r="F1542" s="1" t="str">
        <f ca="1">IFERROR(__xludf.DUMMYFUNCTION("""COMPUTED_VALUE"""),"1432-5217")</f>
        <v>1432-5217</v>
      </c>
      <c r="G1542" s="1" t="str">
        <f ca="1">IFERROR(__xludf.DUMMYFUNCTION("""COMPUTED_VALUE"""),"1432-2994")</f>
        <v>1432-2994</v>
      </c>
      <c r="H1542" s="27" t="str">
        <f ca="1">IFERROR(__xludf.DUMMYFUNCTION("""COMPUTED_VALUE"""),"https://link.springer.com/journal/186")</f>
        <v>https://link.springer.com/journal/186</v>
      </c>
      <c r="I1542" s="1" t="str">
        <f ca="1">IFERROR(__xludf.DUMMYFUNCTION("""COMPUTED_VALUE"""),"Springer")</f>
        <v>Springer</v>
      </c>
      <c r="J1542" s="1">
        <f ca="1">IFERROR(__xludf.DUMMYFUNCTION("""COMPUTED_VALUE"""),2000)</f>
        <v>2000</v>
      </c>
      <c r="K1542" s="1" t="str">
        <f ca="1">IFERROR(__xludf.DUMMYFUNCTION("""COMPUTED_VALUE"""),"Mathematics and Statistics")</f>
        <v>Mathematics and Statistics</v>
      </c>
      <c r="L1542" s="1" t="str">
        <f ca="1">IFERROR(__xludf.DUMMYFUNCTION("""COMPUTED_VALUE"""),"〇")</f>
        <v>〇</v>
      </c>
      <c r="M1542" s="1" t="str">
        <f ca="1">IFERROR(__xludf.DUMMYFUNCTION("""COMPUTED_VALUE"""),"〇")</f>
        <v>〇</v>
      </c>
      <c r="N1542" s="1"/>
      <c r="O1542" s="1"/>
      <c r="P1542" s="1"/>
    </row>
    <row r="1543" spans="1:16" ht="14.25" customHeight="1" x14ac:dyDescent="0.25">
      <c r="A1543" s="1"/>
      <c r="B1543" s="1">
        <f ca="1"/>
        <v>1531</v>
      </c>
      <c r="C1543" s="1">
        <f ca="1">IFERROR(__xludf.DUMMYFUNCTION("""COMPUTED_VALUE"""),2023)</f>
        <v>2023</v>
      </c>
      <c r="D1543" s="1">
        <f ca="1">IFERROR(__xludf.DUMMYFUNCTION("""COMPUTED_VALUE"""),12004)</f>
        <v>12004</v>
      </c>
      <c r="E1543" s="1" t="str">
        <f ca="1">IFERROR(__xludf.DUMMYFUNCTION("""COMPUTED_VALUE"""),"Mathematical Methods of Statistics")</f>
        <v>Mathematical Methods of Statistics</v>
      </c>
      <c r="F1543" s="1" t="str">
        <f ca="1">IFERROR(__xludf.DUMMYFUNCTION("""COMPUTED_VALUE"""),"1934-8045")</f>
        <v>1934-8045</v>
      </c>
      <c r="G1543" s="1" t="str">
        <f ca="1">IFERROR(__xludf.DUMMYFUNCTION("""COMPUTED_VALUE"""),"1066-5307")</f>
        <v>1066-5307</v>
      </c>
      <c r="H1543" s="27" t="str">
        <f ca="1">IFERROR(__xludf.DUMMYFUNCTION("""COMPUTED_VALUE"""),"https://link.springer.com/journal/12004")</f>
        <v>https://link.springer.com/journal/12004</v>
      </c>
      <c r="I1543" s="1" t="str">
        <f ca="1">IFERROR(__xludf.DUMMYFUNCTION("""COMPUTED_VALUE"""),"Pleiades Publishing")</f>
        <v>Pleiades Publishing</v>
      </c>
      <c r="J1543" s="1">
        <f ca="1">IFERROR(__xludf.DUMMYFUNCTION("""COMPUTED_VALUE"""),2007)</f>
        <v>2007</v>
      </c>
      <c r="K1543" s="1" t="str">
        <f ca="1">IFERROR(__xludf.DUMMYFUNCTION("""COMPUTED_VALUE"""),"Mathematics and Statistics")</f>
        <v>Mathematics and Statistics</v>
      </c>
      <c r="L1543" s="1" t="str">
        <f ca="1">IFERROR(__xludf.DUMMYFUNCTION("""COMPUTED_VALUE"""),"〇")</f>
        <v>〇</v>
      </c>
      <c r="M1543" s="1" t="str">
        <f ca="1">IFERROR(__xludf.DUMMYFUNCTION("""COMPUTED_VALUE"""),"〇")</f>
        <v>〇</v>
      </c>
      <c r="N1543" s="1" t="str">
        <f ca="1">IFERROR(__xludf.DUMMYFUNCTION("""COMPUTED_VALUE"""),"TO7")</f>
        <v>TO7</v>
      </c>
      <c r="O1543" s="1"/>
      <c r="P1543" s="1"/>
    </row>
    <row r="1544" spans="1:16" ht="14.25" customHeight="1" x14ac:dyDescent="0.25">
      <c r="A1544" s="1"/>
      <c r="B1544" s="1">
        <f ca="1"/>
        <v>1532</v>
      </c>
      <c r="C1544" s="1">
        <f ca="1">IFERROR(__xludf.DUMMYFUNCTION("""COMPUTED_VALUE"""),2023)</f>
        <v>2023</v>
      </c>
      <c r="D1544" s="1">
        <f ca="1">IFERROR(__xludf.DUMMYFUNCTION("""COMPUTED_VALUE"""),12608)</f>
        <v>12608</v>
      </c>
      <c r="E1544" s="1" t="str">
        <f ca="1">IFERROR(__xludf.DUMMYFUNCTION("""COMPUTED_VALUE"""),"Mathematical Models and Computer Simulations")</f>
        <v>Mathematical Models and Computer Simulations</v>
      </c>
      <c r="F1544" s="1" t="str">
        <f ca="1">IFERROR(__xludf.DUMMYFUNCTION("""COMPUTED_VALUE"""),"2070-0490")</f>
        <v>2070-0490</v>
      </c>
      <c r="G1544" s="1" t="str">
        <f ca="1">IFERROR(__xludf.DUMMYFUNCTION("""COMPUTED_VALUE"""),"2070-0482")</f>
        <v>2070-0482</v>
      </c>
      <c r="H1544" s="27" t="str">
        <f ca="1">IFERROR(__xludf.DUMMYFUNCTION("""COMPUTED_VALUE"""),"https://link.springer.com/journal/12608")</f>
        <v>https://link.springer.com/journal/12608</v>
      </c>
      <c r="I1544" s="1" t="str">
        <f ca="1">IFERROR(__xludf.DUMMYFUNCTION("""COMPUTED_VALUE"""),"Pleiades Publishing")</f>
        <v>Pleiades Publishing</v>
      </c>
      <c r="J1544" s="1">
        <f ca="1">IFERROR(__xludf.DUMMYFUNCTION("""COMPUTED_VALUE"""),2009)</f>
        <v>2009</v>
      </c>
      <c r="K1544" s="1" t="str">
        <f ca="1">IFERROR(__xludf.DUMMYFUNCTION("""COMPUTED_VALUE"""),"Mathematics and Statistics")</f>
        <v>Mathematics and Statistics</v>
      </c>
      <c r="L1544" s="1" t="str">
        <f ca="1">IFERROR(__xludf.DUMMYFUNCTION("""COMPUTED_VALUE"""),"〇")</f>
        <v>〇</v>
      </c>
      <c r="M1544" s="1" t="str">
        <f ca="1">IFERROR(__xludf.DUMMYFUNCTION("""COMPUTED_VALUE"""),"〇")</f>
        <v>〇</v>
      </c>
      <c r="N1544" s="1" t="str">
        <f ca="1">IFERROR(__xludf.DUMMYFUNCTION("""COMPUTED_VALUE"""),"SNS9")</f>
        <v>SNS9</v>
      </c>
      <c r="O1544" s="1"/>
      <c r="P1544" s="1"/>
    </row>
    <row r="1545" spans="1:16" ht="14.25" customHeight="1" x14ac:dyDescent="0.25">
      <c r="A1545" s="1"/>
      <c r="B1545" s="1">
        <f ca="1"/>
        <v>1533</v>
      </c>
      <c r="C1545" s="1">
        <f ca="1">IFERROR(__xludf.DUMMYFUNCTION("""COMPUTED_VALUE"""),2023)</f>
        <v>2023</v>
      </c>
      <c r="D1545" s="1">
        <f ca="1">IFERROR(__xludf.DUMMYFUNCTION("""COMPUTED_VALUE"""),11006)</f>
        <v>11006</v>
      </c>
      <c r="E1545" s="1" t="str">
        <f ca="1">IFERROR(__xludf.DUMMYFUNCTION("""COMPUTED_VALUE"""),"Mathematical Notes")</f>
        <v>Mathematical Notes</v>
      </c>
      <c r="F1545" s="1" t="str">
        <f ca="1">IFERROR(__xludf.DUMMYFUNCTION("""COMPUTED_VALUE"""),"1573-8876")</f>
        <v>1573-8876</v>
      </c>
      <c r="G1545" s="1" t="str">
        <f ca="1">IFERROR(__xludf.DUMMYFUNCTION("""COMPUTED_VALUE"""),"0001-4346")</f>
        <v>0001-4346</v>
      </c>
      <c r="H1545" s="27" t="str">
        <f ca="1">IFERROR(__xludf.DUMMYFUNCTION("""COMPUTED_VALUE"""),"https://link.springer.com/journal/11006")</f>
        <v>https://link.springer.com/journal/11006</v>
      </c>
      <c r="I1545" s="1" t="str">
        <f ca="1">IFERROR(__xludf.DUMMYFUNCTION("""COMPUTED_VALUE"""),"Pleiades Publishing")</f>
        <v>Pleiades Publishing</v>
      </c>
      <c r="J1545" s="1">
        <f ca="1">IFERROR(__xludf.DUMMYFUNCTION("""COMPUTED_VALUE"""),2000)</f>
        <v>2000</v>
      </c>
      <c r="K1545" s="1" t="str">
        <f ca="1">IFERROR(__xludf.DUMMYFUNCTION("""COMPUTED_VALUE"""),"Mathematics and Statistics")</f>
        <v>Mathematics and Statistics</v>
      </c>
      <c r="L1545" s="1" t="str">
        <f ca="1">IFERROR(__xludf.DUMMYFUNCTION("""COMPUTED_VALUE"""),"〇")</f>
        <v>〇</v>
      </c>
      <c r="M1545" s="1" t="str">
        <f ca="1">IFERROR(__xludf.DUMMYFUNCTION("""COMPUTED_VALUE"""),"〇")</f>
        <v>〇</v>
      </c>
      <c r="N1545" s="1"/>
      <c r="O1545" s="1"/>
      <c r="P1545" s="1"/>
    </row>
    <row r="1546" spans="1:16" ht="14.25" customHeight="1" x14ac:dyDescent="0.25">
      <c r="A1546" s="1"/>
      <c r="B1546" s="1">
        <f ca="1"/>
        <v>1534</v>
      </c>
      <c r="C1546" s="1">
        <f ca="1">IFERROR(__xludf.DUMMYFUNCTION("""COMPUTED_VALUE"""),2023)</f>
        <v>2023</v>
      </c>
      <c r="D1546" s="1">
        <f ca="1">IFERROR(__xludf.DUMMYFUNCTION("""COMPUTED_VALUE"""),11040)</f>
        <v>11040</v>
      </c>
      <c r="E1546" s="1" t="str">
        <f ca="1">IFERROR(__xludf.DUMMYFUNCTION("""COMPUTED_VALUE"""),"Mathematical Physics, Analysis and Geometry")</f>
        <v>Mathematical Physics, Analysis and Geometry</v>
      </c>
      <c r="F1546" s="1" t="str">
        <f ca="1">IFERROR(__xludf.DUMMYFUNCTION("""COMPUTED_VALUE"""),"1572-9656")</f>
        <v>1572-9656</v>
      </c>
      <c r="G1546" s="1"/>
      <c r="H1546" s="27" t="str">
        <f ca="1">IFERROR(__xludf.DUMMYFUNCTION("""COMPUTED_VALUE"""),"https://link.springer.com/journal/11040")</f>
        <v>https://link.springer.com/journal/11040</v>
      </c>
      <c r="I1546" s="1" t="str">
        <f ca="1">IFERROR(__xludf.DUMMYFUNCTION("""COMPUTED_VALUE"""),"Springer")</f>
        <v>Springer</v>
      </c>
      <c r="J1546" s="1">
        <f ca="1">IFERROR(__xludf.DUMMYFUNCTION("""COMPUTED_VALUE"""),2000)</f>
        <v>2000</v>
      </c>
      <c r="K1546" s="1" t="str">
        <f ca="1">IFERROR(__xludf.DUMMYFUNCTION("""COMPUTED_VALUE"""),"Physics and Astronomy")</f>
        <v>Physics and Astronomy</v>
      </c>
      <c r="L1546" s="1"/>
      <c r="M1546" s="1" t="str">
        <f ca="1">IFERROR(__xludf.DUMMYFUNCTION("""COMPUTED_VALUE"""),"〇")</f>
        <v>〇</v>
      </c>
      <c r="N1546" s="1"/>
      <c r="O1546" s="1"/>
      <c r="P1546" s="1"/>
    </row>
    <row r="1547" spans="1:16" ht="14.25" customHeight="1" x14ac:dyDescent="0.25">
      <c r="A1547" s="1"/>
      <c r="B1547" s="1">
        <f ca="1"/>
        <v>1535</v>
      </c>
      <c r="C1547" s="1">
        <f ca="1">IFERROR(__xludf.DUMMYFUNCTION("""COMPUTED_VALUE"""),2023)</f>
        <v>2023</v>
      </c>
      <c r="D1547" s="1">
        <f ca="1">IFERROR(__xludf.DUMMYFUNCTION("""COMPUTED_VALUE"""),10107)</f>
        <v>10107</v>
      </c>
      <c r="E1547" s="1" t="str">
        <f ca="1">IFERROR(__xludf.DUMMYFUNCTION("""COMPUTED_VALUE"""),"Mathematical Programming")</f>
        <v>Mathematical Programming</v>
      </c>
      <c r="F1547" s="1" t="str">
        <f ca="1">IFERROR(__xludf.DUMMYFUNCTION("""COMPUTED_VALUE"""),"1436-4646")</f>
        <v>1436-4646</v>
      </c>
      <c r="G1547" s="1" t="str">
        <f ca="1">IFERROR(__xludf.DUMMYFUNCTION("""COMPUTED_VALUE"""),"0025-5610")</f>
        <v>0025-5610</v>
      </c>
      <c r="H1547" s="27" t="str">
        <f ca="1">IFERROR(__xludf.DUMMYFUNCTION("""COMPUTED_VALUE"""),"https://link.springer.com/journal/10107")</f>
        <v>https://link.springer.com/journal/10107</v>
      </c>
      <c r="I1547" s="1" t="str">
        <f ca="1">IFERROR(__xludf.DUMMYFUNCTION("""COMPUTED_VALUE"""),"Springer")</f>
        <v>Springer</v>
      </c>
      <c r="J1547" s="1">
        <f ca="1">IFERROR(__xludf.DUMMYFUNCTION("""COMPUTED_VALUE"""),2000)</f>
        <v>2000</v>
      </c>
      <c r="K1547" s="1" t="str">
        <f ca="1">IFERROR(__xludf.DUMMYFUNCTION("""COMPUTED_VALUE"""),"Mathematics and Statistics")</f>
        <v>Mathematics and Statistics</v>
      </c>
      <c r="L1547" s="1" t="str">
        <f ca="1">IFERROR(__xludf.DUMMYFUNCTION("""COMPUTED_VALUE"""),"〇")</f>
        <v>〇</v>
      </c>
      <c r="M1547" s="1" t="str">
        <f ca="1">IFERROR(__xludf.DUMMYFUNCTION("""COMPUTED_VALUE"""),"〇")</f>
        <v>〇</v>
      </c>
      <c r="N1547" s="1"/>
      <c r="O1547" s="1"/>
      <c r="P1547" s="1"/>
    </row>
    <row r="1548" spans="1:16" ht="14.25" customHeight="1" x14ac:dyDescent="0.25">
      <c r="A1548" s="1"/>
      <c r="B1548" s="1">
        <f ca="1"/>
        <v>1536</v>
      </c>
      <c r="C1548" s="1">
        <f ca="1">IFERROR(__xludf.DUMMYFUNCTION("""COMPUTED_VALUE"""),2023)</f>
        <v>2023</v>
      </c>
      <c r="D1548" s="1">
        <f ca="1">IFERROR(__xludf.DUMMYFUNCTION("""COMPUTED_VALUE"""),12532)</f>
        <v>12532</v>
      </c>
      <c r="E1548" s="1" t="str">
        <f ca="1">IFERROR(__xludf.DUMMYFUNCTION("""COMPUTED_VALUE"""),"Mathematical Programming Computation")</f>
        <v>Mathematical Programming Computation</v>
      </c>
      <c r="F1548" s="1" t="str">
        <f ca="1">IFERROR(__xludf.DUMMYFUNCTION("""COMPUTED_VALUE"""),"1867-2957")</f>
        <v>1867-2957</v>
      </c>
      <c r="G1548" s="1" t="str">
        <f ca="1">IFERROR(__xludf.DUMMYFUNCTION("""COMPUTED_VALUE"""),"1867-2949")</f>
        <v>1867-2949</v>
      </c>
      <c r="H1548" s="27" t="str">
        <f ca="1">IFERROR(__xludf.DUMMYFUNCTION("""COMPUTED_VALUE"""),"https://link.springer.com/journal/12532")</f>
        <v>https://link.springer.com/journal/12532</v>
      </c>
      <c r="I1548" s="1" t="str">
        <f ca="1">IFERROR(__xludf.DUMMYFUNCTION("""COMPUTED_VALUE"""),"Springer")</f>
        <v>Springer</v>
      </c>
      <c r="J1548" s="1">
        <f ca="1">IFERROR(__xludf.DUMMYFUNCTION("""COMPUTED_VALUE"""),2009)</f>
        <v>2009</v>
      </c>
      <c r="K1548" s="1" t="str">
        <f ca="1">IFERROR(__xludf.DUMMYFUNCTION("""COMPUTED_VALUE"""),"Mathematics and Statistics")</f>
        <v>Mathematics and Statistics</v>
      </c>
      <c r="L1548" s="1" t="str">
        <f ca="1">IFERROR(__xludf.DUMMYFUNCTION("""COMPUTED_VALUE"""),"〇")</f>
        <v>〇</v>
      </c>
      <c r="M1548" s="1" t="str">
        <f ca="1">IFERROR(__xludf.DUMMYFUNCTION("""COMPUTED_VALUE"""),"〇")</f>
        <v>〇</v>
      </c>
      <c r="N1548" s="1" t="str">
        <f ca="1">IFERROR(__xludf.DUMMYFUNCTION("""COMPUTED_VALUE"""),"SNS9")</f>
        <v>SNS9</v>
      </c>
      <c r="O1548" s="1"/>
      <c r="P1548" s="1"/>
    </row>
    <row r="1549" spans="1:16" ht="14.25" customHeight="1" x14ac:dyDescent="0.25">
      <c r="A1549" s="1"/>
      <c r="B1549" s="1">
        <f ca="1"/>
        <v>1537</v>
      </c>
      <c r="C1549" s="1">
        <f ca="1">IFERROR(__xludf.DUMMYFUNCTION("""COMPUTED_VALUE"""),2023)</f>
        <v>2023</v>
      </c>
      <c r="D1549" s="1">
        <f ca="1">IFERROR(__xludf.DUMMYFUNCTION("""COMPUTED_VALUE"""),40096)</f>
        <v>40096</v>
      </c>
      <c r="E1549" s="1" t="str">
        <f ca="1">IFERROR(__xludf.DUMMYFUNCTION("""COMPUTED_VALUE"""),"Mathematical Sciences")</f>
        <v>Mathematical Sciences</v>
      </c>
      <c r="F1549" s="1" t="str">
        <f ca="1">IFERROR(__xludf.DUMMYFUNCTION("""COMPUTED_VALUE"""),"2251-7456")</f>
        <v>2251-7456</v>
      </c>
      <c r="G1549" s="1"/>
      <c r="H1549" s="27" t="str">
        <f ca="1">IFERROR(__xludf.DUMMYFUNCTION("""COMPUTED_VALUE"""),"https://link.springer.com/journal/40096")</f>
        <v>https://link.springer.com/journal/40096</v>
      </c>
      <c r="I1549" s="1" t="str">
        <f ca="1">IFERROR(__xludf.DUMMYFUNCTION("""COMPUTED_VALUE"""),"Springer")</f>
        <v>Springer</v>
      </c>
      <c r="J1549" s="1">
        <f ca="1">IFERROR(__xludf.DUMMYFUNCTION("""COMPUTED_VALUE"""),2012)</f>
        <v>2012</v>
      </c>
      <c r="K1549" s="1" t="str">
        <f ca="1">IFERROR(__xludf.DUMMYFUNCTION("""COMPUTED_VALUE"""),"Mathematics and Statistics")</f>
        <v>Mathematics and Statistics</v>
      </c>
      <c r="L1549" s="1"/>
      <c r="M1549" s="1"/>
      <c r="N1549" s="1"/>
      <c r="O1549" s="1"/>
      <c r="P1549" s="1"/>
    </row>
    <row r="1550" spans="1:16" ht="14.25" customHeight="1" x14ac:dyDescent="0.25">
      <c r="A1550" s="1"/>
      <c r="B1550" s="1">
        <f ca="1"/>
        <v>1538</v>
      </c>
      <c r="C1550" s="1">
        <f ca="1">IFERROR(__xludf.DUMMYFUNCTION("""COMPUTED_VALUE"""),2023)</f>
        <v>2023</v>
      </c>
      <c r="D1550" s="1">
        <f ca="1">IFERROR(__xludf.DUMMYFUNCTION("""COMPUTED_VALUE"""),11579)</f>
        <v>11579</v>
      </c>
      <c r="E1550" s="1" t="str">
        <f ca="1">IFERROR(__xludf.DUMMYFUNCTION("""COMPUTED_VALUE"""),"Mathematics and Financial Economics")</f>
        <v>Mathematics and Financial Economics</v>
      </c>
      <c r="F1550" s="1" t="str">
        <f ca="1">IFERROR(__xludf.DUMMYFUNCTION("""COMPUTED_VALUE"""),"1862-9660")</f>
        <v>1862-9660</v>
      </c>
      <c r="G1550" s="1" t="str">
        <f ca="1">IFERROR(__xludf.DUMMYFUNCTION("""COMPUTED_VALUE"""),"1862-9679")</f>
        <v>1862-9679</v>
      </c>
      <c r="H1550" s="27" t="str">
        <f ca="1">IFERROR(__xludf.DUMMYFUNCTION("""COMPUTED_VALUE"""),"https://link.springer.com/journal/11579")</f>
        <v>https://link.springer.com/journal/11579</v>
      </c>
      <c r="I1550" s="1" t="str">
        <f ca="1">IFERROR(__xludf.DUMMYFUNCTION("""COMPUTED_VALUE"""),"Springer")</f>
        <v>Springer</v>
      </c>
      <c r="J1550" s="1">
        <f ca="1">IFERROR(__xludf.DUMMYFUNCTION("""COMPUTED_VALUE"""),2007)</f>
        <v>2007</v>
      </c>
      <c r="K1550" s="1" t="str">
        <f ca="1">IFERROR(__xludf.DUMMYFUNCTION("""COMPUTED_VALUE"""),"Mathematics and Statistics")</f>
        <v>Mathematics and Statistics</v>
      </c>
      <c r="L1550" s="1" t="str">
        <f ca="1">IFERROR(__xludf.DUMMYFUNCTION("""COMPUTED_VALUE"""),"〇")</f>
        <v>〇</v>
      </c>
      <c r="M1550" s="1" t="str">
        <f ca="1">IFERROR(__xludf.DUMMYFUNCTION("""COMPUTED_VALUE"""),"〇")</f>
        <v>〇</v>
      </c>
      <c r="N1550" s="1" t="str">
        <f ca="1">IFERROR(__xludf.DUMMYFUNCTION("""COMPUTED_VALUE"""),"SNS7")</f>
        <v>SNS7</v>
      </c>
      <c r="O1550" s="1"/>
      <c r="P1550" s="1"/>
    </row>
    <row r="1551" spans="1:16" ht="14.25" customHeight="1" x14ac:dyDescent="0.25">
      <c r="A1551" s="1"/>
      <c r="B1551" s="1">
        <f ca="1"/>
        <v>1539</v>
      </c>
      <c r="C1551" s="1">
        <f ca="1">IFERROR(__xludf.DUMMYFUNCTION("""COMPUTED_VALUE"""),2023)</f>
        <v>2023</v>
      </c>
      <c r="D1551" s="1">
        <f ca="1">IFERROR(__xludf.DUMMYFUNCTION("""COMPUTED_VALUE"""),13394)</f>
        <v>13394</v>
      </c>
      <c r="E1551" s="1" t="str">
        <f ca="1">IFERROR(__xludf.DUMMYFUNCTION("""COMPUTED_VALUE"""),"Mathematics Education Research Journal")</f>
        <v>Mathematics Education Research Journal</v>
      </c>
      <c r="F1551" s="1" t="str">
        <f ca="1">IFERROR(__xludf.DUMMYFUNCTION("""COMPUTED_VALUE"""),"2211-050X")</f>
        <v>2211-050X</v>
      </c>
      <c r="G1551" s="1" t="str">
        <f ca="1">IFERROR(__xludf.DUMMYFUNCTION("""COMPUTED_VALUE"""),"1033-2170")</f>
        <v>1033-2170</v>
      </c>
      <c r="H1551" s="27" t="str">
        <f ca="1">IFERROR(__xludf.DUMMYFUNCTION("""COMPUTED_VALUE"""),"https://link.springer.com/journal/13394")</f>
        <v>https://link.springer.com/journal/13394</v>
      </c>
      <c r="I1551" s="1" t="str">
        <f ca="1">IFERROR(__xludf.DUMMYFUNCTION("""COMPUTED_VALUE"""),"Springer")</f>
        <v>Springer</v>
      </c>
      <c r="J1551" s="1">
        <f ca="1">IFERROR(__xludf.DUMMYFUNCTION("""COMPUTED_VALUE"""),2000)</f>
        <v>2000</v>
      </c>
      <c r="K1551" s="1" t="str">
        <f ca="1">IFERROR(__xludf.DUMMYFUNCTION("""COMPUTED_VALUE"""),"Education")</f>
        <v>Education</v>
      </c>
      <c r="L1551" s="1" t="str">
        <f ca="1">IFERROR(__xludf.DUMMYFUNCTION("""COMPUTED_VALUE"""),"〇")</f>
        <v>〇</v>
      </c>
      <c r="M1551" s="1"/>
      <c r="N1551" s="1" t="str">
        <f ca="1">IFERROR(__xludf.DUMMYFUNCTION("""COMPUTED_VALUE"""),"TO11")</f>
        <v>TO11</v>
      </c>
      <c r="O1551" s="1"/>
      <c r="P1551" s="1"/>
    </row>
    <row r="1552" spans="1:16" ht="14.25" customHeight="1" x14ac:dyDescent="0.25">
      <c r="A1552" s="1"/>
      <c r="B1552" s="1">
        <f ca="1"/>
        <v>1540</v>
      </c>
      <c r="C1552" s="1">
        <f ca="1">IFERROR(__xludf.DUMMYFUNCTION("""COMPUTED_VALUE"""),2023)</f>
        <v>2023</v>
      </c>
      <c r="D1552" s="1">
        <f ca="1">IFERROR(__xludf.DUMMYFUNCTION("""COMPUTED_VALUE"""),11786)</f>
        <v>11786</v>
      </c>
      <c r="E1552" s="1" t="str">
        <f ca="1">IFERROR(__xludf.DUMMYFUNCTION("""COMPUTED_VALUE"""),"Mathematics in Computer Science")</f>
        <v>Mathematics in Computer Science</v>
      </c>
      <c r="F1552" s="1" t="str">
        <f ca="1">IFERROR(__xludf.DUMMYFUNCTION("""COMPUTED_VALUE"""),"1661-8289")</f>
        <v>1661-8289</v>
      </c>
      <c r="G1552" s="1" t="str">
        <f ca="1">IFERROR(__xludf.DUMMYFUNCTION("""COMPUTED_VALUE"""),"1661-8270")</f>
        <v>1661-8270</v>
      </c>
      <c r="H1552" s="27" t="str">
        <f ca="1">IFERROR(__xludf.DUMMYFUNCTION("""COMPUTED_VALUE"""),"https://link.springer.com/journal/11786")</f>
        <v>https://link.springer.com/journal/11786</v>
      </c>
      <c r="I1552" s="1" t="str">
        <f ca="1">IFERROR(__xludf.DUMMYFUNCTION("""COMPUTED_VALUE"""),"Birkhäuser")</f>
        <v>Birkhäuser</v>
      </c>
      <c r="J1552" s="1">
        <f ca="1">IFERROR(__xludf.DUMMYFUNCTION("""COMPUTED_VALUE"""),2007)</f>
        <v>2007</v>
      </c>
      <c r="K1552" s="1" t="str">
        <f ca="1">IFERROR(__xludf.DUMMYFUNCTION("""COMPUTED_VALUE"""),"Mathematics and Statistics")</f>
        <v>Mathematics and Statistics</v>
      </c>
      <c r="L1552" s="1" t="str">
        <f ca="1">IFERROR(__xludf.DUMMYFUNCTION("""COMPUTED_VALUE"""),"〇")</f>
        <v>〇</v>
      </c>
      <c r="M1552" s="1" t="str">
        <f ca="1">IFERROR(__xludf.DUMMYFUNCTION("""COMPUTED_VALUE"""),"〇")</f>
        <v>〇</v>
      </c>
      <c r="N1552" s="1" t="str">
        <f ca="1">IFERROR(__xludf.DUMMYFUNCTION("""COMPUTED_VALUE"""),"SNS7")</f>
        <v>SNS7</v>
      </c>
      <c r="O1552" s="1"/>
      <c r="P1552" s="1"/>
    </row>
    <row r="1553" spans="1:16" ht="14.25" customHeight="1" x14ac:dyDescent="0.25">
      <c r="A1553" s="1"/>
      <c r="B1553" s="1">
        <f ca="1"/>
        <v>1541</v>
      </c>
      <c r="C1553" s="1">
        <f ca="1">IFERROR(__xludf.DUMMYFUNCTION("""COMPUTED_VALUE"""),2023)</f>
        <v>2023</v>
      </c>
      <c r="D1553" s="1">
        <f ca="1">IFERROR(__xludf.DUMMYFUNCTION("""COMPUTED_VALUE"""),498)</f>
        <v>498</v>
      </c>
      <c r="E1553" s="1" t="str">
        <f ca="1">IFERROR(__xludf.DUMMYFUNCTION("""COMPUTED_VALUE"""),"Mathematics of Control, Signals, and Systems")</f>
        <v>Mathematics of Control, Signals, and Systems</v>
      </c>
      <c r="F1553" s="1" t="str">
        <f ca="1">IFERROR(__xludf.DUMMYFUNCTION("""COMPUTED_VALUE"""),"1435-568X")</f>
        <v>1435-568X</v>
      </c>
      <c r="G1553" s="1" t="str">
        <f ca="1">IFERROR(__xludf.DUMMYFUNCTION("""COMPUTED_VALUE"""),"0932-4194")</f>
        <v>0932-4194</v>
      </c>
      <c r="H1553" s="27" t="str">
        <f ca="1">IFERROR(__xludf.DUMMYFUNCTION("""COMPUTED_VALUE"""),"https://link.springer.com/journal/498")</f>
        <v>https://link.springer.com/journal/498</v>
      </c>
      <c r="I1553" s="1" t="str">
        <f ca="1">IFERROR(__xludf.DUMMYFUNCTION("""COMPUTED_VALUE"""),"Springer")</f>
        <v>Springer</v>
      </c>
      <c r="J1553" s="1">
        <f ca="1">IFERROR(__xludf.DUMMYFUNCTION("""COMPUTED_VALUE"""),2000)</f>
        <v>2000</v>
      </c>
      <c r="K1553" s="1" t="str">
        <f ca="1">IFERROR(__xludf.DUMMYFUNCTION("""COMPUTED_VALUE"""),"Mathematics and Statistics")</f>
        <v>Mathematics and Statistics</v>
      </c>
      <c r="L1553" s="1" t="str">
        <f ca="1">IFERROR(__xludf.DUMMYFUNCTION("""COMPUTED_VALUE"""),"〇")</f>
        <v>〇</v>
      </c>
      <c r="M1553" s="1" t="str">
        <f ca="1">IFERROR(__xludf.DUMMYFUNCTION("""COMPUTED_VALUE"""),"〇")</f>
        <v>〇</v>
      </c>
      <c r="N1553" s="1"/>
      <c r="O1553" s="1"/>
      <c r="P1553" s="1"/>
    </row>
    <row r="1554" spans="1:16" ht="14.25" customHeight="1" x14ac:dyDescent="0.25">
      <c r="A1554" s="1"/>
      <c r="B1554" s="1">
        <f ca="1"/>
        <v>1542</v>
      </c>
      <c r="C1554" s="1">
        <f ca="1">IFERROR(__xludf.DUMMYFUNCTION("""COMPUTED_VALUE"""),2023)</f>
        <v>2023</v>
      </c>
      <c r="D1554" s="1">
        <f ca="1">IFERROR(__xludf.DUMMYFUNCTION("""COMPUTED_VALUE"""),208)</f>
        <v>208</v>
      </c>
      <c r="E1554" s="1" t="str">
        <f ca="1">IFERROR(__xludf.DUMMYFUNCTION("""COMPUTED_VALUE"""),"Mathematische Annalen")</f>
        <v>Mathematische Annalen</v>
      </c>
      <c r="F1554" s="1" t="str">
        <f ca="1">IFERROR(__xludf.DUMMYFUNCTION("""COMPUTED_VALUE"""),"1432-1807")</f>
        <v>1432-1807</v>
      </c>
      <c r="G1554" s="1" t="str">
        <f ca="1">IFERROR(__xludf.DUMMYFUNCTION("""COMPUTED_VALUE"""),"0025-5831")</f>
        <v>0025-5831</v>
      </c>
      <c r="H1554" s="27" t="str">
        <f ca="1">IFERROR(__xludf.DUMMYFUNCTION("""COMPUTED_VALUE"""),"https://link.springer.com/journal/208")</f>
        <v>https://link.springer.com/journal/208</v>
      </c>
      <c r="I1554" s="1" t="str">
        <f ca="1">IFERROR(__xludf.DUMMYFUNCTION("""COMPUTED_VALUE"""),"Springer")</f>
        <v>Springer</v>
      </c>
      <c r="J1554" s="1">
        <f ca="1">IFERROR(__xludf.DUMMYFUNCTION("""COMPUTED_VALUE"""),2000)</f>
        <v>2000</v>
      </c>
      <c r="K1554" s="1" t="str">
        <f ca="1">IFERROR(__xludf.DUMMYFUNCTION("""COMPUTED_VALUE"""),"Mathematics and Statistics")</f>
        <v>Mathematics and Statistics</v>
      </c>
      <c r="L1554" s="1" t="str">
        <f ca="1">IFERROR(__xludf.DUMMYFUNCTION("""COMPUTED_VALUE"""),"〇")</f>
        <v>〇</v>
      </c>
      <c r="M1554" s="1" t="str">
        <f ca="1">IFERROR(__xludf.DUMMYFUNCTION("""COMPUTED_VALUE"""),"〇")</f>
        <v>〇</v>
      </c>
      <c r="N1554" s="1"/>
      <c r="O1554" s="1"/>
      <c r="P1554" s="1"/>
    </row>
    <row r="1555" spans="1:16" ht="14.25" customHeight="1" x14ac:dyDescent="0.25">
      <c r="A1555" s="1"/>
      <c r="B1555" s="1">
        <f ca="1"/>
        <v>1543</v>
      </c>
      <c r="C1555" s="1">
        <f ca="1">IFERROR(__xludf.DUMMYFUNCTION("""COMPUTED_VALUE"""),2023)</f>
        <v>2023</v>
      </c>
      <c r="D1555" s="1">
        <f ca="1">IFERROR(__xludf.DUMMYFUNCTION("""COMPUTED_VALUE"""),591)</f>
        <v>591</v>
      </c>
      <c r="E1555" s="1" t="str">
        <f ca="1">IFERROR(__xludf.DUMMYFUNCTION("""COMPUTED_VALUE"""),"Mathematische Semesterberichte")</f>
        <v>Mathematische Semesterberichte</v>
      </c>
      <c r="F1555" s="1" t="str">
        <f ca="1">IFERROR(__xludf.DUMMYFUNCTION("""COMPUTED_VALUE"""),"1432-1815")</f>
        <v>1432-1815</v>
      </c>
      <c r="G1555" s="1" t="str">
        <f ca="1">IFERROR(__xludf.DUMMYFUNCTION("""COMPUTED_VALUE"""),"0720-728X")</f>
        <v>0720-728X</v>
      </c>
      <c r="H1555" s="27" t="str">
        <f ca="1">IFERROR(__xludf.DUMMYFUNCTION("""COMPUTED_VALUE"""),"https://link.springer.com/journal/591")</f>
        <v>https://link.springer.com/journal/591</v>
      </c>
      <c r="I1555" s="1" t="str">
        <f ca="1">IFERROR(__xludf.DUMMYFUNCTION("""COMPUTED_VALUE"""),"Springer")</f>
        <v>Springer</v>
      </c>
      <c r="J1555" s="1">
        <f ca="1">IFERROR(__xludf.DUMMYFUNCTION("""COMPUTED_VALUE"""),2000)</f>
        <v>2000</v>
      </c>
      <c r="K1555" s="1" t="str">
        <f ca="1">IFERROR(__xludf.DUMMYFUNCTION("""COMPUTED_VALUE"""),"Mathematics and Statistics")</f>
        <v>Mathematics and Statistics</v>
      </c>
      <c r="L1555" s="1" t="str">
        <f ca="1">IFERROR(__xludf.DUMMYFUNCTION("""COMPUTED_VALUE"""),"〇")</f>
        <v>〇</v>
      </c>
      <c r="M1555" s="1" t="str">
        <f ca="1">IFERROR(__xludf.DUMMYFUNCTION("""COMPUTED_VALUE"""),"〇")</f>
        <v>〇</v>
      </c>
      <c r="N1555" s="1"/>
      <c r="O1555" s="1"/>
      <c r="P1555" s="1"/>
    </row>
    <row r="1556" spans="1:16" ht="14.25" customHeight="1" x14ac:dyDescent="0.25">
      <c r="A1556" s="1"/>
      <c r="B1556" s="1">
        <f ca="1"/>
        <v>1544</v>
      </c>
      <c r="C1556" s="1">
        <f ca="1">IFERROR(__xludf.DUMMYFUNCTION("""COMPUTED_VALUE"""),2023)</f>
        <v>2023</v>
      </c>
      <c r="D1556" s="1">
        <f ca="1">IFERROR(__xludf.DUMMYFUNCTION("""COMPUTED_VALUE"""),209)</f>
        <v>209</v>
      </c>
      <c r="E1556" s="1" t="str">
        <f ca="1">IFERROR(__xludf.DUMMYFUNCTION("""COMPUTED_VALUE"""),"Mathematische Zeitschrift")</f>
        <v>Mathematische Zeitschrift</v>
      </c>
      <c r="F1556" s="1" t="str">
        <f ca="1">IFERROR(__xludf.DUMMYFUNCTION("""COMPUTED_VALUE"""),"1432-1823")</f>
        <v>1432-1823</v>
      </c>
      <c r="G1556" s="1" t="str">
        <f ca="1">IFERROR(__xludf.DUMMYFUNCTION("""COMPUTED_VALUE"""),"0025-5874")</f>
        <v>0025-5874</v>
      </c>
      <c r="H1556" s="27" t="str">
        <f ca="1">IFERROR(__xludf.DUMMYFUNCTION("""COMPUTED_VALUE"""),"https://link.springer.com/journal/209")</f>
        <v>https://link.springer.com/journal/209</v>
      </c>
      <c r="I1556" s="1" t="str">
        <f ca="1">IFERROR(__xludf.DUMMYFUNCTION("""COMPUTED_VALUE"""),"Springer")</f>
        <v>Springer</v>
      </c>
      <c r="J1556" s="1">
        <f ca="1">IFERROR(__xludf.DUMMYFUNCTION("""COMPUTED_VALUE"""),2000)</f>
        <v>2000</v>
      </c>
      <c r="K1556" s="1" t="str">
        <f ca="1">IFERROR(__xludf.DUMMYFUNCTION("""COMPUTED_VALUE"""),"Mathematics and Statistics")</f>
        <v>Mathematics and Statistics</v>
      </c>
      <c r="L1556" s="1" t="str">
        <f ca="1">IFERROR(__xludf.DUMMYFUNCTION("""COMPUTED_VALUE"""),"〇")</f>
        <v>〇</v>
      </c>
      <c r="M1556" s="1" t="str">
        <f ca="1">IFERROR(__xludf.DUMMYFUNCTION("""COMPUTED_VALUE"""),"〇")</f>
        <v>〇</v>
      </c>
      <c r="N1556" s="1"/>
      <c r="O1556" s="1"/>
      <c r="P1556" s="1"/>
    </row>
    <row r="1557" spans="1:16" ht="14.25" customHeight="1" x14ac:dyDescent="0.25">
      <c r="A1557" s="1"/>
      <c r="B1557" s="1">
        <f ca="1"/>
        <v>1545</v>
      </c>
      <c r="C1557" s="1">
        <f ca="1">IFERROR(__xludf.DUMMYFUNCTION("""COMPUTED_VALUE"""),2023)</f>
        <v>2023</v>
      </c>
      <c r="D1557" s="1">
        <f ca="1">IFERROR(__xludf.DUMMYFUNCTION("""COMPUTED_VALUE"""),11018)</f>
        <v>11018</v>
      </c>
      <c r="E1557" s="1" t="str">
        <f ca="1">IFERROR(__xludf.DUMMYFUNCTION("""COMPUTED_VALUE"""),"Measurement Techniques")</f>
        <v>Measurement Techniques</v>
      </c>
      <c r="F1557" s="1" t="str">
        <f ca="1">IFERROR(__xludf.DUMMYFUNCTION("""COMPUTED_VALUE"""),"1573-8906")</f>
        <v>1573-8906</v>
      </c>
      <c r="G1557" s="1" t="str">
        <f ca="1">IFERROR(__xludf.DUMMYFUNCTION("""COMPUTED_VALUE"""),"0543-1972")</f>
        <v>0543-1972</v>
      </c>
      <c r="H1557" s="27" t="str">
        <f ca="1">IFERROR(__xludf.DUMMYFUNCTION("""COMPUTED_VALUE"""),"https://link.springer.com/journal/11018")</f>
        <v>https://link.springer.com/journal/11018</v>
      </c>
      <c r="I1557" s="1" t="str">
        <f ca="1">IFERROR(__xludf.DUMMYFUNCTION("""COMPUTED_VALUE"""),"Springer")</f>
        <v>Springer</v>
      </c>
      <c r="J1557" s="1">
        <f ca="1">IFERROR(__xludf.DUMMYFUNCTION("""COMPUTED_VALUE"""),2000)</f>
        <v>2000</v>
      </c>
      <c r="K1557" s="1" t="str">
        <f ca="1">IFERROR(__xludf.DUMMYFUNCTION("""COMPUTED_VALUE"""),"Physics and Astronomy")</f>
        <v>Physics and Astronomy</v>
      </c>
      <c r="L1557" s="1" t="str">
        <f ca="1">IFERROR(__xludf.DUMMYFUNCTION("""COMPUTED_VALUE"""),"〇")</f>
        <v>〇</v>
      </c>
      <c r="M1557" s="1" t="str">
        <f ca="1">IFERROR(__xludf.DUMMYFUNCTION("""COMPUTED_VALUE"""),"〇")</f>
        <v>〇</v>
      </c>
      <c r="N1557" s="1"/>
      <c r="O1557" s="1"/>
      <c r="P1557" s="1"/>
    </row>
    <row r="1558" spans="1:16" ht="14.25" customHeight="1" x14ac:dyDescent="0.25">
      <c r="A1558" s="1"/>
      <c r="B1558" s="1">
        <f ca="1"/>
        <v>1546</v>
      </c>
      <c r="C1558" s="1">
        <f ca="1">IFERROR(__xludf.DUMMYFUNCTION("""COMPUTED_VALUE"""),2023)</f>
        <v>2023</v>
      </c>
      <c r="D1558" s="1">
        <f ca="1">IFERROR(__xludf.DUMMYFUNCTION("""COMPUTED_VALUE"""),11012)</f>
        <v>11012</v>
      </c>
      <c r="E1558" s="1" t="str">
        <f ca="1">IFERROR(__xludf.DUMMYFUNCTION("""COMPUTED_VALUE"""),"Meccanica")</f>
        <v>Meccanica</v>
      </c>
      <c r="F1558" s="1" t="str">
        <f ca="1">IFERROR(__xludf.DUMMYFUNCTION("""COMPUTED_VALUE"""),"1572-9648")</f>
        <v>1572-9648</v>
      </c>
      <c r="G1558" s="1" t="str">
        <f ca="1">IFERROR(__xludf.DUMMYFUNCTION("""COMPUTED_VALUE"""),"0025-6455")</f>
        <v>0025-6455</v>
      </c>
      <c r="H1558" s="27" t="str">
        <f ca="1">IFERROR(__xludf.DUMMYFUNCTION("""COMPUTED_VALUE"""),"https://link.springer.com/journal/11012")</f>
        <v>https://link.springer.com/journal/11012</v>
      </c>
      <c r="I1558" s="1" t="str">
        <f ca="1">IFERROR(__xludf.DUMMYFUNCTION("""COMPUTED_VALUE"""),"Springer")</f>
        <v>Springer</v>
      </c>
      <c r="J1558" s="1">
        <f ca="1">IFERROR(__xludf.DUMMYFUNCTION("""COMPUTED_VALUE"""),2000)</f>
        <v>2000</v>
      </c>
      <c r="K1558" s="1" t="str">
        <f ca="1">IFERROR(__xludf.DUMMYFUNCTION("""COMPUTED_VALUE"""),"Engineering")</f>
        <v>Engineering</v>
      </c>
      <c r="L1558" s="1" t="str">
        <f ca="1">IFERROR(__xludf.DUMMYFUNCTION("""COMPUTED_VALUE"""),"〇")</f>
        <v>〇</v>
      </c>
      <c r="M1558" s="1" t="str">
        <f ca="1">IFERROR(__xludf.DUMMYFUNCTION("""COMPUTED_VALUE"""),"〇")</f>
        <v>〇</v>
      </c>
      <c r="N1558" s="1"/>
      <c r="O1558" s="1"/>
      <c r="P1558" s="1"/>
    </row>
    <row r="1559" spans="1:16" ht="14.25" customHeight="1" x14ac:dyDescent="0.25">
      <c r="A1559" s="1"/>
      <c r="B1559" s="1">
        <f ca="1"/>
        <v>1547</v>
      </c>
      <c r="C1559" s="1">
        <f ca="1">IFERROR(__xludf.DUMMYFUNCTION("""COMPUTED_VALUE"""),2023)</f>
        <v>2023</v>
      </c>
      <c r="D1559" s="1">
        <f ca="1">IFERROR(__xludf.DUMMYFUNCTION("""COMPUTED_VALUE"""),11029)</f>
        <v>11029</v>
      </c>
      <c r="E1559" s="1" t="str">
        <f ca="1">IFERROR(__xludf.DUMMYFUNCTION("""COMPUTED_VALUE"""),"Mechanics of Composite Materials")</f>
        <v>Mechanics of Composite Materials</v>
      </c>
      <c r="F1559" s="1" t="str">
        <f ca="1">IFERROR(__xludf.DUMMYFUNCTION("""COMPUTED_VALUE"""),"1573-8922")</f>
        <v>1573-8922</v>
      </c>
      <c r="G1559" s="1" t="str">
        <f ca="1">IFERROR(__xludf.DUMMYFUNCTION("""COMPUTED_VALUE"""),"0191-5665")</f>
        <v>0191-5665</v>
      </c>
      <c r="H1559" s="27" t="str">
        <f ca="1">IFERROR(__xludf.DUMMYFUNCTION("""COMPUTED_VALUE"""),"https://link.springer.com/journal/11029")</f>
        <v>https://link.springer.com/journal/11029</v>
      </c>
      <c r="I1559" s="1" t="str">
        <f ca="1">IFERROR(__xludf.DUMMYFUNCTION("""COMPUTED_VALUE"""),"Springer")</f>
        <v>Springer</v>
      </c>
      <c r="J1559" s="1">
        <f ca="1">IFERROR(__xludf.DUMMYFUNCTION("""COMPUTED_VALUE"""),2000)</f>
        <v>2000</v>
      </c>
      <c r="K1559" s="1" t="str">
        <f ca="1">IFERROR(__xludf.DUMMYFUNCTION("""COMPUTED_VALUE"""),"Chemistry and Materials Science")</f>
        <v>Chemistry and Materials Science</v>
      </c>
      <c r="L1559" s="1" t="str">
        <f ca="1">IFERROR(__xludf.DUMMYFUNCTION("""COMPUTED_VALUE"""),"〇")</f>
        <v>〇</v>
      </c>
      <c r="M1559" s="1" t="str">
        <f ca="1">IFERROR(__xludf.DUMMYFUNCTION("""COMPUTED_VALUE"""),"〇")</f>
        <v>〇</v>
      </c>
      <c r="N1559" s="1"/>
      <c r="O1559" s="1"/>
      <c r="P1559" s="1"/>
    </row>
    <row r="1560" spans="1:16" ht="14.25" customHeight="1" x14ac:dyDescent="0.25">
      <c r="A1560" s="1"/>
      <c r="B1560" s="1">
        <f ca="1"/>
        <v>1548</v>
      </c>
      <c r="C1560" s="1">
        <f ca="1">IFERROR(__xludf.DUMMYFUNCTION("""COMPUTED_VALUE"""),2023)</f>
        <v>2023</v>
      </c>
      <c r="D1560" s="1">
        <f ca="1">IFERROR(__xludf.DUMMYFUNCTION("""COMPUTED_VALUE"""),42558)</f>
        <v>42558</v>
      </c>
      <c r="E1560" s="1" t="str">
        <f ca="1">IFERROR(__xludf.DUMMYFUNCTION("""COMPUTED_VALUE"""),"Mechanics of Soft Materials")</f>
        <v>Mechanics of Soft Materials</v>
      </c>
      <c r="F1560" s="1" t="str">
        <f ca="1">IFERROR(__xludf.DUMMYFUNCTION("""COMPUTED_VALUE"""),"2524-5619")</f>
        <v>2524-5619</v>
      </c>
      <c r="G1560" s="1" t="str">
        <f ca="1">IFERROR(__xludf.DUMMYFUNCTION("""COMPUTED_VALUE"""),"2524-5600")</f>
        <v>2524-5600</v>
      </c>
      <c r="H1560" s="27" t="str">
        <f ca="1">IFERROR(__xludf.DUMMYFUNCTION("""COMPUTED_VALUE"""),"https://link.springer.com/journal/42558")</f>
        <v>https://link.springer.com/journal/42558</v>
      </c>
      <c r="I1560" s="1" t="str">
        <f ca="1">IFERROR(__xludf.DUMMYFUNCTION("""COMPUTED_VALUE"""),"Springer")</f>
        <v>Springer</v>
      </c>
      <c r="J1560" s="1">
        <f ca="1">IFERROR(__xludf.DUMMYFUNCTION("""COMPUTED_VALUE"""),2019)</f>
        <v>2019</v>
      </c>
      <c r="K1560" s="1" t="str">
        <f ca="1">IFERROR(__xludf.DUMMYFUNCTION("""COMPUTED_VALUE"""),"Engineering")</f>
        <v>Engineering</v>
      </c>
      <c r="L1560" s="1" t="str">
        <f ca="1">IFERROR(__xludf.DUMMYFUNCTION("""COMPUTED_VALUE"""),"〇")</f>
        <v>〇</v>
      </c>
      <c r="M1560" s="1"/>
      <c r="N1560" s="1" t="str">
        <f ca="1">IFERROR(__xludf.DUMMYFUNCTION("""COMPUTED_VALUE"""),"SNS19")</f>
        <v>SNS19</v>
      </c>
      <c r="O1560" s="1"/>
      <c r="P1560" s="1"/>
    </row>
    <row r="1561" spans="1:16" ht="14.25" customHeight="1" x14ac:dyDescent="0.25">
      <c r="A1561" s="1"/>
      <c r="B1561" s="1">
        <f ca="1"/>
        <v>1549</v>
      </c>
      <c r="C1561" s="1">
        <f ca="1">IFERROR(__xludf.DUMMYFUNCTION("""COMPUTED_VALUE"""),2023)</f>
        <v>2023</v>
      </c>
      <c r="D1561" s="1">
        <f ca="1">IFERROR(__xludf.DUMMYFUNCTION("""COMPUTED_VALUE"""),11964)</f>
        <v>11964</v>
      </c>
      <c r="E1561" s="1" t="str">
        <f ca="1">IFERROR(__xludf.DUMMYFUNCTION("""COMPUTED_VALUE"""),"Mechanics of Solids")</f>
        <v>Mechanics of Solids</v>
      </c>
      <c r="F1561" s="1" t="str">
        <f ca="1">IFERROR(__xludf.DUMMYFUNCTION("""COMPUTED_VALUE"""),"1934-7936")</f>
        <v>1934-7936</v>
      </c>
      <c r="G1561" s="1" t="str">
        <f ca="1">IFERROR(__xludf.DUMMYFUNCTION("""COMPUTED_VALUE"""),"0025-6544")</f>
        <v>0025-6544</v>
      </c>
      <c r="H1561" s="27" t="str">
        <f ca="1">IFERROR(__xludf.DUMMYFUNCTION("""COMPUTED_VALUE"""),"https://link.springer.com/journal/11964")</f>
        <v>https://link.springer.com/journal/11964</v>
      </c>
      <c r="I1561" s="1" t="str">
        <f ca="1">IFERROR(__xludf.DUMMYFUNCTION("""COMPUTED_VALUE"""),"Pleiades Publishing")</f>
        <v>Pleiades Publishing</v>
      </c>
      <c r="J1561" s="1">
        <f ca="1">IFERROR(__xludf.DUMMYFUNCTION("""COMPUTED_VALUE"""),2007)</f>
        <v>2007</v>
      </c>
      <c r="K1561" s="1" t="str">
        <f ca="1">IFERROR(__xludf.DUMMYFUNCTION("""COMPUTED_VALUE"""),"Physics and Astronomy")</f>
        <v>Physics and Astronomy</v>
      </c>
      <c r="L1561" s="1" t="str">
        <f ca="1">IFERROR(__xludf.DUMMYFUNCTION("""COMPUTED_VALUE"""),"〇")</f>
        <v>〇</v>
      </c>
      <c r="M1561" s="1" t="str">
        <f ca="1">IFERROR(__xludf.DUMMYFUNCTION("""COMPUTED_VALUE"""),"〇")</f>
        <v>〇</v>
      </c>
      <c r="N1561" s="1" t="str">
        <f ca="1">IFERROR(__xludf.DUMMYFUNCTION("""COMPUTED_VALUE"""),"TO7")</f>
        <v>TO7</v>
      </c>
      <c r="O1561" s="1"/>
      <c r="P1561" s="1"/>
    </row>
    <row r="1562" spans="1:16" ht="14.25" customHeight="1" x14ac:dyDescent="0.25">
      <c r="A1562" s="1"/>
      <c r="B1562" s="1">
        <f ca="1"/>
        <v>1550</v>
      </c>
      <c r="C1562" s="1">
        <f ca="1">IFERROR(__xludf.DUMMYFUNCTION("""COMPUTED_VALUE"""),2023)</f>
        <v>2023</v>
      </c>
      <c r="D1562" s="1">
        <f ca="1">IFERROR(__xludf.DUMMYFUNCTION("""COMPUTED_VALUE"""),11043)</f>
        <v>11043</v>
      </c>
      <c r="E1562" s="1" t="str">
        <f ca="1">IFERROR(__xludf.DUMMYFUNCTION("""COMPUTED_VALUE"""),"Mechanics of Time-Dependent Materials")</f>
        <v>Mechanics of Time-Dependent Materials</v>
      </c>
      <c r="F1562" s="1" t="str">
        <f ca="1">IFERROR(__xludf.DUMMYFUNCTION("""COMPUTED_VALUE"""),"1573-2738")</f>
        <v>1573-2738</v>
      </c>
      <c r="G1562" s="1" t="str">
        <f ca="1">IFERROR(__xludf.DUMMYFUNCTION("""COMPUTED_VALUE"""),"1385-2000")</f>
        <v>1385-2000</v>
      </c>
      <c r="H1562" s="27" t="str">
        <f ca="1">IFERROR(__xludf.DUMMYFUNCTION("""COMPUTED_VALUE"""),"https://link.springer.com/journal/11043")</f>
        <v>https://link.springer.com/journal/11043</v>
      </c>
      <c r="I1562" s="1" t="str">
        <f ca="1">IFERROR(__xludf.DUMMYFUNCTION("""COMPUTED_VALUE"""),"Springer")</f>
        <v>Springer</v>
      </c>
      <c r="J1562" s="1">
        <f ca="1">IFERROR(__xludf.DUMMYFUNCTION("""COMPUTED_VALUE"""),2000)</f>
        <v>2000</v>
      </c>
      <c r="K1562" s="1" t="str">
        <f ca="1">IFERROR(__xludf.DUMMYFUNCTION("""COMPUTED_VALUE"""),"Engineering")</f>
        <v>Engineering</v>
      </c>
      <c r="L1562" s="1" t="str">
        <f ca="1">IFERROR(__xludf.DUMMYFUNCTION("""COMPUTED_VALUE"""),"〇")</f>
        <v>〇</v>
      </c>
      <c r="M1562" s="1" t="str">
        <f ca="1">IFERROR(__xludf.DUMMYFUNCTION("""COMPUTED_VALUE"""),"〇")</f>
        <v>〇</v>
      </c>
      <c r="N1562" s="1"/>
      <c r="O1562" s="1"/>
      <c r="P1562" s="1"/>
    </row>
    <row r="1563" spans="1:16" ht="14.25" customHeight="1" x14ac:dyDescent="0.25">
      <c r="A1563" s="1"/>
      <c r="B1563" s="1">
        <f ca="1"/>
        <v>1551</v>
      </c>
      <c r="C1563" s="1">
        <f ca="1">IFERROR(__xludf.DUMMYFUNCTION("""COMPUTED_VALUE"""),2023)</f>
        <v>2023</v>
      </c>
      <c r="D1563" s="1">
        <f ca="1">IFERROR(__xludf.DUMMYFUNCTION("""COMPUTED_VALUE"""),11517)</f>
        <v>11517</v>
      </c>
      <c r="E1563" s="1" t="str">
        <f ca="1">IFERROR(__xludf.DUMMYFUNCTION("""COMPUTED_VALUE"""),"Medical &amp; Biological Engineering &amp; Computing")</f>
        <v>Medical &amp; Biological Engineering &amp; Computing</v>
      </c>
      <c r="F1563" s="1" t="str">
        <f ca="1">IFERROR(__xludf.DUMMYFUNCTION("""COMPUTED_VALUE"""),"1741-0444")</f>
        <v>1741-0444</v>
      </c>
      <c r="G1563" s="1" t="str">
        <f ca="1">IFERROR(__xludf.DUMMYFUNCTION("""COMPUTED_VALUE"""),"0140-0118")</f>
        <v>0140-0118</v>
      </c>
      <c r="H1563" s="27" t="str">
        <f ca="1">IFERROR(__xludf.DUMMYFUNCTION("""COMPUTED_VALUE"""),"https://link.springer.com/journal/11517")</f>
        <v>https://link.springer.com/journal/11517</v>
      </c>
      <c r="I1563" s="1" t="str">
        <f ca="1">IFERROR(__xludf.DUMMYFUNCTION("""COMPUTED_VALUE"""),"Springer")</f>
        <v>Springer</v>
      </c>
      <c r="J1563" s="1">
        <f ca="1">IFERROR(__xludf.DUMMYFUNCTION("""COMPUTED_VALUE"""),2000)</f>
        <v>2000</v>
      </c>
      <c r="K1563" s="1" t="str">
        <f ca="1">IFERROR(__xludf.DUMMYFUNCTION("""COMPUTED_VALUE"""),"Biomedical and Life Sciences")</f>
        <v>Biomedical and Life Sciences</v>
      </c>
      <c r="L1563" s="1" t="str">
        <f ca="1">IFERROR(__xludf.DUMMYFUNCTION("""COMPUTED_VALUE"""),"〇")</f>
        <v>〇</v>
      </c>
      <c r="M1563" s="1" t="str">
        <f ca="1">IFERROR(__xludf.DUMMYFUNCTION("""COMPUTED_VALUE"""),"〇")</f>
        <v>〇</v>
      </c>
      <c r="N1563" s="1"/>
      <c r="O1563" s="1"/>
      <c r="P1563" s="1"/>
    </row>
    <row r="1564" spans="1:16" ht="14.25" customHeight="1" x14ac:dyDescent="0.25">
      <c r="A1564" s="1"/>
      <c r="B1564" s="1">
        <f ca="1"/>
        <v>1552</v>
      </c>
      <c r="C1564" s="1">
        <f ca="1">IFERROR(__xludf.DUMMYFUNCTION("""COMPUTED_VALUE"""),2023)</f>
        <v>2023</v>
      </c>
      <c r="D1564" s="1">
        <f ca="1">IFERROR(__xludf.DUMMYFUNCTION("""COMPUTED_VALUE"""),430)</f>
        <v>430</v>
      </c>
      <c r="E1564" s="1" t="str">
        <f ca="1">IFERROR(__xludf.DUMMYFUNCTION("""COMPUTED_VALUE"""),"Medical Microbiology and Immunology")</f>
        <v>Medical Microbiology and Immunology</v>
      </c>
      <c r="F1564" s="1" t="str">
        <f ca="1">IFERROR(__xludf.DUMMYFUNCTION("""COMPUTED_VALUE"""),"1432-1831")</f>
        <v>1432-1831</v>
      </c>
      <c r="G1564" s="1" t="str">
        <f ca="1">IFERROR(__xludf.DUMMYFUNCTION("""COMPUTED_VALUE"""),"0300-8584")</f>
        <v>0300-8584</v>
      </c>
      <c r="H1564" s="27" t="str">
        <f ca="1">IFERROR(__xludf.DUMMYFUNCTION("""COMPUTED_VALUE"""),"https://link.springer.com/journal/430")</f>
        <v>https://link.springer.com/journal/430</v>
      </c>
      <c r="I1564" s="1" t="str">
        <f ca="1">IFERROR(__xludf.DUMMYFUNCTION("""COMPUTED_VALUE"""),"Springer")</f>
        <v>Springer</v>
      </c>
      <c r="J1564" s="1">
        <f ca="1">IFERROR(__xludf.DUMMYFUNCTION("""COMPUTED_VALUE"""),2000)</f>
        <v>2000</v>
      </c>
      <c r="K1564" s="1" t="str">
        <f ca="1">IFERROR(__xludf.DUMMYFUNCTION("""COMPUTED_VALUE"""),"Biomedical and Life Sciences")</f>
        <v>Biomedical and Life Sciences</v>
      </c>
      <c r="L1564" s="1" t="str">
        <f ca="1">IFERROR(__xludf.DUMMYFUNCTION("""COMPUTED_VALUE"""),"〇")</f>
        <v>〇</v>
      </c>
      <c r="M1564" s="1" t="str">
        <f ca="1">IFERROR(__xludf.DUMMYFUNCTION("""COMPUTED_VALUE"""),"〇")</f>
        <v>〇</v>
      </c>
      <c r="N1564" s="1"/>
      <c r="O1564" s="1"/>
      <c r="P1564" s="1"/>
    </row>
    <row r="1565" spans="1:16" ht="14.25" customHeight="1" x14ac:dyDescent="0.25">
      <c r="A1565" s="1"/>
      <c r="B1565" s="1">
        <f ca="1"/>
        <v>1553</v>
      </c>
      <c r="C1565" s="1">
        <f ca="1">IFERROR(__xludf.DUMMYFUNCTION("""COMPUTED_VALUE"""),2023)</f>
        <v>2023</v>
      </c>
      <c r="D1565" s="1">
        <f ca="1">IFERROR(__xludf.DUMMYFUNCTION("""COMPUTED_VALUE"""),795)</f>
        <v>795</v>
      </c>
      <c r="E1565" s="1" t="str">
        <f ca="1">IFERROR(__xludf.DUMMYFUNCTION("""COMPUTED_VALUE"""),"Medical Molecular Morphology")</f>
        <v>Medical Molecular Morphology</v>
      </c>
      <c r="F1565" s="1" t="str">
        <f ca="1">IFERROR(__xludf.DUMMYFUNCTION("""COMPUTED_VALUE"""),"1860-1499")</f>
        <v>1860-1499</v>
      </c>
      <c r="G1565" s="1" t="str">
        <f ca="1">IFERROR(__xludf.DUMMYFUNCTION("""COMPUTED_VALUE"""),"1860-1480")</f>
        <v>1860-1480</v>
      </c>
      <c r="H1565" s="27" t="str">
        <f ca="1">IFERROR(__xludf.DUMMYFUNCTION("""COMPUTED_VALUE"""),"https://link.springer.com/journal/795")</f>
        <v>https://link.springer.com/journal/795</v>
      </c>
      <c r="I1565" s="1" t="str">
        <f ca="1">IFERROR(__xludf.DUMMYFUNCTION("""COMPUTED_VALUE"""),"Springer")</f>
        <v>Springer</v>
      </c>
      <c r="J1565" s="1">
        <f ca="1">IFERROR(__xludf.DUMMYFUNCTION("""COMPUTED_VALUE"""),2000)</f>
        <v>2000</v>
      </c>
      <c r="K1565" s="1" t="str">
        <f ca="1">IFERROR(__xludf.DUMMYFUNCTION("""COMPUTED_VALUE"""),"Medicine")</f>
        <v>Medicine</v>
      </c>
      <c r="L1565" s="1" t="str">
        <f ca="1">IFERROR(__xludf.DUMMYFUNCTION("""COMPUTED_VALUE"""),"〇")</f>
        <v>〇</v>
      </c>
      <c r="M1565" s="1" t="str">
        <f ca="1">IFERROR(__xludf.DUMMYFUNCTION("""COMPUTED_VALUE"""),"〇")</f>
        <v>〇</v>
      </c>
      <c r="N1565" s="1"/>
      <c r="O1565" s="1"/>
      <c r="P1565" s="1"/>
    </row>
    <row r="1566" spans="1:16" ht="14.25" customHeight="1" x14ac:dyDescent="0.25">
      <c r="A1566" s="1"/>
      <c r="B1566" s="1">
        <f ca="1"/>
        <v>1554</v>
      </c>
      <c r="C1566" s="1">
        <f ca="1">IFERROR(__xludf.DUMMYFUNCTION("""COMPUTED_VALUE"""),2023)</f>
        <v>2023</v>
      </c>
      <c r="D1566" s="1">
        <f ca="1">IFERROR(__xludf.DUMMYFUNCTION("""COMPUTED_VALUE"""),12032)</f>
        <v>12032</v>
      </c>
      <c r="E1566" s="1" t="str">
        <f ca="1">IFERROR(__xludf.DUMMYFUNCTION("""COMPUTED_VALUE"""),"Medical Oncology")</f>
        <v>Medical Oncology</v>
      </c>
      <c r="F1566" s="1" t="str">
        <f ca="1">IFERROR(__xludf.DUMMYFUNCTION("""COMPUTED_VALUE"""),"1559-131X")</f>
        <v>1559-131X</v>
      </c>
      <c r="G1566" s="1"/>
      <c r="H1566" s="27" t="str">
        <f ca="1">IFERROR(__xludf.DUMMYFUNCTION("""COMPUTED_VALUE"""),"https://link.springer.com/journal/12032")</f>
        <v>https://link.springer.com/journal/12032</v>
      </c>
      <c r="I1566" s="1" t="str">
        <f ca="1">IFERROR(__xludf.DUMMYFUNCTION("""COMPUTED_VALUE"""),"Springer")</f>
        <v>Springer</v>
      </c>
      <c r="J1566" s="1">
        <f ca="1">IFERROR(__xludf.DUMMYFUNCTION("""COMPUTED_VALUE"""),2000)</f>
        <v>2000</v>
      </c>
      <c r="K1566" s="1" t="str">
        <f ca="1">IFERROR(__xludf.DUMMYFUNCTION("""COMPUTED_VALUE"""),"Medicine")</f>
        <v>Medicine</v>
      </c>
      <c r="L1566" s="1"/>
      <c r="M1566" s="1" t="str">
        <f ca="1">IFERROR(__xludf.DUMMYFUNCTION("""COMPUTED_VALUE"""),"〇")</f>
        <v>〇</v>
      </c>
      <c r="N1566" s="1" t="str">
        <f ca="1">IFERROR(__xludf.DUMMYFUNCTION("""COMPUTED_VALUE"""),"TO7")</f>
        <v>TO7</v>
      </c>
      <c r="O1566" s="1"/>
      <c r="P1566" s="1"/>
    </row>
    <row r="1567" spans="1:16" ht="14.25" customHeight="1" x14ac:dyDescent="0.25">
      <c r="A1567" s="1"/>
      <c r="B1567" s="1">
        <f ca="1"/>
        <v>1555</v>
      </c>
      <c r="C1567" s="1">
        <f ca="1">IFERROR(__xludf.DUMMYFUNCTION("""COMPUTED_VALUE"""),2023)</f>
        <v>2023</v>
      </c>
      <c r="D1567" s="1">
        <f ca="1">IFERROR(__xludf.DUMMYFUNCTION("""COMPUTED_VALUE"""),40670)</f>
        <v>40670</v>
      </c>
      <c r="E1567" s="1" t="str">
        <f ca="1">IFERROR(__xludf.DUMMYFUNCTION("""COMPUTED_VALUE"""),"Medical Science Educator")</f>
        <v>Medical Science Educator</v>
      </c>
      <c r="F1567" s="1" t="str">
        <f ca="1">IFERROR(__xludf.DUMMYFUNCTION("""COMPUTED_VALUE"""),"2156-8650")</f>
        <v>2156-8650</v>
      </c>
      <c r="G1567" s="1"/>
      <c r="H1567" s="27" t="str">
        <f ca="1">IFERROR(__xludf.DUMMYFUNCTION("""COMPUTED_VALUE"""),"https://link.springer.com/journal/40670")</f>
        <v>https://link.springer.com/journal/40670</v>
      </c>
      <c r="I1567" s="1" t="str">
        <f ca="1">IFERROR(__xludf.DUMMYFUNCTION("""COMPUTED_VALUE"""),"Springer")</f>
        <v>Springer</v>
      </c>
      <c r="J1567" s="1">
        <f ca="1">IFERROR(__xludf.DUMMYFUNCTION("""COMPUTED_VALUE"""),2011)</f>
        <v>2011</v>
      </c>
      <c r="K1567" s="1" t="str">
        <f ca="1">IFERROR(__xludf.DUMMYFUNCTION("""COMPUTED_VALUE"""),"Education")</f>
        <v>Education</v>
      </c>
      <c r="L1567" s="1"/>
      <c r="M1567" s="1"/>
      <c r="N1567" s="1" t="str">
        <f ca="1">IFERROR(__xludf.DUMMYFUNCTION("""COMPUTED_VALUE"""),"TO14")</f>
        <v>TO14</v>
      </c>
      <c r="O1567" s="1"/>
      <c r="P1567" s="1"/>
    </row>
    <row r="1568" spans="1:16" ht="14.25" customHeight="1" x14ac:dyDescent="0.25">
      <c r="A1568" s="1"/>
      <c r="B1568" s="1">
        <f ca="1"/>
        <v>1556</v>
      </c>
      <c r="C1568" s="1">
        <f ca="1">IFERROR(__xludf.DUMMYFUNCTION("""COMPUTED_VALUE"""),2023)</f>
        <v>2023</v>
      </c>
      <c r="D1568" s="1">
        <f ca="1">IFERROR(__xludf.DUMMYFUNCTION("""COMPUTED_VALUE"""),44)</f>
        <v>44</v>
      </c>
      <c r="E1568" s="1" t="str">
        <f ca="1">IFERROR(__xludf.DUMMYFUNCTION("""COMPUTED_VALUE"""),"Medicinal Chemistry Research")</f>
        <v>Medicinal Chemistry Research</v>
      </c>
      <c r="F1568" s="1" t="str">
        <f ca="1">IFERROR(__xludf.DUMMYFUNCTION("""COMPUTED_VALUE"""),"1554-8120")</f>
        <v>1554-8120</v>
      </c>
      <c r="G1568" s="1" t="str">
        <f ca="1">IFERROR(__xludf.DUMMYFUNCTION("""COMPUTED_VALUE"""),"1054-2523")</f>
        <v>1054-2523</v>
      </c>
      <c r="H1568" s="27" t="str">
        <f ca="1">IFERROR(__xludf.DUMMYFUNCTION("""COMPUTED_VALUE"""),"https://link.springer.com/journal/44")</f>
        <v>https://link.springer.com/journal/44</v>
      </c>
      <c r="I1568" s="1" t="str">
        <f ca="1">IFERROR(__xludf.DUMMYFUNCTION("""COMPUTED_VALUE"""),"Springer")</f>
        <v>Springer</v>
      </c>
      <c r="J1568" s="1">
        <f ca="1">IFERROR(__xludf.DUMMYFUNCTION("""COMPUTED_VALUE"""),2004)</f>
        <v>2004</v>
      </c>
      <c r="K1568" s="1" t="str">
        <f ca="1">IFERROR(__xludf.DUMMYFUNCTION("""COMPUTED_VALUE"""),"Biomedical and Life Sciences")</f>
        <v>Biomedical and Life Sciences</v>
      </c>
      <c r="L1568" s="1" t="str">
        <f ca="1">IFERROR(__xludf.DUMMYFUNCTION("""COMPUTED_VALUE"""),"〇")</f>
        <v>〇</v>
      </c>
      <c r="M1568" s="1" t="str">
        <f ca="1">IFERROR(__xludf.DUMMYFUNCTION("""COMPUTED_VALUE"""),"〇")</f>
        <v>〇</v>
      </c>
      <c r="N1568" s="1"/>
      <c r="O1568" s="1"/>
      <c r="P1568" s="1"/>
    </row>
    <row r="1569" spans="1:16" ht="14.25" customHeight="1" x14ac:dyDescent="0.25">
      <c r="A1569" s="1"/>
      <c r="B1569" s="1">
        <f ca="1"/>
        <v>1557</v>
      </c>
      <c r="C1569" s="1">
        <f ca="1">IFERROR(__xludf.DUMMYFUNCTION("""COMPUTED_VALUE"""),2023)</f>
        <v>2023</v>
      </c>
      <c r="D1569" s="1">
        <f ca="1">IFERROR(__xludf.DUMMYFUNCTION("""COMPUTED_VALUE"""),11019)</f>
        <v>11019</v>
      </c>
      <c r="E1569" s="1" t="str">
        <f ca="1">IFERROR(__xludf.DUMMYFUNCTION("""COMPUTED_VALUE"""),"Medicine, Health Care and Philosophy")</f>
        <v>Medicine, Health Care and Philosophy</v>
      </c>
      <c r="F1569" s="1" t="str">
        <f ca="1">IFERROR(__xludf.DUMMYFUNCTION("""COMPUTED_VALUE"""),"1572-8633")</f>
        <v>1572-8633</v>
      </c>
      <c r="G1569" s="1" t="str">
        <f ca="1">IFERROR(__xludf.DUMMYFUNCTION("""COMPUTED_VALUE"""),"1386-7423")</f>
        <v>1386-7423</v>
      </c>
      <c r="H1569" s="27" t="str">
        <f ca="1">IFERROR(__xludf.DUMMYFUNCTION("""COMPUTED_VALUE"""),"https://link.springer.com/journal/11019")</f>
        <v>https://link.springer.com/journal/11019</v>
      </c>
      <c r="I1569" s="1" t="str">
        <f ca="1">IFERROR(__xludf.DUMMYFUNCTION("""COMPUTED_VALUE"""),"Springer")</f>
        <v>Springer</v>
      </c>
      <c r="J1569" s="1">
        <f ca="1">IFERROR(__xludf.DUMMYFUNCTION("""COMPUTED_VALUE"""),2000)</f>
        <v>2000</v>
      </c>
      <c r="K1569" s="1" t="str">
        <f ca="1">IFERROR(__xludf.DUMMYFUNCTION("""COMPUTED_VALUE"""),"Education")</f>
        <v>Education</v>
      </c>
      <c r="L1569" s="1" t="str">
        <f ca="1">IFERROR(__xludf.DUMMYFUNCTION("""COMPUTED_VALUE"""),"〇")</f>
        <v>〇</v>
      </c>
      <c r="M1569" s="1" t="str">
        <f ca="1">IFERROR(__xludf.DUMMYFUNCTION("""COMPUTED_VALUE"""),"〇")</f>
        <v>〇</v>
      </c>
      <c r="N1569" s="1"/>
      <c r="O1569" s="1"/>
      <c r="P1569" s="1"/>
    </row>
    <row r="1570" spans="1:16" ht="14.25" customHeight="1" x14ac:dyDescent="0.25">
      <c r="A1570" s="1"/>
      <c r="B1570" s="1">
        <f ca="1"/>
        <v>1558</v>
      </c>
      <c r="C1570" s="1">
        <f ca="1">IFERROR(__xludf.DUMMYFUNCTION("""COMPUTED_VALUE"""),2023)</f>
        <v>2023</v>
      </c>
      <c r="D1570" s="1">
        <f ca="1">IFERROR(__xludf.DUMMYFUNCTION("""COMPUTED_VALUE"""),42990)</f>
        <v>42990</v>
      </c>
      <c r="E1570" s="1" t="str">
        <f ca="1">IFERROR(__xludf.DUMMYFUNCTION("""COMPUTED_VALUE"""),"Mediterranean Geoscience Reviews")</f>
        <v>Mediterranean Geoscience Reviews</v>
      </c>
      <c r="F1570" s="1" t="str">
        <f ca="1">IFERROR(__xludf.DUMMYFUNCTION("""COMPUTED_VALUE"""),"2661-8648")</f>
        <v>2661-8648</v>
      </c>
      <c r="G1570" s="1" t="str">
        <f ca="1">IFERROR(__xludf.DUMMYFUNCTION("""COMPUTED_VALUE"""),"2661-863X")</f>
        <v>2661-863X</v>
      </c>
      <c r="H1570" s="27" t="str">
        <f ca="1">IFERROR(__xludf.DUMMYFUNCTION("""COMPUTED_VALUE"""),"https://link.springer.com/journal/42990")</f>
        <v>https://link.springer.com/journal/42990</v>
      </c>
      <c r="I1570" s="1" t="str">
        <f ca="1">IFERROR(__xludf.DUMMYFUNCTION("""COMPUTED_VALUE"""),"Springer")</f>
        <v>Springer</v>
      </c>
      <c r="J1570" s="1">
        <f ca="1">IFERROR(__xludf.DUMMYFUNCTION("""COMPUTED_VALUE"""),2019)</f>
        <v>2019</v>
      </c>
      <c r="K1570" s="1" t="str">
        <f ca="1">IFERROR(__xludf.DUMMYFUNCTION("""COMPUTED_VALUE"""),"Earth and Environmental Science")</f>
        <v>Earth and Environmental Science</v>
      </c>
      <c r="L1570" s="1" t="str">
        <f ca="1">IFERROR(__xludf.DUMMYFUNCTION("""COMPUTED_VALUE"""),"〇")</f>
        <v>〇</v>
      </c>
      <c r="M1570" s="1"/>
      <c r="N1570" s="1" t="str">
        <f ca="1">IFERROR(__xludf.DUMMYFUNCTION("""COMPUTED_VALUE"""),"SNS19")</f>
        <v>SNS19</v>
      </c>
      <c r="O1570" s="1"/>
      <c r="P1570" s="1"/>
    </row>
    <row r="1571" spans="1:16" ht="14.25" customHeight="1" x14ac:dyDescent="0.25">
      <c r="A1571" s="1"/>
      <c r="B1571" s="1">
        <f ca="1"/>
        <v>1559</v>
      </c>
      <c r="C1571" s="1">
        <f ca="1">IFERROR(__xludf.DUMMYFUNCTION("""COMPUTED_VALUE"""),2023)</f>
        <v>2023</v>
      </c>
      <c r="D1571" s="1">
        <f ca="1">IFERROR(__xludf.DUMMYFUNCTION("""COMPUTED_VALUE"""),9)</f>
        <v>9</v>
      </c>
      <c r="E1571" s="1" t="str">
        <f ca="1">IFERROR(__xludf.DUMMYFUNCTION("""COMPUTED_VALUE"""),"Mediterranean Journal of Mathematics")</f>
        <v>Mediterranean Journal of Mathematics</v>
      </c>
      <c r="F1571" s="1" t="str">
        <f ca="1">IFERROR(__xludf.DUMMYFUNCTION("""COMPUTED_VALUE"""),"1660-5454")</f>
        <v>1660-5454</v>
      </c>
      <c r="G1571" s="1" t="str">
        <f ca="1">IFERROR(__xludf.DUMMYFUNCTION("""COMPUTED_VALUE"""),"1660-5446")</f>
        <v>1660-5446</v>
      </c>
      <c r="H1571" s="27" t="str">
        <f ca="1">IFERROR(__xludf.DUMMYFUNCTION("""COMPUTED_VALUE"""),"https://link.springer.com/journal/9")</f>
        <v>https://link.springer.com/journal/9</v>
      </c>
      <c r="I1571" s="1" t="str">
        <f ca="1">IFERROR(__xludf.DUMMYFUNCTION("""COMPUTED_VALUE"""),"Birkhäuser")</f>
        <v>Birkhäuser</v>
      </c>
      <c r="J1571" s="1">
        <f ca="1">IFERROR(__xludf.DUMMYFUNCTION("""COMPUTED_VALUE"""),2004)</f>
        <v>2004</v>
      </c>
      <c r="K1571" s="1" t="str">
        <f ca="1">IFERROR(__xludf.DUMMYFUNCTION("""COMPUTED_VALUE"""),"Mathematics and Statistics")</f>
        <v>Mathematics and Statistics</v>
      </c>
      <c r="L1571" s="1" t="str">
        <f ca="1">IFERROR(__xludf.DUMMYFUNCTION("""COMPUTED_VALUE"""),"〇")</f>
        <v>〇</v>
      </c>
      <c r="M1571" s="1" t="str">
        <f ca="1">IFERROR(__xludf.DUMMYFUNCTION("""COMPUTED_VALUE"""),"〇")</f>
        <v>〇</v>
      </c>
      <c r="N1571" s="1"/>
      <c r="O1571" s="1"/>
      <c r="P1571" s="1"/>
    </row>
    <row r="1572" spans="1:16" ht="14.25" customHeight="1" x14ac:dyDescent="0.25">
      <c r="A1572" s="1"/>
      <c r="B1572" s="1">
        <f ca="1"/>
        <v>1560</v>
      </c>
      <c r="C1572" s="1">
        <f ca="1">IFERROR(__xludf.DUMMYFUNCTION("""COMPUTED_VALUE"""),2023)</f>
        <v>2023</v>
      </c>
      <c r="D1572" s="1">
        <f ca="1">IFERROR(__xludf.DUMMYFUNCTION("""COMPUTED_VALUE"""),63)</f>
        <v>63</v>
      </c>
      <c r="E1572" s="1" t="str">
        <f ca="1">IFERROR(__xludf.DUMMYFUNCTION("""COMPUTED_VALUE"""),"Medizinische Klinik - Intensivmedizin und Notfallmedizin")</f>
        <v>Medizinische Klinik - Intensivmedizin und Notfallmedizin</v>
      </c>
      <c r="F1572" s="1" t="str">
        <f ca="1">IFERROR(__xludf.DUMMYFUNCTION("""COMPUTED_VALUE"""),"2193-6226")</f>
        <v>2193-6226</v>
      </c>
      <c r="G1572" s="1" t="str">
        <f ca="1">IFERROR(__xludf.DUMMYFUNCTION("""COMPUTED_VALUE"""),"2193-6218")</f>
        <v>2193-6218</v>
      </c>
      <c r="H1572" s="27" t="str">
        <f ca="1">IFERROR(__xludf.DUMMYFUNCTION("""COMPUTED_VALUE"""),"https://link.springer.com/journal/63")</f>
        <v>https://link.springer.com/journal/63</v>
      </c>
      <c r="I1572" s="1" t="str">
        <f ca="1">IFERROR(__xludf.DUMMYFUNCTION("""COMPUTED_VALUE"""),"SpringerMedizin")</f>
        <v>SpringerMedizin</v>
      </c>
      <c r="J1572" s="1">
        <f ca="1">IFERROR(__xludf.DUMMYFUNCTION("""COMPUTED_VALUE"""),2000)</f>
        <v>2000</v>
      </c>
      <c r="K1572" s="1" t="str">
        <f ca="1">IFERROR(__xludf.DUMMYFUNCTION("""COMPUTED_VALUE"""),"Medicine")</f>
        <v>Medicine</v>
      </c>
      <c r="L1572" s="1" t="str">
        <f ca="1">IFERROR(__xludf.DUMMYFUNCTION("""COMPUTED_VALUE"""),"〇")</f>
        <v>〇</v>
      </c>
      <c r="M1572" s="1"/>
      <c r="N1572" s="1"/>
      <c r="O1572" s="1"/>
      <c r="P1572" s="1"/>
    </row>
    <row r="1573" spans="1:16" ht="14.25" customHeight="1" x14ac:dyDescent="0.25">
      <c r="A1573" s="1"/>
      <c r="B1573" s="1">
        <f ca="1"/>
        <v>1561</v>
      </c>
      <c r="C1573" s="1">
        <f ca="1">IFERROR(__xludf.DUMMYFUNCTION("""COMPUTED_VALUE"""),2023)</f>
        <v>2023</v>
      </c>
      <c r="D1573" s="1">
        <f ca="1">IFERROR(__xludf.DUMMYFUNCTION("""COMPUTED_VALUE"""),350)</f>
        <v>350</v>
      </c>
      <c r="E1573" s="1" t="str">
        <f ca="1">IFERROR(__xludf.DUMMYFUNCTION("""COMPUTED_VALUE"""),"Medizinrecht")</f>
        <v>Medizinrecht</v>
      </c>
      <c r="F1573" s="1" t="str">
        <f ca="1">IFERROR(__xludf.DUMMYFUNCTION("""COMPUTED_VALUE"""),"1433-8629")</f>
        <v>1433-8629</v>
      </c>
      <c r="G1573" s="1" t="str">
        <f ca="1">IFERROR(__xludf.DUMMYFUNCTION("""COMPUTED_VALUE"""),"0723-8886")</f>
        <v>0723-8886</v>
      </c>
      <c r="H1573" s="27" t="str">
        <f ca="1">IFERROR(__xludf.DUMMYFUNCTION("""COMPUTED_VALUE"""),"https://link.springer.com/journal/350")</f>
        <v>https://link.springer.com/journal/350</v>
      </c>
      <c r="I1573" s="1" t="str">
        <f ca="1">IFERROR(__xludf.DUMMYFUNCTION("""COMPUTED_VALUE"""),"Springer")</f>
        <v>Springer</v>
      </c>
      <c r="J1573" s="1">
        <f ca="1">IFERROR(__xludf.DUMMYFUNCTION("""COMPUTED_VALUE"""),2000)</f>
        <v>2000</v>
      </c>
      <c r="K1573" s="1" t="str">
        <f ca="1">IFERROR(__xludf.DUMMYFUNCTION("""COMPUTED_VALUE"""),"Law and Criminology")</f>
        <v>Law and Criminology</v>
      </c>
      <c r="L1573" s="1" t="str">
        <f ca="1">IFERROR(__xludf.DUMMYFUNCTION("""COMPUTED_VALUE"""),"〇")</f>
        <v>〇</v>
      </c>
      <c r="M1573" s="1" t="str">
        <f ca="1">IFERROR(__xludf.DUMMYFUNCTION("""COMPUTED_VALUE"""),"〇")</f>
        <v>〇</v>
      </c>
      <c r="N1573" s="1"/>
      <c r="O1573" s="1"/>
      <c r="P1573" s="1"/>
    </row>
    <row r="1574" spans="1:16" ht="14.25" customHeight="1" x14ac:dyDescent="0.25">
      <c r="A1574" s="1"/>
      <c r="B1574" s="1">
        <f ca="1"/>
        <v>1562</v>
      </c>
      <c r="C1574" s="1">
        <f ca="1">IFERROR(__xludf.DUMMYFUNCTION("""COMPUTED_VALUE"""),2023)</f>
        <v>2023</v>
      </c>
      <c r="D1574" s="1">
        <f ca="1">IFERROR(__xludf.DUMMYFUNCTION("""COMPUTED_VALUE"""),42755)</f>
        <v>42755</v>
      </c>
      <c r="E1574" s="1" t="str">
        <f ca="1">IFERROR(__xludf.DUMMYFUNCTION("""COMPUTED_VALUE"""),"Membranes and Membrane Technologies")</f>
        <v>Membranes and Membrane Technologies</v>
      </c>
      <c r="F1574" s="1" t="str">
        <f ca="1">IFERROR(__xludf.DUMMYFUNCTION("""COMPUTED_VALUE"""),"2517-7524")</f>
        <v>2517-7524</v>
      </c>
      <c r="G1574" s="1" t="str">
        <f ca="1">IFERROR(__xludf.DUMMYFUNCTION("""COMPUTED_VALUE"""),"2517-7516")</f>
        <v>2517-7516</v>
      </c>
      <c r="H1574" s="27" t="str">
        <f ca="1">IFERROR(__xludf.DUMMYFUNCTION("""COMPUTED_VALUE"""),"https://link.springer.com/journal/42755")</f>
        <v>https://link.springer.com/journal/42755</v>
      </c>
      <c r="I1574" s="1" t="str">
        <f ca="1">IFERROR(__xludf.DUMMYFUNCTION("""COMPUTED_VALUE"""),"Pleiades Publishing")</f>
        <v>Pleiades Publishing</v>
      </c>
      <c r="J1574" s="1">
        <f ca="1">IFERROR(__xludf.DUMMYFUNCTION("""COMPUTED_VALUE"""),2019)</f>
        <v>2019</v>
      </c>
      <c r="K1574" s="1" t="str">
        <f ca="1">IFERROR(__xludf.DUMMYFUNCTION("""COMPUTED_VALUE"""),"Chemistry and Materials Science")</f>
        <v>Chemistry and Materials Science</v>
      </c>
      <c r="L1574" s="1" t="str">
        <f ca="1">IFERROR(__xludf.DUMMYFUNCTION("""COMPUTED_VALUE"""),"〇")</f>
        <v>〇</v>
      </c>
      <c r="M1574" s="1"/>
      <c r="N1574" s="1" t="str">
        <f ca="1">IFERROR(__xludf.DUMMYFUNCTION("""COMPUTED_VALUE"""),"SNS19")</f>
        <v>SNS19</v>
      </c>
      <c r="O1574" s="1"/>
      <c r="P1574" s="1"/>
    </row>
    <row r="1575" spans="1:16" ht="14.25" customHeight="1" x14ac:dyDescent="0.25">
      <c r="A1575" s="1"/>
      <c r="B1575" s="1">
        <f ca="1"/>
        <v>1563</v>
      </c>
      <c r="C1575" s="1">
        <f ca="1">IFERROR(__xludf.DUMMYFUNCTION("""COMPUTED_VALUE"""),2023)</f>
        <v>2023</v>
      </c>
      <c r="D1575" s="1">
        <f ca="1">IFERROR(__xludf.DUMMYFUNCTION("""COMPUTED_VALUE"""),12293)</f>
        <v>12293</v>
      </c>
      <c r="E1575" s="1" t="str">
        <f ca="1">IFERROR(__xludf.DUMMYFUNCTION("""COMPUTED_VALUE"""),"Memetic Computing")</f>
        <v>Memetic Computing</v>
      </c>
      <c r="F1575" s="1" t="str">
        <f ca="1">IFERROR(__xludf.DUMMYFUNCTION("""COMPUTED_VALUE"""),"1865-9292")</f>
        <v>1865-9292</v>
      </c>
      <c r="G1575" s="1"/>
      <c r="H1575" s="27" t="str">
        <f ca="1">IFERROR(__xludf.DUMMYFUNCTION("""COMPUTED_VALUE"""),"https://link.springer.com/journal/12293")</f>
        <v>https://link.springer.com/journal/12293</v>
      </c>
      <c r="I1575" s="1" t="str">
        <f ca="1">IFERROR(__xludf.DUMMYFUNCTION("""COMPUTED_VALUE"""),"Springer")</f>
        <v>Springer</v>
      </c>
      <c r="J1575" s="1">
        <f ca="1">IFERROR(__xludf.DUMMYFUNCTION("""COMPUTED_VALUE"""),2009)</f>
        <v>2009</v>
      </c>
      <c r="K1575" s="1" t="str">
        <f ca="1">IFERROR(__xludf.DUMMYFUNCTION("""COMPUTED_VALUE"""),"Engineering")</f>
        <v>Engineering</v>
      </c>
      <c r="L1575" s="1"/>
      <c r="M1575" s="1" t="str">
        <f ca="1">IFERROR(__xludf.DUMMYFUNCTION("""COMPUTED_VALUE"""),"〇")</f>
        <v>〇</v>
      </c>
      <c r="N1575" s="1" t="str">
        <f ca="1">IFERROR(__xludf.DUMMYFUNCTION("""COMPUTED_VALUE"""),"SNS9")</f>
        <v>SNS9</v>
      </c>
      <c r="O1575" s="1"/>
      <c r="P1575" s="1"/>
    </row>
    <row r="1576" spans="1:16" ht="14.25" customHeight="1" x14ac:dyDescent="0.25">
      <c r="A1576" s="1"/>
      <c r="B1576" s="1">
        <f ca="1"/>
        <v>1564</v>
      </c>
      <c r="C1576" s="1">
        <f ca="1">IFERROR(__xludf.DUMMYFUNCTION("""COMPUTED_VALUE"""),2023)</f>
        <v>2023</v>
      </c>
      <c r="D1576" s="1">
        <f ca="1">IFERROR(__xludf.DUMMYFUNCTION("""COMPUTED_VALUE"""),12254)</f>
        <v>12254</v>
      </c>
      <c r="E1576" s="1" t="str">
        <f ca="1">IFERROR(__xludf.DUMMYFUNCTION("""COMPUTED_VALUE"""),"memo - Magazine of European Medical Oncology")</f>
        <v>memo - Magazine of European Medical Oncology</v>
      </c>
      <c r="F1576" s="1" t="str">
        <f ca="1">IFERROR(__xludf.DUMMYFUNCTION("""COMPUTED_VALUE"""),"1865-5076")</f>
        <v>1865-5076</v>
      </c>
      <c r="G1576" s="1" t="str">
        <f ca="1">IFERROR(__xludf.DUMMYFUNCTION("""COMPUTED_VALUE"""),"1865-5041")</f>
        <v>1865-5041</v>
      </c>
      <c r="H1576" s="27" t="str">
        <f ca="1">IFERROR(__xludf.DUMMYFUNCTION("""COMPUTED_VALUE"""),"https://link.springer.com/journal/12254")</f>
        <v>https://link.springer.com/journal/12254</v>
      </c>
      <c r="I1576" s="1" t="str">
        <f ca="1">IFERROR(__xludf.DUMMYFUNCTION("""COMPUTED_VALUE"""),"SpringerMedizin")</f>
        <v>SpringerMedizin</v>
      </c>
      <c r="J1576" s="1">
        <f ca="1">IFERROR(__xludf.DUMMYFUNCTION("""COMPUTED_VALUE"""),2008)</f>
        <v>2008</v>
      </c>
      <c r="K1576" s="1" t="str">
        <f ca="1">IFERROR(__xludf.DUMMYFUNCTION("""COMPUTED_VALUE"""),"Medicine")</f>
        <v>Medicine</v>
      </c>
      <c r="L1576" s="1" t="str">
        <f ca="1">IFERROR(__xludf.DUMMYFUNCTION("""COMPUTED_VALUE"""),"〇")</f>
        <v>〇</v>
      </c>
      <c r="M1576" s="1" t="str">
        <f ca="1">IFERROR(__xludf.DUMMYFUNCTION("""COMPUTED_VALUE"""),"〇")</f>
        <v>〇</v>
      </c>
      <c r="N1576" s="1" t="str">
        <f ca="1">IFERROR(__xludf.DUMMYFUNCTION("""COMPUTED_VALUE"""),"SNS8")</f>
        <v>SNS8</v>
      </c>
      <c r="O1576" s="1"/>
      <c r="P1576" s="1"/>
    </row>
    <row r="1577" spans="1:16" ht="14.25" customHeight="1" x14ac:dyDescent="0.25">
      <c r="A1577" s="1"/>
      <c r="B1577" s="1">
        <f ca="1"/>
        <v>1565</v>
      </c>
      <c r="C1577" s="1">
        <f ca="1">IFERROR(__xludf.DUMMYFUNCTION("""COMPUTED_VALUE"""),2023)</f>
        <v>2023</v>
      </c>
      <c r="D1577" s="1">
        <f ca="1">IFERROR(__xludf.DUMMYFUNCTION("""COMPUTED_VALUE"""),13421)</f>
        <v>13421</v>
      </c>
      <c r="E1577" s="1" t="str">
        <f ca="1">IFERROR(__xludf.DUMMYFUNCTION("""COMPUTED_VALUE"""),"Memory &amp; Cognition")</f>
        <v>Memory &amp; Cognition</v>
      </c>
      <c r="F1577" s="1" t="str">
        <f ca="1">IFERROR(__xludf.DUMMYFUNCTION("""COMPUTED_VALUE"""),"1532-5946")</f>
        <v>1532-5946</v>
      </c>
      <c r="G1577" s="1" t="str">
        <f ca="1">IFERROR(__xludf.DUMMYFUNCTION("""COMPUTED_VALUE"""),"0090-502X")</f>
        <v>0090-502X</v>
      </c>
      <c r="H1577" s="27" t="str">
        <f ca="1">IFERROR(__xludf.DUMMYFUNCTION("""COMPUTED_VALUE"""),"https://link.springer.com/journal/13421")</f>
        <v>https://link.springer.com/journal/13421</v>
      </c>
      <c r="I1577" s="1" t="str">
        <f ca="1">IFERROR(__xludf.DUMMYFUNCTION("""COMPUTED_VALUE"""),"Springer")</f>
        <v>Springer</v>
      </c>
      <c r="J1577" s="1">
        <f ca="1">IFERROR(__xludf.DUMMYFUNCTION("""COMPUTED_VALUE"""),2000)</f>
        <v>2000</v>
      </c>
      <c r="K1577" s="1" t="str">
        <f ca="1">IFERROR(__xludf.DUMMYFUNCTION("""COMPUTED_VALUE"""),"Behavioral Science and Psychology")</f>
        <v>Behavioral Science and Psychology</v>
      </c>
      <c r="L1577" s="1" t="str">
        <f ca="1">IFERROR(__xludf.DUMMYFUNCTION("""COMPUTED_VALUE"""),"〇")</f>
        <v>〇</v>
      </c>
      <c r="M1577" s="1"/>
      <c r="N1577" s="1" t="str">
        <f ca="1">IFERROR(__xludf.DUMMYFUNCTION("""COMPUTED_VALUE"""),"TO11")</f>
        <v>TO11</v>
      </c>
      <c r="O1577" s="1"/>
      <c r="P1577" s="1"/>
    </row>
    <row r="1578" spans="1:16" ht="14.25" customHeight="1" x14ac:dyDescent="0.25">
      <c r="A1578" s="1"/>
      <c r="B1578" s="1">
        <f ca="1"/>
        <v>1566</v>
      </c>
      <c r="C1578" s="1">
        <f ca="1">IFERROR(__xludf.DUMMYFUNCTION("""COMPUTED_VALUE"""),2023)</f>
        <v>2023</v>
      </c>
      <c r="D1578" s="1">
        <f ca="1">IFERROR(__xludf.DUMMYFUNCTION("""COMPUTED_VALUE"""),11011)</f>
        <v>11011</v>
      </c>
      <c r="E1578" s="1" t="str">
        <f ca="1">IFERROR(__xludf.DUMMYFUNCTION("""COMPUTED_VALUE"""),"Metabolic Brain Disease")</f>
        <v>Metabolic Brain Disease</v>
      </c>
      <c r="F1578" s="1" t="str">
        <f ca="1">IFERROR(__xludf.DUMMYFUNCTION("""COMPUTED_VALUE"""),"1573-7365")</f>
        <v>1573-7365</v>
      </c>
      <c r="G1578" s="1" t="str">
        <f ca="1">IFERROR(__xludf.DUMMYFUNCTION("""COMPUTED_VALUE"""),"0885-7490")</f>
        <v>0885-7490</v>
      </c>
      <c r="H1578" s="27" t="str">
        <f ca="1">IFERROR(__xludf.DUMMYFUNCTION("""COMPUTED_VALUE"""),"https://link.springer.com/journal/11011")</f>
        <v>https://link.springer.com/journal/11011</v>
      </c>
      <c r="I1578" s="1" t="str">
        <f ca="1">IFERROR(__xludf.DUMMYFUNCTION("""COMPUTED_VALUE"""),"Springer")</f>
        <v>Springer</v>
      </c>
      <c r="J1578" s="1">
        <f ca="1">IFERROR(__xludf.DUMMYFUNCTION("""COMPUTED_VALUE"""),2000)</f>
        <v>2000</v>
      </c>
      <c r="K1578" s="1" t="str">
        <f ca="1">IFERROR(__xludf.DUMMYFUNCTION("""COMPUTED_VALUE"""),"Biomedical and Life Sciences")</f>
        <v>Biomedical and Life Sciences</v>
      </c>
      <c r="L1578" s="1" t="str">
        <f ca="1">IFERROR(__xludf.DUMMYFUNCTION("""COMPUTED_VALUE"""),"〇")</f>
        <v>〇</v>
      </c>
      <c r="M1578" s="1" t="str">
        <f ca="1">IFERROR(__xludf.DUMMYFUNCTION("""COMPUTED_VALUE"""),"〇")</f>
        <v>〇</v>
      </c>
      <c r="N1578" s="1"/>
      <c r="O1578" s="1"/>
      <c r="P1578" s="1"/>
    </row>
    <row r="1579" spans="1:16" ht="14.25" customHeight="1" x14ac:dyDescent="0.25">
      <c r="A1579" s="1"/>
      <c r="B1579" s="1">
        <f ca="1"/>
        <v>1567</v>
      </c>
      <c r="C1579" s="1">
        <f ca="1">IFERROR(__xludf.DUMMYFUNCTION("""COMPUTED_VALUE"""),2023)</f>
        <v>2023</v>
      </c>
      <c r="D1579" s="1">
        <f ca="1">IFERROR(__xludf.DUMMYFUNCTION("""COMPUTED_VALUE"""),11306)</f>
        <v>11306</v>
      </c>
      <c r="E1579" s="1" t="str">
        <f ca="1">IFERROR(__xludf.DUMMYFUNCTION("""COMPUTED_VALUE"""),"Metabolomics")</f>
        <v>Metabolomics</v>
      </c>
      <c r="F1579" s="1" t="str">
        <f ca="1">IFERROR(__xludf.DUMMYFUNCTION("""COMPUTED_VALUE"""),"1573-3890")</f>
        <v>1573-3890</v>
      </c>
      <c r="G1579" s="1"/>
      <c r="H1579" s="27" t="str">
        <f ca="1">IFERROR(__xludf.DUMMYFUNCTION("""COMPUTED_VALUE"""),"https://link.springer.com/journal/11306")</f>
        <v>https://link.springer.com/journal/11306</v>
      </c>
      <c r="I1579" s="1" t="str">
        <f ca="1">IFERROR(__xludf.DUMMYFUNCTION("""COMPUTED_VALUE"""),"Springer")</f>
        <v>Springer</v>
      </c>
      <c r="J1579" s="1">
        <f ca="1">IFERROR(__xludf.DUMMYFUNCTION("""COMPUTED_VALUE"""),2005)</f>
        <v>2005</v>
      </c>
      <c r="K1579" s="1" t="str">
        <f ca="1">IFERROR(__xludf.DUMMYFUNCTION("""COMPUTED_VALUE"""),"Biomedical and Life Sciences")</f>
        <v>Biomedical and Life Sciences</v>
      </c>
      <c r="L1579" s="1"/>
      <c r="M1579" s="1" t="str">
        <f ca="1">IFERROR(__xludf.DUMMYFUNCTION("""COMPUTED_VALUE"""),"〇")</f>
        <v>〇</v>
      </c>
      <c r="N1579" s="1"/>
      <c r="O1579" s="1"/>
      <c r="P1579" s="1"/>
    </row>
    <row r="1580" spans="1:16" ht="14.25" customHeight="1" x14ac:dyDescent="0.25">
      <c r="A1580" s="1"/>
      <c r="B1580" s="1">
        <f ca="1"/>
        <v>1568</v>
      </c>
      <c r="C1580" s="1">
        <f ca="1">IFERROR(__xludf.DUMMYFUNCTION("""COMPUTED_VALUE"""),2023)</f>
        <v>2023</v>
      </c>
      <c r="D1580" s="1">
        <f ca="1">IFERROR(__xludf.DUMMYFUNCTION("""COMPUTED_VALUE"""),11409)</f>
        <v>11409</v>
      </c>
      <c r="E1580" s="1" t="str">
        <f ca="1">IFERROR(__xludf.DUMMYFUNCTION("""COMPUTED_VALUE"""),"Metacognition and Learning")</f>
        <v>Metacognition and Learning</v>
      </c>
      <c r="F1580" s="1" t="str">
        <f ca="1">IFERROR(__xludf.DUMMYFUNCTION("""COMPUTED_VALUE"""),"1556-1631")</f>
        <v>1556-1631</v>
      </c>
      <c r="G1580" s="1" t="str">
        <f ca="1">IFERROR(__xludf.DUMMYFUNCTION("""COMPUTED_VALUE"""),"1556-1623")</f>
        <v>1556-1623</v>
      </c>
      <c r="H1580" s="27" t="str">
        <f ca="1">IFERROR(__xludf.DUMMYFUNCTION("""COMPUTED_VALUE"""),"https://link.springer.com/journal/11409")</f>
        <v>https://link.springer.com/journal/11409</v>
      </c>
      <c r="I1580" s="1" t="str">
        <f ca="1">IFERROR(__xludf.DUMMYFUNCTION("""COMPUTED_VALUE"""),"Springer")</f>
        <v>Springer</v>
      </c>
      <c r="J1580" s="1">
        <f ca="1">IFERROR(__xludf.DUMMYFUNCTION("""COMPUTED_VALUE"""),2006)</f>
        <v>2006</v>
      </c>
      <c r="K1580" s="1" t="str">
        <f ca="1">IFERROR(__xludf.DUMMYFUNCTION("""COMPUTED_VALUE"""),"Education")</f>
        <v>Education</v>
      </c>
      <c r="L1580" s="1" t="str">
        <f ca="1">IFERROR(__xludf.DUMMYFUNCTION("""COMPUTED_VALUE"""),"〇")</f>
        <v>〇</v>
      </c>
      <c r="M1580" s="1" t="str">
        <f ca="1">IFERROR(__xludf.DUMMYFUNCTION("""COMPUTED_VALUE"""),"〇")</f>
        <v>〇</v>
      </c>
      <c r="N1580" s="1"/>
      <c r="O1580" s="1"/>
      <c r="P1580" s="1"/>
    </row>
    <row r="1581" spans="1:16" ht="14.25" customHeight="1" x14ac:dyDescent="0.25">
      <c r="A1581" s="1"/>
      <c r="B1581" s="1">
        <f ca="1"/>
        <v>1569</v>
      </c>
      <c r="C1581" s="1">
        <f ca="1">IFERROR(__xludf.DUMMYFUNCTION("""COMPUTED_VALUE"""),2023)</f>
        <v>2023</v>
      </c>
      <c r="D1581" s="1">
        <f ca="1">IFERROR(__xludf.DUMMYFUNCTION("""COMPUTED_VALUE"""),11041)</f>
        <v>11041</v>
      </c>
      <c r="E1581" s="1" t="str">
        <f ca="1">IFERROR(__xludf.DUMMYFUNCTION("""COMPUTED_VALUE"""),"Metal Science and Heat Treatment")</f>
        <v>Metal Science and Heat Treatment</v>
      </c>
      <c r="F1581" s="1" t="str">
        <f ca="1">IFERROR(__xludf.DUMMYFUNCTION("""COMPUTED_VALUE"""),"1573-8973")</f>
        <v>1573-8973</v>
      </c>
      <c r="G1581" s="1" t="str">
        <f ca="1">IFERROR(__xludf.DUMMYFUNCTION("""COMPUTED_VALUE"""),"0026-0673")</f>
        <v>0026-0673</v>
      </c>
      <c r="H1581" s="27" t="str">
        <f ca="1">IFERROR(__xludf.DUMMYFUNCTION("""COMPUTED_VALUE"""),"https://link.springer.com/journal/11041")</f>
        <v>https://link.springer.com/journal/11041</v>
      </c>
      <c r="I1581" s="1" t="str">
        <f ca="1">IFERROR(__xludf.DUMMYFUNCTION("""COMPUTED_VALUE"""),"Springer")</f>
        <v>Springer</v>
      </c>
      <c r="J1581" s="1">
        <f ca="1">IFERROR(__xludf.DUMMYFUNCTION("""COMPUTED_VALUE"""),2000)</f>
        <v>2000</v>
      </c>
      <c r="K1581" s="1" t="str">
        <f ca="1">IFERROR(__xludf.DUMMYFUNCTION("""COMPUTED_VALUE"""),"Chemistry and Materials Science")</f>
        <v>Chemistry and Materials Science</v>
      </c>
      <c r="L1581" s="1" t="str">
        <f ca="1">IFERROR(__xludf.DUMMYFUNCTION("""COMPUTED_VALUE"""),"〇")</f>
        <v>〇</v>
      </c>
      <c r="M1581" s="1" t="str">
        <f ca="1">IFERROR(__xludf.DUMMYFUNCTION("""COMPUTED_VALUE"""),"〇")</f>
        <v>〇</v>
      </c>
      <c r="N1581" s="1"/>
      <c r="O1581" s="1"/>
      <c r="P1581" s="1"/>
    </row>
    <row r="1582" spans="1:16" ht="14.25" customHeight="1" x14ac:dyDescent="0.25">
      <c r="A1582" s="1"/>
      <c r="B1582" s="1">
        <f ca="1"/>
        <v>1570</v>
      </c>
      <c r="C1582" s="1">
        <f ca="1">IFERROR(__xludf.DUMMYFUNCTION("""COMPUTED_VALUE"""),2023)</f>
        <v>2023</v>
      </c>
      <c r="D1582" s="1">
        <f ca="1">IFERROR(__xludf.DUMMYFUNCTION("""COMPUTED_VALUE"""),13632)</f>
        <v>13632</v>
      </c>
      <c r="E1582" s="1" t="str">
        <f ca="1">IFERROR(__xludf.DUMMYFUNCTION("""COMPUTED_VALUE"""),"Metallography, Microstructure, and Analysis")</f>
        <v>Metallography, Microstructure, and Analysis</v>
      </c>
      <c r="F1582" s="1" t="str">
        <f ca="1">IFERROR(__xludf.DUMMYFUNCTION("""COMPUTED_VALUE"""),"2192-9270")</f>
        <v>2192-9270</v>
      </c>
      <c r="G1582" s="1" t="str">
        <f ca="1">IFERROR(__xludf.DUMMYFUNCTION("""COMPUTED_VALUE"""),"2192-9262")</f>
        <v>2192-9262</v>
      </c>
      <c r="H1582" s="27" t="str">
        <f ca="1">IFERROR(__xludf.DUMMYFUNCTION("""COMPUTED_VALUE"""),"https://link.springer.com/journal/13632")</f>
        <v>https://link.springer.com/journal/13632</v>
      </c>
      <c r="I1582" s="1" t="str">
        <f ca="1">IFERROR(__xludf.DUMMYFUNCTION("""COMPUTED_VALUE"""),"Springer")</f>
        <v>Springer</v>
      </c>
      <c r="J1582" s="1">
        <f ca="1">IFERROR(__xludf.DUMMYFUNCTION("""COMPUTED_VALUE"""),2012)</f>
        <v>2012</v>
      </c>
      <c r="K1582" s="1" t="str">
        <f ca="1">IFERROR(__xludf.DUMMYFUNCTION("""COMPUTED_VALUE"""),"Chemistry and Materials Science")</f>
        <v>Chemistry and Materials Science</v>
      </c>
      <c r="L1582" s="1" t="str">
        <f ca="1">IFERROR(__xludf.DUMMYFUNCTION("""COMPUTED_VALUE"""),"〇")</f>
        <v>〇</v>
      </c>
      <c r="M1582" s="1"/>
      <c r="N1582" s="1" t="str">
        <f ca="1">IFERROR(__xludf.DUMMYFUNCTION("""COMPUTED_VALUE"""),"SNS12")</f>
        <v>SNS12</v>
      </c>
      <c r="O1582" s="1"/>
      <c r="P1582" s="1"/>
    </row>
    <row r="1583" spans="1:16" ht="14.25" customHeight="1" x14ac:dyDescent="0.25">
      <c r="A1583" s="1"/>
      <c r="B1583" s="1">
        <f ca="1"/>
        <v>1571</v>
      </c>
      <c r="C1583" s="1">
        <f ca="1">IFERROR(__xludf.DUMMYFUNCTION("""COMPUTED_VALUE"""),2023)</f>
        <v>2023</v>
      </c>
      <c r="D1583" s="1">
        <f ca="1">IFERROR(__xludf.DUMMYFUNCTION("""COMPUTED_VALUE"""),11661)</f>
        <v>11661</v>
      </c>
      <c r="E1583" s="1" t="str">
        <f ca="1">IFERROR(__xludf.DUMMYFUNCTION("""COMPUTED_VALUE"""),"Metallurgical and Materials Transactions A")</f>
        <v>Metallurgical and Materials Transactions A</v>
      </c>
      <c r="F1583" s="1" t="str">
        <f ca="1">IFERROR(__xludf.DUMMYFUNCTION("""COMPUTED_VALUE"""),"1543-1940")</f>
        <v>1543-1940</v>
      </c>
      <c r="G1583" s="1" t="str">
        <f ca="1">IFERROR(__xludf.DUMMYFUNCTION("""COMPUTED_VALUE"""),"1073-5623")</f>
        <v>1073-5623</v>
      </c>
      <c r="H1583" s="27" t="str">
        <f ca="1">IFERROR(__xludf.DUMMYFUNCTION("""COMPUTED_VALUE"""),"https://link.springer.com/journal/11661")</f>
        <v>https://link.springer.com/journal/11661</v>
      </c>
      <c r="I1583" s="1" t="str">
        <f ca="1">IFERROR(__xludf.DUMMYFUNCTION("""COMPUTED_VALUE"""),"Springer")</f>
        <v>Springer</v>
      </c>
      <c r="J1583" s="1">
        <f ca="1">IFERROR(__xludf.DUMMYFUNCTION("""COMPUTED_VALUE"""),2000)</f>
        <v>2000</v>
      </c>
      <c r="K1583" s="1" t="str">
        <f ca="1">IFERROR(__xludf.DUMMYFUNCTION("""COMPUTED_VALUE"""),"Chemistry and Materials Science")</f>
        <v>Chemistry and Materials Science</v>
      </c>
      <c r="L1583" s="1" t="str">
        <f ca="1">IFERROR(__xludf.DUMMYFUNCTION("""COMPUTED_VALUE"""),"〇")</f>
        <v>〇</v>
      </c>
      <c r="M1583" s="1" t="str">
        <f ca="1">IFERROR(__xludf.DUMMYFUNCTION("""COMPUTED_VALUE"""),"〇")</f>
        <v>〇</v>
      </c>
      <c r="N1583" s="1" t="str">
        <f ca="1">IFERROR(__xludf.DUMMYFUNCTION("""COMPUTED_VALUE"""),"TO7")</f>
        <v>TO7</v>
      </c>
      <c r="O1583" s="1"/>
      <c r="P1583" s="1"/>
    </row>
    <row r="1584" spans="1:16" ht="14.25" customHeight="1" x14ac:dyDescent="0.25">
      <c r="A1584" s="1"/>
      <c r="B1584" s="1">
        <f ca="1"/>
        <v>1572</v>
      </c>
      <c r="C1584" s="1">
        <f ca="1">IFERROR(__xludf.DUMMYFUNCTION("""COMPUTED_VALUE"""),2023)</f>
        <v>2023</v>
      </c>
      <c r="D1584" s="1">
        <f ca="1">IFERROR(__xludf.DUMMYFUNCTION("""COMPUTED_VALUE"""),11663)</f>
        <v>11663</v>
      </c>
      <c r="E1584" s="1" t="str">
        <f ca="1">IFERROR(__xludf.DUMMYFUNCTION("""COMPUTED_VALUE"""),"Metallurgical and Materials Transactions B")</f>
        <v>Metallurgical and Materials Transactions B</v>
      </c>
      <c r="F1584" s="1" t="str">
        <f ca="1">IFERROR(__xludf.DUMMYFUNCTION("""COMPUTED_VALUE"""),"1543-1916")</f>
        <v>1543-1916</v>
      </c>
      <c r="G1584" s="1" t="str">
        <f ca="1">IFERROR(__xludf.DUMMYFUNCTION("""COMPUTED_VALUE"""),"1073-5615")</f>
        <v>1073-5615</v>
      </c>
      <c r="H1584" s="27" t="str">
        <f ca="1">IFERROR(__xludf.DUMMYFUNCTION("""COMPUTED_VALUE"""),"https://link.springer.com/journal/11663")</f>
        <v>https://link.springer.com/journal/11663</v>
      </c>
      <c r="I1584" s="1" t="str">
        <f ca="1">IFERROR(__xludf.DUMMYFUNCTION("""COMPUTED_VALUE"""),"Springer")</f>
        <v>Springer</v>
      </c>
      <c r="J1584" s="1">
        <f ca="1">IFERROR(__xludf.DUMMYFUNCTION("""COMPUTED_VALUE"""),2000)</f>
        <v>2000</v>
      </c>
      <c r="K1584" s="1" t="str">
        <f ca="1">IFERROR(__xludf.DUMMYFUNCTION("""COMPUTED_VALUE"""),"Chemistry and Materials Science")</f>
        <v>Chemistry and Materials Science</v>
      </c>
      <c r="L1584" s="1" t="str">
        <f ca="1">IFERROR(__xludf.DUMMYFUNCTION("""COMPUTED_VALUE"""),"〇")</f>
        <v>〇</v>
      </c>
      <c r="M1584" s="1" t="str">
        <f ca="1">IFERROR(__xludf.DUMMYFUNCTION("""COMPUTED_VALUE"""),"〇")</f>
        <v>〇</v>
      </c>
      <c r="N1584" s="1" t="str">
        <f ca="1">IFERROR(__xludf.DUMMYFUNCTION("""COMPUTED_VALUE"""),"TO7")</f>
        <v>TO7</v>
      </c>
      <c r="O1584" s="1"/>
      <c r="P1584" s="1"/>
    </row>
    <row r="1585" spans="1:16" ht="14.25" customHeight="1" x14ac:dyDescent="0.25">
      <c r="A1585" s="1"/>
      <c r="B1585" s="1">
        <f ca="1"/>
        <v>1573</v>
      </c>
      <c r="C1585" s="1">
        <f ca="1">IFERROR(__xludf.DUMMYFUNCTION("""COMPUTED_VALUE"""),2023)</f>
        <v>2023</v>
      </c>
      <c r="D1585" s="1">
        <f ca="1">IFERROR(__xludf.DUMMYFUNCTION("""COMPUTED_VALUE"""),11015)</f>
        <v>11015</v>
      </c>
      <c r="E1585" s="1" t="str">
        <f ca="1">IFERROR(__xludf.DUMMYFUNCTION("""COMPUTED_VALUE"""),"Metallurgist")</f>
        <v>Metallurgist</v>
      </c>
      <c r="F1585" s="1" t="str">
        <f ca="1">IFERROR(__xludf.DUMMYFUNCTION("""COMPUTED_VALUE"""),"1573-8892")</f>
        <v>1573-8892</v>
      </c>
      <c r="G1585" s="1" t="str">
        <f ca="1">IFERROR(__xludf.DUMMYFUNCTION("""COMPUTED_VALUE"""),"0026-0894")</f>
        <v>0026-0894</v>
      </c>
      <c r="H1585" s="27" t="str">
        <f ca="1">IFERROR(__xludf.DUMMYFUNCTION("""COMPUTED_VALUE"""),"https://link.springer.com/journal/11015")</f>
        <v>https://link.springer.com/journal/11015</v>
      </c>
      <c r="I1585" s="1" t="str">
        <f ca="1">IFERROR(__xludf.DUMMYFUNCTION("""COMPUTED_VALUE"""),"Springer")</f>
        <v>Springer</v>
      </c>
      <c r="J1585" s="1">
        <f ca="1">IFERROR(__xludf.DUMMYFUNCTION("""COMPUTED_VALUE"""),2000)</f>
        <v>2000</v>
      </c>
      <c r="K1585" s="1" t="str">
        <f ca="1">IFERROR(__xludf.DUMMYFUNCTION("""COMPUTED_VALUE"""),"Chemistry and Materials Science")</f>
        <v>Chemistry and Materials Science</v>
      </c>
      <c r="L1585" s="1" t="str">
        <f ca="1">IFERROR(__xludf.DUMMYFUNCTION("""COMPUTED_VALUE"""),"〇")</f>
        <v>〇</v>
      </c>
      <c r="M1585" s="1" t="str">
        <f ca="1">IFERROR(__xludf.DUMMYFUNCTION("""COMPUTED_VALUE"""),"〇")</f>
        <v>〇</v>
      </c>
      <c r="N1585" s="1"/>
      <c r="O1585" s="1"/>
      <c r="P1585" s="1"/>
    </row>
    <row r="1586" spans="1:16" ht="14.25" customHeight="1" x14ac:dyDescent="0.25">
      <c r="A1586" s="1"/>
      <c r="B1586" s="1">
        <f ca="1"/>
        <v>1574</v>
      </c>
      <c r="C1586" s="1">
        <f ca="1">IFERROR(__xludf.DUMMYFUNCTION("""COMPUTED_VALUE"""),2023)</f>
        <v>2023</v>
      </c>
      <c r="D1586" s="1">
        <f ca="1">IFERROR(__xludf.DUMMYFUNCTION("""COMPUTED_VALUE"""),12540)</f>
        <v>12540</v>
      </c>
      <c r="E1586" s="1" t="str">
        <f ca="1">IFERROR(__xludf.DUMMYFUNCTION("""COMPUTED_VALUE"""),"Metals and Materials International")</f>
        <v>Metals and Materials International</v>
      </c>
      <c r="F1586" s="1" t="str">
        <f ca="1">IFERROR(__xludf.DUMMYFUNCTION("""COMPUTED_VALUE"""),"2005-4149")</f>
        <v>2005-4149</v>
      </c>
      <c r="G1586" s="1" t="str">
        <f ca="1">IFERROR(__xludf.DUMMYFUNCTION("""COMPUTED_VALUE"""),"1598-9623")</f>
        <v>1598-9623</v>
      </c>
      <c r="H1586" s="27" t="str">
        <f ca="1">IFERROR(__xludf.DUMMYFUNCTION("""COMPUTED_VALUE"""),"https://link.springer.com/journal/12540")</f>
        <v>https://link.springer.com/journal/12540</v>
      </c>
      <c r="I1586" s="1" t="str">
        <f ca="1">IFERROR(__xludf.DUMMYFUNCTION("""COMPUTED_VALUE"""),"The Korean Institute of Metals and Materials, co-published with Springer")</f>
        <v>The Korean Institute of Metals and Materials, co-published with Springer</v>
      </c>
      <c r="J1586" s="1">
        <f ca="1">IFERROR(__xludf.DUMMYFUNCTION("""COMPUTED_VALUE"""),2000)</f>
        <v>2000</v>
      </c>
      <c r="K1586" s="1" t="str">
        <f ca="1">IFERROR(__xludf.DUMMYFUNCTION("""COMPUTED_VALUE"""),"Chemistry and Materials Science")</f>
        <v>Chemistry and Materials Science</v>
      </c>
      <c r="L1586" s="1" t="str">
        <f ca="1">IFERROR(__xludf.DUMMYFUNCTION("""COMPUTED_VALUE"""),"〇")</f>
        <v>〇</v>
      </c>
      <c r="M1586" s="1"/>
      <c r="N1586" s="1" t="str">
        <f ca="1">IFERROR(__xludf.DUMMYFUNCTION("""COMPUTED_VALUE"""),"TO9")</f>
        <v>TO9</v>
      </c>
      <c r="O1586" s="1"/>
      <c r="P1586" s="1"/>
    </row>
    <row r="1587" spans="1:16" ht="14.25" customHeight="1" x14ac:dyDescent="0.25">
      <c r="A1587" s="1"/>
      <c r="B1587" s="1">
        <f ca="1"/>
        <v>1575</v>
      </c>
      <c r="C1587" s="1">
        <f ca="1">IFERROR(__xludf.DUMMYFUNCTION("""COMPUTED_VALUE"""),2023)</f>
        <v>2023</v>
      </c>
      <c r="D1587" s="1">
        <f ca="1">IFERROR(__xludf.DUMMYFUNCTION("""COMPUTED_VALUE"""),11016)</f>
        <v>11016</v>
      </c>
      <c r="E1587" s="1" t="str">
        <f ca="1">IFERROR(__xludf.DUMMYFUNCTION("""COMPUTED_VALUE"""),"Metascience")</f>
        <v>Metascience</v>
      </c>
      <c r="F1587" s="1" t="str">
        <f ca="1">IFERROR(__xludf.DUMMYFUNCTION("""COMPUTED_VALUE"""),"1467-9981")</f>
        <v>1467-9981</v>
      </c>
      <c r="G1587" s="1" t="str">
        <f ca="1">IFERROR(__xludf.DUMMYFUNCTION("""COMPUTED_VALUE"""),"0815-0796")</f>
        <v>0815-0796</v>
      </c>
      <c r="H1587" s="27" t="str">
        <f ca="1">IFERROR(__xludf.DUMMYFUNCTION("""COMPUTED_VALUE"""),"https://link.springer.com/journal/11016")</f>
        <v>https://link.springer.com/journal/11016</v>
      </c>
      <c r="I1587" s="1" t="str">
        <f ca="1">IFERROR(__xludf.DUMMYFUNCTION("""COMPUTED_VALUE"""),"Springer")</f>
        <v>Springer</v>
      </c>
      <c r="J1587" s="1">
        <f ca="1">IFERROR(__xludf.DUMMYFUNCTION("""COMPUTED_VALUE"""),2000)</f>
        <v>2000</v>
      </c>
      <c r="K1587" s="1" t="str">
        <f ca="1">IFERROR(__xludf.DUMMYFUNCTION("""COMPUTED_VALUE"""),"Education")</f>
        <v>Education</v>
      </c>
      <c r="L1587" s="1" t="str">
        <f ca="1">IFERROR(__xludf.DUMMYFUNCTION("""COMPUTED_VALUE"""),"〇")</f>
        <v>〇</v>
      </c>
      <c r="M1587" s="1" t="str">
        <f ca="1">IFERROR(__xludf.DUMMYFUNCTION("""COMPUTED_VALUE"""),"〇")</f>
        <v>〇</v>
      </c>
      <c r="N1587" s="1"/>
      <c r="O1587" s="1"/>
      <c r="P1587" s="1"/>
    </row>
    <row r="1588" spans="1:16" ht="14.25" customHeight="1" x14ac:dyDescent="0.25">
      <c r="A1588" s="1"/>
      <c r="B1588" s="1">
        <f ca="1"/>
        <v>1576</v>
      </c>
      <c r="C1588" s="1">
        <f ca="1">IFERROR(__xludf.DUMMYFUNCTION("""COMPUTED_VALUE"""),2023)</f>
        <v>2023</v>
      </c>
      <c r="D1588" s="1">
        <f ca="1">IFERROR(__xludf.DUMMYFUNCTION("""COMPUTED_VALUE"""),703)</f>
        <v>703</v>
      </c>
      <c r="E1588" s="1" t="str">
        <f ca="1">IFERROR(__xludf.DUMMYFUNCTION("""COMPUTED_VALUE"""),"Meteorology and Atmospheric Physics")</f>
        <v>Meteorology and Atmospheric Physics</v>
      </c>
      <c r="F1588" s="1" t="str">
        <f ca="1">IFERROR(__xludf.DUMMYFUNCTION("""COMPUTED_VALUE"""),"1436-5065")</f>
        <v>1436-5065</v>
      </c>
      <c r="G1588" s="1" t="str">
        <f ca="1">IFERROR(__xludf.DUMMYFUNCTION("""COMPUTED_VALUE"""),"0177-7971")</f>
        <v>0177-7971</v>
      </c>
      <c r="H1588" s="27" t="str">
        <f ca="1">IFERROR(__xludf.DUMMYFUNCTION("""COMPUTED_VALUE"""),"https://link.springer.com/journal/703")</f>
        <v>https://link.springer.com/journal/703</v>
      </c>
      <c r="I1588" s="1" t="str">
        <f ca="1">IFERROR(__xludf.DUMMYFUNCTION("""COMPUTED_VALUE"""),"Springer")</f>
        <v>Springer</v>
      </c>
      <c r="J1588" s="1">
        <f ca="1">IFERROR(__xludf.DUMMYFUNCTION("""COMPUTED_VALUE"""),2000)</f>
        <v>2000</v>
      </c>
      <c r="K1588" s="1" t="str">
        <f ca="1">IFERROR(__xludf.DUMMYFUNCTION("""COMPUTED_VALUE"""),"Earth and Environmental Science")</f>
        <v>Earth and Environmental Science</v>
      </c>
      <c r="L1588" s="1" t="str">
        <f ca="1">IFERROR(__xludf.DUMMYFUNCTION("""COMPUTED_VALUE"""),"〇")</f>
        <v>〇</v>
      </c>
      <c r="M1588" s="1" t="str">
        <f ca="1">IFERROR(__xludf.DUMMYFUNCTION("""COMPUTED_VALUE"""),"〇")</f>
        <v>〇</v>
      </c>
      <c r="N1588" s="1"/>
      <c r="O1588" s="1"/>
      <c r="P1588" s="1"/>
    </row>
    <row r="1589" spans="1:16" ht="14.25" customHeight="1" x14ac:dyDescent="0.25">
      <c r="A1589" s="1"/>
      <c r="B1589" s="1">
        <f ca="1"/>
        <v>1577</v>
      </c>
      <c r="C1589" s="1">
        <f ca="1">IFERROR(__xludf.DUMMYFUNCTION("""COMPUTED_VALUE"""),2023)</f>
        <v>2023</v>
      </c>
      <c r="D1589" s="1">
        <f ca="1">IFERROR(__xludf.DUMMYFUNCTION("""COMPUTED_VALUE"""),11009)</f>
        <v>11009</v>
      </c>
      <c r="E1589" s="1" t="str">
        <f ca="1">IFERROR(__xludf.DUMMYFUNCTION("""COMPUTED_VALUE"""),"Methodology and Computing in Applied Probability")</f>
        <v>Methodology and Computing in Applied Probability</v>
      </c>
      <c r="F1589" s="1" t="str">
        <f ca="1">IFERROR(__xludf.DUMMYFUNCTION("""COMPUTED_VALUE"""),"1573-7713")</f>
        <v>1573-7713</v>
      </c>
      <c r="G1589" s="1" t="str">
        <f ca="1">IFERROR(__xludf.DUMMYFUNCTION("""COMPUTED_VALUE"""),"1387-5841")</f>
        <v>1387-5841</v>
      </c>
      <c r="H1589" s="27" t="str">
        <f ca="1">IFERROR(__xludf.DUMMYFUNCTION("""COMPUTED_VALUE"""),"https://link.springer.com/journal/11009")</f>
        <v>https://link.springer.com/journal/11009</v>
      </c>
      <c r="I1589" s="1" t="str">
        <f ca="1">IFERROR(__xludf.DUMMYFUNCTION("""COMPUTED_VALUE"""),"Springer")</f>
        <v>Springer</v>
      </c>
      <c r="J1589" s="1">
        <f ca="1">IFERROR(__xludf.DUMMYFUNCTION("""COMPUTED_VALUE"""),2000)</f>
        <v>2000</v>
      </c>
      <c r="K1589" s="1" t="str">
        <f ca="1">IFERROR(__xludf.DUMMYFUNCTION("""COMPUTED_VALUE"""),"Mathematics and Statistics")</f>
        <v>Mathematics and Statistics</v>
      </c>
      <c r="L1589" s="1" t="str">
        <f ca="1">IFERROR(__xludf.DUMMYFUNCTION("""COMPUTED_VALUE"""),"〇")</f>
        <v>〇</v>
      </c>
      <c r="M1589" s="1" t="str">
        <f ca="1">IFERROR(__xludf.DUMMYFUNCTION("""COMPUTED_VALUE"""),"〇")</f>
        <v>〇</v>
      </c>
      <c r="N1589" s="1"/>
      <c r="O1589" s="1"/>
      <c r="P1589" s="1"/>
    </row>
    <row r="1590" spans="1:16" ht="14.25" customHeight="1" x14ac:dyDescent="0.25">
      <c r="A1590" s="1"/>
      <c r="B1590" s="1">
        <f ca="1"/>
        <v>1578</v>
      </c>
      <c r="C1590" s="1">
        <f ca="1">IFERROR(__xludf.DUMMYFUNCTION("""COMPUTED_VALUE"""),2023)</f>
        <v>2023</v>
      </c>
      <c r="D1590" s="1">
        <f ca="1">IFERROR(__xludf.DUMMYFUNCTION("""COMPUTED_VALUE"""),184)</f>
        <v>184</v>
      </c>
      <c r="E1590" s="1" t="str">
        <f ca="1">IFERROR(__xludf.DUMMYFUNCTION("""COMPUTED_VALUE"""),"Metrika")</f>
        <v>Metrika</v>
      </c>
      <c r="F1590" s="1" t="str">
        <f ca="1">IFERROR(__xludf.DUMMYFUNCTION("""COMPUTED_VALUE"""),"1435-926X")</f>
        <v>1435-926X</v>
      </c>
      <c r="G1590" s="1" t="str">
        <f ca="1">IFERROR(__xludf.DUMMYFUNCTION("""COMPUTED_VALUE"""),"0026-1335")</f>
        <v>0026-1335</v>
      </c>
      <c r="H1590" s="27" t="str">
        <f ca="1">IFERROR(__xludf.DUMMYFUNCTION("""COMPUTED_VALUE"""),"https://link.springer.com/journal/184")</f>
        <v>https://link.springer.com/journal/184</v>
      </c>
      <c r="I1590" s="1" t="str">
        <f ca="1">IFERROR(__xludf.DUMMYFUNCTION("""COMPUTED_VALUE"""),"Springer")</f>
        <v>Springer</v>
      </c>
      <c r="J1590" s="1">
        <f ca="1">IFERROR(__xludf.DUMMYFUNCTION("""COMPUTED_VALUE"""),2000)</f>
        <v>2000</v>
      </c>
      <c r="K1590" s="1" t="str">
        <f ca="1">IFERROR(__xludf.DUMMYFUNCTION("""COMPUTED_VALUE"""),"Mathematics and Statistics")</f>
        <v>Mathematics and Statistics</v>
      </c>
      <c r="L1590" s="1" t="str">
        <f ca="1">IFERROR(__xludf.DUMMYFUNCTION("""COMPUTED_VALUE"""),"〇")</f>
        <v>〇</v>
      </c>
      <c r="M1590" s="1" t="str">
        <f ca="1">IFERROR(__xludf.DUMMYFUNCTION("""COMPUTED_VALUE"""),"〇")</f>
        <v>〇</v>
      </c>
      <c r="N1590" s="1"/>
      <c r="O1590" s="1"/>
      <c r="P1590" s="1"/>
    </row>
    <row r="1591" spans="1:16" ht="14.25" customHeight="1" x14ac:dyDescent="0.25">
      <c r="A1591" s="1"/>
      <c r="B1591" s="1">
        <f ca="1"/>
        <v>1579</v>
      </c>
      <c r="C1591" s="1">
        <f ca="1">IFERROR(__xludf.DUMMYFUNCTION("""COMPUTED_VALUE"""),2023)</f>
        <v>2023</v>
      </c>
      <c r="D1591" s="1">
        <f ca="1">IFERROR(__xludf.DUMMYFUNCTION("""COMPUTED_VALUE"""),40300)</f>
        <v>40300</v>
      </c>
      <c r="E1591" s="1" t="str">
        <f ca="1">IFERROR(__xludf.DUMMYFUNCTION("""COMPUTED_VALUE"""),"METRON")</f>
        <v>METRON</v>
      </c>
      <c r="F1591" s="1" t="str">
        <f ca="1">IFERROR(__xludf.DUMMYFUNCTION("""COMPUTED_VALUE"""),"2281-695X")</f>
        <v>2281-695X</v>
      </c>
      <c r="G1591" s="1" t="str">
        <f ca="1">IFERROR(__xludf.DUMMYFUNCTION("""COMPUTED_VALUE"""),"0026-1424")</f>
        <v>0026-1424</v>
      </c>
      <c r="H1591" s="27" t="str">
        <f ca="1">IFERROR(__xludf.DUMMYFUNCTION("""COMPUTED_VALUE"""),"https://link.springer.com/journal/40300")</f>
        <v>https://link.springer.com/journal/40300</v>
      </c>
      <c r="I1591" s="1" t="str">
        <f ca="1">IFERROR(__xludf.DUMMYFUNCTION("""COMPUTED_VALUE"""),"Springer")</f>
        <v>Springer</v>
      </c>
      <c r="J1591" s="1">
        <f ca="1">IFERROR(__xludf.DUMMYFUNCTION("""COMPUTED_VALUE"""),2010)</f>
        <v>2010</v>
      </c>
      <c r="K1591" s="1" t="str">
        <f ca="1">IFERROR(__xludf.DUMMYFUNCTION("""COMPUTED_VALUE"""),"Mathematics and Statistics")</f>
        <v>Mathematics and Statistics</v>
      </c>
      <c r="L1591" s="1" t="str">
        <f ca="1">IFERROR(__xludf.DUMMYFUNCTION("""COMPUTED_VALUE"""),"〇")</f>
        <v>〇</v>
      </c>
      <c r="M1591" s="1"/>
      <c r="N1591" s="1" t="str">
        <f ca="1">IFERROR(__xludf.DUMMYFUNCTION("""COMPUTED_VALUE"""),"TO13")</f>
        <v>TO13</v>
      </c>
      <c r="O1591" s="1"/>
      <c r="P1591" s="1"/>
    </row>
    <row r="1592" spans="1:16" ht="14.25" customHeight="1" x14ac:dyDescent="0.25">
      <c r="A1592" s="1"/>
      <c r="B1592" s="1">
        <f ca="1"/>
        <v>1580</v>
      </c>
      <c r="C1592" s="1">
        <f ca="1">IFERROR(__xludf.DUMMYFUNCTION("""COMPUTED_VALUE"""),2023)</f>
        <v>2023</v>
      </c>
      <c r="D1592" s="1">
        <f ca="1">IFERROR(__xludf.DUMMYFUNCTION("""COMPUTED_VALUE"""),248)</f>
        <v>248</v>
      </c>
      <c r="E1592" s="1" t="str">
        <f ca="1">IFERROR(__xludf.DUMMYFUNCTION("""COMPUTED_VALUE"""),"Microbial Ecology")</f>
        <v>Microbial Ecology</v>
      </c>
      <c r="F1592" s="1" t="str">
        <f ca="1">IFERROR(__xludf.DUMMYFUNCTION("""COMPUTED_VALUE"""),"1432-184X")</f>
        <v>1432-184X</v>
      </c>
      <c r="G1592" s="1" t="str">
        <f ca="1">IFERROR(__xludf.DUMMYFUNCTION("""COMPUTED_VALUE"""),"0095-3628")</f>
        <v>0095-3628</v>
      </c>
      <c r="H1592" s="27" t="str">
        <f ca="1">IFERROR(__xludf.DUMMYFUNCTION("""COMPUTED_VALUE"""),"https://link.springer.com/journal/248")</f>
        <v>https://link.springer.com/journal/248</v>
      </c>
      <c r="I1592" s="1" t="str">
        <f ca="1">IFERROR(__xludf.DUMMYFUNCTION("""COMPUTED_VALUE"""),"Springer")</f>
        <v>Springer</v>
      </c>
      <c r="J1592" s="1">
        <f ca="1">IFERROR(__xludf.DUMMYFUNCTION("""COMPUTED_VALUE"""),2000)</f>
        <v>2000</v>
      </c>
      <c r="K1592" s="1" t="str">
        <f ca="1">IFERROR(__xludf.DUMMYFUNCTION("""COMPUTED_VALUE"""),"Biomedical and Life Sciences")</f>
        <v>Biomedical and Life Sciences</v>
      </c>
      <c r="L1592" s="1" t="str">
        <f ca="1">IFERROR(__xludf.DUMMYFUNCTION("""COMPUTED_VALUE"""),"〇")</f>
        <v>〇</v>
      </c>
      <c r="M1592" s="1" t="str">
        <f ca="1">IFERROR(__xludf.DUMMYFUNCTION("""COMPUTED_VALUE"""),"〇")</f>
        <v>〇</v>
      </c>
      <c r="N1592" s="1"/>
      <c r="O1592" s="1"/>
      <c r="P1592" s="1"/>
    </row>
    <row r="1593" spans="1:16" ht="14.25" customHeight="1" x14ac:dyDescent="0.25">
      <c r="A1593" s="1"/>
      <c r="B1593" s="1">
        <f ca="1"/>
        <v>1581</v>
      </c>
      <c r="C1593" s="1">
        <f ca="1">IFERROR(__xludf.DUMMYFUNCTION("""COMPUTED_VALUE"""),2023)</f>
        <v>2023</v>
      </c>
      <c r="D1593" s="1">
        <f ca="1">IFERROR(__xludf.DUMMYFUNCTION("""COMPUTED_VALUE"""),11021)</f>
        <v>11021</v>
      </c>
      <c r="E1593" s="1" t="str">
        <f ca="1">IFERROR(__xludf.DUMMYFUNCTION("""COMPUTED_VALUE"""),"Microbiology")</f>
        <v>Microbiology</v>
      </c>
      <c r="F1593" s="1" t="str">
        <f ca="1">IFERROR(__xludf.DUMMYFUNCTION("""COMPUTED_VALUE"""),"1608-3237")</f>
        <v>1608-3237</v>
      </c>
      <c r="G1593" s="1" t="str">
        <f ca="1">IFERROR(__xludf.DUMMYFUNCTION("""COMPUTED_VALUE"""),"0026-2617")</f>
        <v>0026-2617</v>
      </c>
      <c r="H1593" s="27" t="str">
        <f ca="1">IFERROR(__xludf.DUMMYFUNCTION("""COMPUTED_VALUE"""),"https://link.springer.com/journal/11021")</f>
        <v>https://link.springer.com/journal/11021</v>
      </c>
      <c r="I1593" s="1" t="str">
        <f ca="1">IFERROR(__xludf.DUMMYFUNCTION("""COMPUTED_VALUE"""),"Pleiades Publishing")</f>
        <v>Pleiades Publishing</v>
      </c>
      <c r="J1593" s="1">
        <f ca="1">IFERROR(__xludf.DUMMYFUNCTION("""COMPUTED_VALUE"""),2000)</f>
        <v>2000</v>
      </c>
      <c r="K1593" s="1" t="str">
        <f ca="1">IFERROR(__xludf.DUMMYFUNCTION("""COMPUTED_VALUE"""),"Biomedical and Life Sciences")</f>
        <v>Biomedical and Life Sciences</v>
      </c>
      <c r="L1593" s="1" t="str">
        <f ca="1">IFERROR(__xludf.DUMMYFUNCTION("""COMPUTED_VALUE"""),"〇")</f>
        <v>〇</v>
      </c>
      <c r="M1593" s="1" t="str">
        <f ca="1">IFERROR(__xludf.DUMMYFUNCTION("""COMPUTED_VALUE"""),"〇")</f>
        <v>〇</v>
      </c>
      <c r="N1593" s="1"/>
      <c r="O1593" s="1"/>
      <c r="P1593" s="1"/>
    </row>
    <row r="1594" spans="1:16" ht="14.25" customHeight="1" x14ac:dyDescent="0.25">
      <c r="A1594" s="1"/>
      <c r="B1594" s="1">
        <f ca="1"/>
        <v>1582</v>
      </c>
      <c r="C1594" s="1">
        <f ca="1">IFERROR(__xludf.DUMMYFUNCTION("""COMPUTED_VALUE"""),2023)</f>
        <v>2023</v>
      </c>
      <c r="D1594" s="1">
        <f ca="1">IFERROR(__xludf.DUMMYFUNCTION("""COMPUTED_VALUE"""),604)</f>
        <v>604</v>
      </c>
      <c r="E1594" s="1" t="str">
        <f ca="1">IFERROR(__xludf.DUMMYFUNCTION("""COMPUTED_VALUE"""),"Microchimica Acta")</f>
        <v>Microchimica Acta</v>
      </c>
      <c r="F1594" s="1" t="str">
        <f ca="1">IFERROR(__xludf.DUMMYFUNCTION("""COMPUTED_VALUE"""),"1436-5073")</f>
        <v>1436-5073</v>
      </c>
      <c r="G1594" s="1" t="str">
        <f ca="1">IFERROR(__xludf.DUMMYFUNCTION("""COMPUTED_VALUE"""),"0026-3672")</f>
        <v>0026-3672</v>
      </c>
      <c r="H1594" s="27" t="str">
        <f ca="1">IFERROR(__xludf.DUMMYFUNCTION("""COMPUTED_VALUE"""),"https://link.springer.com/journal/604")</f>
        <v>https://link.springer.com/journal/604</v>
      </c>
      <c r="I1594" s="1" t="str">
        <f ca="1">IFERROR(__xludf.DUMMYFUNCTION("""COMPUTED_VALUE"""),"Springer")</f>
        <v>Springer</v>
      </c>
      <c r="J1594" s="1">
        <f ca="1">IFERROR(__xludf.DUMMYFUNCTION("""COMPUTED_VALUE"""),2000)</f>
        <v>2000</v>
      </c>
      <c r="K1594" s="1" t="str">
        <f ca="1">IFERROR(__xludf.DUMMYFUNCTION("""COMPUTED_VALUE"""),"Chemistry and Materials Science")</f>
        <v>Chemistry and Materials Science</v>
      </c>
      <c r="L1594" s="1" t="str">
        <f ca="1">IFERROR(__xludf.DUMMYFUNCTION("""COMPUTED_VALUE"""),"〇")</f>
        <v>〇</v>
      </c>
      <c r="M1594" s="1" t="str">
        <f ca="1">IFERROR(__xludf.DUMMYFUNCTION("""COMPUTED_VALUE"""),"〇")</f>
        <v>〇</v>
      </c>
      <c r="N1594" s="1"/>
      <c r="O1594" s="1"/>
      <c r="P1594" s="1"/>
    </row>
    <row r="1595" spans="1:16" ht="14.25" customHeight="1" x14ac:dyDescent="0.25">
      <c r="A1595" s="1"/>
      <c r="B1595" s="1">
        <f ca="1"/>
        <v>1583</v>
      </c>
      <c r="C1595" s="1">
        <f ca="1">IFERROR(__xludf.DUMMYFUNCTION("""COMPUTED_VALUE"""),2023)</f>
        <v>2023</v>
      </c>
      <c r="D1595" s="1">
        <f ca="1">IFERROR(__xludf.DUMMYFUNCTION("""COMPUTED_VALUE"""),10404)</f>
        <v>10404</v>
      </c>
      <c r="E1595" s="1" t="str">
        <f ca="1">IFERROR(__xludf.DUMMYFUNCTION("""COMPUTED_VALUE"""),"Microfluidics and Nanofluidics")</f>
        <v>Microfluidics and Nanofluidics</v>
      </c>
      <c r="F1595" s="1" t="str">
        <f ca="1">IFERROR(__xludf.DUMMYFUNCTION("""COMPUTED_VALUE"""),"1613-4990")</f>
        <v>1613-4990</v>
      </c>
      <c r="G1595" s="1" t="str">
        <f ca="1">IFERROR(__xludf.DUMMYFUNCTION("""COMPUTED_VALUE"""),"1613-4982")</f>
        <v>1613-4982</v>
      </c>
      <c r="H1595" s="27" t="str">
        <f ca="1">IFERROR(__xludf.DUMMYFUNCTION("""COMPUTED_VALUE"""),"https://link.springer.com/journal/10404")</f>
        <v>https://link.springer.com/journal/10404</v>
      </c>
      <c r="I1595" s="1" t="str">
        <f ca="1">IFERROR(__xludf.DUMMYFUNCTION("""COMPUTED_VALUE"""),"Springer")</f>
        <v>Springer</v>
      </c>
      <c r="J1595" s="1">
        <f ca="1">IFERROR(__xludf.DUMMYFUNCTION("""COMPUTED_VALUE"""),2004)</f>
        <v>2004</v>
      </c>
      <c r="K1595" s="1" t="str">
        <f ca="1">IFERROR(__xludf.DUMMYFUNCTION("""COMPUTED_VALUE"""),"Engineering")</f>
        <v>Engineering</v>
      </c>
      <c r="L1595" s="1" t="str">
        <f ca="1">IFERROR(__xludf.DUMMYFUNCTION("""COMPUTED_VALUE"""),"〇")</f>
        <v>〇</v>
      </c>
      <c r="M1595" s="1" t="str">
        <f ca="1">IFERROR(__xludf.DUMMYFUNCTION("""COMPUTED_VALUE"""),"〇")</f>
        <v>〇</v>
      </c>
      <c r="N1595" s="1"/>
      <c r="O1595" s="1"/>
      <c r="P1595" s="1"/>
    </row>
    <row r="1596" spans="1:16" ht="14.25" customHeight="1" x14ac:dyDescent="0.25">
      <c r="A1596" s="1"/>
      <c r="B1596" s="1">
        <f ca="1"/>
        <v>1584</v>
      </c>
      <c r="C1596" s="1">
        <f ca="1">IFERROR(__xludf.DUMMYFUNCTION("""COMPUTED_VALUE"""),2023)</f>
        <v>2023</v>
      </c>
      <c r="D1596" s="1">
        <f ca="1">IFERROR(__xludf.DUMMYFUNCTION("""COMPUTED_VALUE"""),12217)</f>
        <v>12217</v>
      </c>
      <c r="E1596" s="1" t="str">
        <f ca="1">IFERROR(__xludf.DUMMYFUNCTION("""COMPUTED_VALUE"""),"Microgravity Science and Technology")</f>
        <v>Microgravity Science and Technology</v>
      </c>
      <c r="F1596" s="1" t="str">
        <f ca="1">IFERROR(__xludf.DUMMYFUNCTION("""COMPUTED_VALUE"""),"1875-0494")</f>
        <v>1875-0494</v>
      </c>
      <c r="G1596" s="1"/>
      <c r="H1596" s="27" t="str">
        <f ca="1">IFERROR(__xludf.DUMMYFUNCTION("""COMPUTED_VALUE"""),"https://link.springer.com/journal/12217")</f>
        <v>https://link.springer.com/journal/12217</v>
      </c>
      <c r="I1596" s="1" t="str">
        <f ca="1">IFERROR(__xludf.DUMMYFUNCTION("""COMPUTED_VALUE"""),"Springer")</f>
        <v>Springer</v>
      </c>
      <c r="J1596" s="1">
        <f ca="1">IFERROR(__xludf.DUMMYFUNCTION("""COMPUTED_VALUE"""),2001)</f>
        <v>2001</v>
      </c>
      <c r="K1596" s="1" t="str">
        <f ca="1">IFERROR(__xludf.DUMMYFUNCTION("""COMPUTED_VALUE"""),"Engineering")</f>
        <v>Engineering</v>
      </c>
      <c r="L1596" s="1"/>
      <c r="M1596" s="1" t="str">
        <f ca="1">IFERROR(__xludf.DUMMYFUNCTION("""COMPUTED_VALUE"""),"〇")</f>
        <v>〇</v>
      </c>
      <c r="N1596" s="1" t="str">
        <f ca="1">IFERROR(__xludf.DUMMYFUNCTION("""COMPUTED_VALUE"""),"TO8")</f>
        <v>TO8</v>
      </c>
      <c r="O1596" s="1"/>
      <c r="P1596" s="1"/>
    </row>
    <row r="1597" spans="1:16" ht="14.25" customHeight="1" x14ac:dyDescent="0.25">
      <c r="A1597" s="1"/>
      <c r="B1597" s="1">
        <f ca="1"/>
        <v>1585</v>
      </c>
      <c r="C1597" s="1">
        <f ca="1">IFERROR(__xludf.DUMMYFUNCTION("""COMPUTED_VALUE"""),2023)</f>
        <v>2023</v>
      </c>
      <c r="D1597" s="1">
        <f ca="1">IFERROR(__xludf.DUMMYFUNCTION("""COMPUTED_VALUE"""),542)</f>
        <v>542</v>
      </c>
      <c r="E1597" s="1" t="str">
        <f ca="1">IFERROR(__xludf.DUMMYFUNCTION("""COMPUTED_VALUE"""),"Microsystem Technologies")</f>
        <v>Microsystem Technologies</v>
      </c>
      <c r="F1597" s="1" t="str">
        <f ca="1">IFERROR(__xludf.DUMMYFUNCTION("""COMPUTED_VALUE"""),"1432-1858")</f>
        <v>1432-1858</v>
      </c>
      <c r="G1597" s="1" t="str">
        <f ca="1">IFERROR(__xludf.DUMMYFUNCTION("""COMPUTED_VALUE"""),"0946-7076")</f>
        <v>0946-7076</v>
      </c>
      <c r="H1597" s="27" t="str">
        <f ca="1">IFERROR(__xludf.DUMMYFUNCTION("""COMPUTED_VALUE"""),"https://link.springer.com/journal/542")</f>
        <v>https://link.springer.com/journal/542</v>
      </c>
      <c r="I1597" s="1" t="str">
        <f ca="1">IFERROR(__xludf.DUMMYFUNCTION("""COMPUTED_VALUE"""),"Springer")</f>
        <v>Springer</v>
      </c>
      <c r="J1597" s="1">
        <f ca="1">IFERROR(__xludf.DUMMYFUNCTION("""COMPUTED_VALUE"""),2000)</f>
        <v>2000</v>
      </c>
      <c r="K1597" s="1" t="str">
        <f ca="1">IFERROR(__xludf.DUMMYFUNCTION("""COMPUTED_VALUE"""),"Engineering")</f>
        <v>Engineering</v>
      </c>
      <c r="L1597" s="1" t="str">
        <f ca="1">IFERROR(__xludf.DUMMYFUNCTION("""COMPUTED_VALUE"""),"〇")</f>
        <v>〇</v>
      </c>
      <c r="M1597" s="1" t="str">
        <f ca="1">IFERROR(__xludf.DUMMYFUNCTION("""COMPUTED_VALUE"""),"〇")</f>
        <v>〇</v>
      </c>
      <c r="N1597" s="1"/>
      <c r="O1597" s="1"/>
      <c r="P1597" s="1"/>
    </row>
    <row r="1598" spans="1:16" ht="14.25" customHeight="1" x14ac:dyDescent="0.25">
      <c r="A1598" s="1"/>
      <c r="B1598" s="1">
        <f ca="1"/>
        <v>1586</v>
      </c>
      <c r="C1598" s="1">
        <f ca="1">IFERROR(__xludf.DUMMYFUNCTION("""COMPUTED_VALUE"""),2023)</f>
        <v>2023</v>
      </c>
      <c r="D1598" s="1">
        <f ca="1">IFERROR(__xludf.DUMMYFUNCTION("""COMPUTED_VALUE"""),32)</f>
        <v>32</v>
      </c>
      <c r="E1598" s="1" t="str">
        <f ca="1">IFERROR(__xludf.DUMMYFUNCTION("""COMPUTED_VALUE"""),"Milan Journal of Mathematics")</f>
        <v>Milan Journal of Mathematics</v>
      </c>
      <c r="F1598" s="1" t="str">
        <f ca="1">IFERROR(__xludf.DUMMYFUNCTION("""COMPUTED_VALUE"""),"1424-9294")</f>
        <v>1424-9294</v>
      </c>
      <c r="G1598" s="1" t="str">
        <f ca="1">IFERROR(__xludf.DUMMYFUNCTION("""COMPUTED_VALUE"""),"1424-9286")</f>
        <v>1424-9286</v>
      </c>
      <c r="H1598" s="27" t="str">
        <f ca="1">IFERROR(__xludf.DUMMYFUNCTION("""COMPUTED_VALUE"""),"https://link.springer.com/journal/32")</f>
        <v>https://link.springer.com/journal/32</v>
      </c>
      <c r="I1598" s="1" t="str">
        <f ca="1">IFERROR(__xludf.DUMMYFUNCTION("""COMPUTED_VALUE"""),"Birkhäuser")</f>
        <v>Birkhäuser</v>
      </c>
      <c r="J1598" s="1">
        <f ca="1">IFERROR(__xludf.DUMMYFUNCTION("""COMPUTED_VALUE"""),2000)</f>
        <v>2000</v>
      </c>
      <c r="K1598" s="1" t="str">
        <f ca="1">IFERROR(__xludf.DUMMYFUNCTION("""COMPUTED_VALUE"""),"Mathematics and Statistics")</f>
        <v>Mathematics and Statistics</v>
      </c>
      <c r="L1598" s="1" t="str">
        <f ca="1">IFERROR(__xludf.DUMMYFUNCTION("""COMPUTED_VALUE"""),"〇")</f>
        <v>〇</v>
      </c>
      <c r="M1598" s="1" t="str">
        <f ca="1">IFERROR(__xludf.DUMMYFUNCTION("""COMPUTED_VALUE"""),"〇")</f>
        <v>〇</v>
      </c>
      <c r="N1598" s="1"/>
      <c r="O1598" s="1"/>
      <c r="P1598" s="1"/>
    </row>
    <row r="1599" spans="1:16" ht="14.25" customHeight="1" x14ac:dyDescent="0.25">
      <c r="A1599" s="1"/>
      <c r="B1599" s="1">
        <f ca="1"/>
        <v>1587</v>
      </c>
      <c r="C1599" s="1">
        <f ca="1">IFERROR(__xludf.DUMMYFUNCTION("""COMPUTED_VALUE"""),2023)</f>
        <v>2023</v>
      </c>
      <c r="D1599" s="1">
        <f ca="1">IFERROR(__xludf.DUMMYFUNCTION("""COMPUTED_VALUE"""),11299)</f>
        <v>11299</v>
      </c>
      <c r="E1599" s="1" t="str">
        <f ca="1">IFERROR(__xludf.DUMMYFUNCTION("""COMPUTED_VALUE"""),"Mind &amp; Society")</f>
        <v>Mind &amp; Society</v>
      </c>
      <c r="F1599" s="1" t="str">
        <f ca="1">IFERROR(__xludf.DUMMYFUNCTION("""COMPUTED_VALUE"""),"1860-1839")</f>
        <v>1860-1839</v>
      </c>
      <c r="G1599" s="1" t="str">
        <f ca="1">IFERROR(__xludf.DUMMYFUNCTION("""COMPUTED_VALUE"""),"1593-7879")</f>
        <v>1593-7879</v>
      </c>
      <c r="H1599" s="27" t="str">
        <f ca="1">IFERROR(__xludf.DUMMYFUNCTION("""COMPUTED_VALUE"""),"https://link.springer.com/journal/11299")</f>
        <v>https://link.springer.com/journal/11299</v>
      </c>
      <c r="I1599" s="1" t="str">
        <f ca="1">IFERROR(__xludf.DUMMYFUNCTION("""COMPUTED_VALUE"""),"Springer")</f>
        <v>Springer</v>
      </c>
      <c r="J1599" s="1">
        <f ca="1">IFERROR(__xludf.DUMMYFUNCTION("""COMPUTED_VALUE"""),2000)</f>
        <v>2000</v>
      </c>
      <c r="K1599" s="1" t="str">
        <f ca="1">IFERROR(__xludf.DUMMYFUNCTION("""COMPUTED_VALUE"""),"Economics and Finance")</f>
        <v>Economics and Finance</v>
      </c>
      <c r="L1599" s="1" t="str">
        <f ca="1">IFERROR(__xludf.DUMMYFUNCTION("""COMPUTED_VALUE"""),"〇")</f>
        <v>〇</v>
      </c>
      <c r="M1599" s="1" t="str">
        <f ca="1">IFERROR(__xludf.DUMMYFUNCTION("""COMPUTED_VALUE"""),"〇")</f>
        <v>〇</v>
      </c>
      <c r="N1599" s="1"/>
      <c r="O1599" s="1"/>
      <c r="P1599" s="1"/>
    </row>
    <row r="1600" spans="1:16" ht="14.25" customHeight="1" x14ac:dyDescent="0.25">
      <c r="A1600" s="1"/>
      <c r="B1600" s="1">
        <f ca="1"/>
        <v>1588</v>
      </c>
      <c r="C1600" s="1">
        <f ca="1">IFERROR(__xludf.DUMMYFUNCTION("""COMPUTED_VALUE"""),2023)</f>
        <v>2023</v>
      </c>
      <c r="D1600" s="1">
        <f ca="1">IFERROR(__xludf.DUMMYFUNCTION("""COMPUTED_VALUE"""),12671)</f>
        <v>12671</v>
      </c>
      <c r="E1600" s="1" t="str">
        <f ca="1">IFERROR(__xludf.DUMMYFUNCTION("""COMPUTED_VALUE"""),"Mindfulness")</f>
        <v>Mindfulness</v>
      </c>
      <c r="F1600" s="1" t="str">
        <f ca="1">IFERROR(__xludf.DUMMYFUNCTION("""COMPUTED_VALUE"""),"1868-8535")</f>
        <v>1868-8535</v>
      </c>
      <c r="G1600" s="1" t="str">
        <f ca="1">IFERROR(__xludf.DUMMYFUNCTION("""COMPUTED_VALUE"""),"1868-8527")</f>
        <v>1868-8527</v>
      </c>
      <c r="H1600" s="27" t="str">
        <f ca="1">IFERROR(__xludf.DUMMYFUNCTION("""COMPUTED_VALUE"""),"https://link.springer.com/journal/12671")</f>
        <v>https://link.springer.com/journal/12671</v>
      </c>
      <c r="I1600" s="1" t="str">
        <f ca="1">IFERROR(__xludf.DUMMYFUNCTION("""COMPUTED_VALUE"""),"Springer")</f>
        <v>Springer</v>
      </c>
      <c r="J1600" s="1">
        <f ca="1">IFERROR(__xludf.DUMMYFUNCTION("""COMPUTED_VALUE"""),2010)</f>
        <v>2010</v>
      </c>
      <c r="K1600" s="1" t="str">
        <f ca="1">IFERROR(__xludf.DUMMYFUNCTION("""COMPUTED_VALUE"""),"Behavioral Science and Psychology")</f>
        <v>Behavioral Science and Psychology</v>
      </c>
      <c r="L1600" s="1" t="str">
        <f ca="1">IFERROR(__xludf.DUMMYFUNCTION("""COMPUTED_VALUE"""),"〇")</f>
        <v>〇</v>
      </c>
      <c r="M1600" s="1" t="str">
        <f ca="1">IFERROR(__xludf.DUMMYFUNCTION("""COMPUTED_VALUE"""),"〇")</f>
        <v>〇</v>
      </c>
      <c r="N1600" s="1" t="str">
        <f ca="1">IFERROR(__xludf.DUMMYFUNCTION("""COMPUTED_VALUE"""),"SNS10")</f>
        <v>SNS10</v>
      </c>
      <c r="O1600" s="1"/>
      <c r="P1600" s="1"/>
    </row>
    <row r="1601" spans="1:16" ht="14.25" customHeight="1" x14ac:dyDescent="0.25">
      <c r="A1601" s="1"/>
      <c r="B1601" s="1">
        <f ca="1"/>
        <v>1589</v>
      </c>
      <c r="C1601" s="1">
        <f ca="1">IFERROR(__xludf.DUMMYFUNCTION("""COMPUTED_VALUE"""),2023)</f>
        <v>2023</v>
      </c>
      <c r="D1601" s="1">
        <f ca="1">IFERROR(__xludf.DUMMYFUNCTION("""COMPUTED_VALUE"""),11023)</f>
        <v>11023</v>
      </c>
      <c r="E1601" s="1" t="str">
        <f ca="1">IFERROR(__xludf.DUMMYFUNCTION("""COMPUTED_VALUE"""),"Minds and Machines")</f>
        <v>Minds and Machines</v>
      </c>
      <c r="F1601" s="1" t="str">
        <f ca="1">IFERROR(__xludf.DUMMYFUNCTION("""COMPUTED_VALUE"""),"1572-8641")</f>
        <v>1572-8641</v>
      </c>
      <c r="G1601" s="1" t="str">
        <f ca="1">IFERROR(__xludf.DUMMYFUNCTION("""COMPUTED_VALUE"""),"0924-6495")</f>
        <v>0924-6495</v>
      </c>
      <c r="H1601" s="27" t="str">
        <f ca="1">IFERROR(__xludf.DUMMYFUNCTION("""COMPUTED_VALUE"""),"https://link.springer.com/journal/11023")</f>
        <v>https://link.springer.com/journal/11023</v>
      </c>
      <c r="I1601" s="1" t="str">
        <f ca="1">IFERROR(__xludf.DUMMYFUNCTION("""COMPUTED_VALUE"""),"Springer")</f>
        <v>Springer</v>
      </c>
      <c r="J1601" s="1">
        <f ca="1">IFERROR(__xludf.DUMMYFUNCTION("""COMPUTED_VALUE"""),2000)</f>
        <v>2000</v>
      </c>
      <c r="K1601" s="1" t="str">
        <f ca="1">IFERROR(__xludf.DUMMYFUNCTION("""COMPUTED_VALUE"""),"Computer Science")</f>
        <v>Computer Science</v>
      </c>
      <c r="L1601" s="1" t="str">
        <f ca="1">IFERROR(__xludf.DUMMYFUNCTION("""COMPUTED_VALUE"""),"〇")</f>
        <v>〇</v>
      </c>
      <c r="M1601" s="1" t="str">
        <f ca="1">IFERROR(__xludf.DUMMYFUNCTION("""COMPUTED_VALUE"""),"〇")</f>
        <v>〇</v>
      </c>
      <c r="N1601" s="1"/>
      <c r="O1601" s="1"/>
      <c r="P1601" s="1"/>
    </row>
    <row r="1602" spans="1:16" ht="14.25" customHeight="1" x14ac:dyDescent="0.25">
      <c r="A1602" s="1"/>
      <c r="B1602" s="1">
        <f ca="1"/>
        <v>1590</v>
      </c>
      <c r="C1602" s="1">
        <f ca="1">IFERROR(__xludf.DUMMYFUNCTION("""COMPUTED_VALUE"""),2023)</f>
        <v>2023</v>
      </c>
      <c r="D1602" s="1">
        <f ca="1">IFERROR(__xludf.DUMMYFUNCTION("""COMPUTED_VALUE"""),10230)</f>
        <v>10230</v>
      </c>
      <c r="E1602" s="1" t="str">
        <f ca="1">IFERROR(__xludf.DUMMYFUNCTION("""COMPUTED_VALUE"""),"Mine Water and the Environment")</f>
        <v>Mine Water and the Environment</v>
      </c>
      <c r="F1602" s="1" t="str">
        <f ca="1">IFERROR(__xludf.DUMMYFUNCTION("""COMPUTED_VALUE"""),"1616-1068")</f>
        <v>1616-1068</v>
      </c>
      <c r="G1602" s="1" t="str">
        <f ca="1">IFERROR(__xludf.DUMMYFUNCTION("""COMPUTED_VALUE"""),"1025-9112")</f>
        <v>1025-9112</v>
      </c>
      <c r="H1602" s="27" t="str">
        <f ca="1">IFERROR(__xludf.DUMMYFUNCTION("""COMPUTED_VALUE"""),"https://link.springer.com/journal/10230")</f>
        <v>https://link.springer.com/journal/10230</v>
      </c>
      <c r="I1602" s="1" t="str">
        <f ca="1">IFERROR(__xludf.DUMMYFUNCTION("""COMPUTED_VALUE"""),"Springer")</f>
        <v>Springer</v>
      </c>
      <c r="J1602" s="1">
        <f ca="1">IFERROR(__xludf.DUMMYFUNCTION("""COMPUTED_VALUE"""),2000)</f>
        <v>2000</v>
      </c>
      <c r="K1602" s="1" t="str">
        <f ca="1">IFERROR(__xludf.DUMMYFUNCTION("""COMPUTED_VALUE"""),"Earth and Environmental Science")</f>
        <v>Earth and Environmental Science</v>
      </c>
      <c r="L1602" s="1" t="str">
        <f ca="1">IFERROR(__xludf.DUMMYFUNCTION("""COMPUTED_VALUE"""),"〇")</f>
        <v>〇</v>
      </c>
      <c r="M1602" s="1" t="str">
        <f ca="1">IFERROR(__xludf.DUMMYFUNCTION("""COMPUTED_VALUE"""),"〇")</f>
        <v>〇</v>
      </c>
      <c r="N1602" s="1"/>
      <c r="O1602" s="1"/>
      <c r="P1602" s="1"/>
    </row>
    <row r="1603" spans="1:16" ht="14.25" customHeight="1" x14ac:dyDescent="0.25">
      <c r="A1603" s="1"/>
      <c r="B1603" s="1">
        <f ca="1"/>
        <v>1591</v>
      </c>
      <c r="C1603" s="1">
        <f ca="1">IFERROR(__xludf.DUMMYFUNCTION("""COMPUTED_VALUE"""),2023)</f>
        <v>2023</v>
      </c>
      <c r="D1603" s="1">
        <f ca="1">IFERROR(__xludf.DUMMYFUNCTION("""COMPUTED_VALUE"""),13563)</f>
        <v>13563</v>
      </c>
      <c r="E1603" s="1" t="str">
        <f ca="1">IFERROR(__xludf.DUMMYFUNCTION("""COMPUTED_VALUE"""),"Mineral Economics")</f>
        <v>Mineral Economics</v>
      </c>
      <c r="F1603" s="1" t="str">
        <f ca="1">IFERROR(__xludf.DUMMYFUNCTION("""COMPUTED_VALUE"""),"2191-2211")</f>
        <v>2191-2211</v>
      </c>
      <c r="G1603" s="1" t="str">
        <f ca="1">IFERROR(__xludf.DUMMYFUNCTION("""COMPUTED_VALUE"""),"2191-2203")</f>
        <v>2191-2203</v>
      </c>
      <c r="H1603" s="27" t="str">
        <f ca="1">IFERROR(__xludf.DUMMYFUNCTION("""COMPUTED_VALUE"""),"https://link.springer.com/journal/13563")</f>
        <v>https://link.springer.com/journal/13563</v>
      </c>
      <c r="I1603" s="1" t="str">
        <f ca="1">IFERROR(__xludf.DUMMYFUNCTION("""COMPUTED_VALUE"""),"Springer")</f>
        <v>Springer</v>
      </c>
      <c r="J1603" s="1">
        <f ca="1">IFERROR(__xludf.DUMMYFUNCTION("""COMPUTED_VALUE"""),2011)</f>
        <v>2011</v>
      </c>
      <c r="K1603" s="1" t="str">
        <f ca="1">IFERROR(__xludf.DUMMYFUNCTION("""COMPUTED_VALUE"""),"Economics and Finance")</f>
        <v>Economics and Finance</v>
      </c>
      <c r="L1603" s="1" t="str">
        <f ca="1">IFERROR(__xludf.DUMMYFUNCTION("""COMPUTED_VALUE"""),"〇")</f>
        <v>〇</v>
      </c>
      <c r="M1603" s="1"/>
      <c r="N1603" s="1" t="str">
        <f ca="1">IFERROR(__xludf.DUMMYFUNCTION("""COMPUTED_VALUE"""),"TO11")</f>
        <v>TO11</v>
      </c>
      <c r="O1603" s="1"/>
      <c r="P1603" s="1"/>
    </row>
    <row r="1604" spans="1:16" ht="14.25" customHeight="1" x14ac:dyDescent="0.25">
      <c r="A1604" s="1"/>
      <c r="B1604" s="1">
        <f ca="1"/>
        <v>1592</v>
      </c>
      <c r="C1604" s="1">
        <f ca="1">IFERROR(__xludf.DUMMYFUNCTION("""COMPUTED_VALUE"""),2023)</f>
        <v>2023</v>
      </c>
      <c r="D1604" s="1">
        <f ca="1">IFERROR(__xludf.DUMMYFUNCTION("""COMPUTED_VALUE"""),126)</f>
        <v>126</v>
      </c>
      <c r="E1604" s="1" t="str">
        <f ca="1">IFERROR(__xludf.DUMMYFUNCTION("""COMPUTED_VALUE"""),"Mineralium Deposita")</f>
        <v>Mineralium Deposita</v>
      </c>
      <c r="F1604" s="1" t="str">
        <f ca="1">IFERROR(__xludf.DUMMYFUNCTION("""COMPUTED_VALUE"""),"1432-1866")</f>
        <v>1432-1866</v>
      </c>
      <c r="G1604" s="1" t="str">
        <f ca="1">IFERROR(__xludf.DUMMYFUNCTION("""COMPUTED_VALUE"""),"0026-4598")</f>
        <v>0026-4598</v>
      </c>
      <c r="H1604" s="27" t="str">
        <f ca="1">IFERROR(__xludf.DUMMYFUNCTION("""COMPUTED_VALUE"""),"https://link.springer.com/journal/126")</f>
        <v>https://link.springer.com/journal/126</v>
      </c>
      <c r="I1604" s="1" t="str">
        <f ca="1">IFERROR(__xludf.DUMMYFUNCTION("""COMPUTED_VALUE"""),"Springer")</f>
        <v>Springer</v>
      </c>
      <c r="J1604" s="1">
        <f ca="1">IFERROR(__xludf.DUMMYFUNCTION("""COMPUTED_VALUE"""),2000)</f>
        <v>2000</v>
      </c>
      <c r="K1604" s="1" t="str">
        <f ca="1">IFERROR(__xludf.DUMMYFUNCTION("""COMPUTED_VALUE"""),"Earth and Environmental Science")</f>
        <v>Earth and Environmental Science</v>
      </c>
      <c r="L1604" s="1" t="str">
        <f ca="1">IFERROR(__xludf.DUMMYFUNCTION("""COMPUTED_VALUE"""),"〇")</f>
        <v>〇</v>
      </c>
      <c r="M1604" s="1" t="str">
        <f ca="1">IFERROR(__xludf.DUMMYFUNCTION("""COMPUTED_VALUE"""),"〇")</f>
        <v>〇</v>
      </c>
      <c r="N1604" s="1"/>
      <c r="O1604" s="1"/>
      <c r="P1604" s="1"/>
    </row>
    <row r="1605" spans="1:16" ht="14.25" customHeight="1" x14ac:dyDescent="0.25">
      <c r="A1605" s="1"/>
      <c r="B1605" s="1">
        <f ca="1"/>
        <v>1593</v>
      </c>
      <c r="C1605" s="1">
        <f ca="1">IFERROR(__xludf.DUMMYFUNCTION("""COMPUTED_VALUE"""),2023)</f>
        <v>2023</v>
      </c>
      <c r="D1605" s="1">
        <f ca="1">IFERROR(__xludf.DUMMYFUNCTION("""COMPUTED_VALUE"""),710)</f>
        <v>710</v>
      </c>
      <c r="E1605" s="1" t="str">
        <f ca="1">IFERROR(__xludf.DUMMYFUNCTION("""COMPUTED_VALUE"""),"Mineralogy and Petrology")</f>
        <v>Mineralogy and Petrology</v>
      </c>
      <c r="F1605" s="1" t="str">
        <f ca="1">IFERROR(__xludf.DUMMYFUNCTION("""COMPUTED_VALUE"""),"1438-1168")</f>
        <v>1438-1168</v>
      </c>
      <c r="G1605" s="1" t="str">
        <f ca="1">IFERROR(__xludf.DUMMYFUNCTION("""COMPUTED_VALUE"""),"0930-0708")</f>
        <v>0930-0708</v>
      </c>
      <c r="H1605" s="27" t="str">
        <f ca="1">IFERROR(__xludf.DUMMYFUNCTION("""COMPUTED_VALUE"""),"https://link.springer.com/journal/710")</f>
        <v>https://link.springer.com/journal/710</v>
      </c>
      <c r="I1605" s="1" t="str">
        <f ca="1">IFERROR(__xludf.DUMMYFUNCTION("""COMPUTED_VALUE"""),"Springer")</f>
        <v>Springer</v>
      </c>
      <c r="J1605" s="1">
        <f ca="1">IFERROR(__xludf.DUMMYFUNCTION("""COMPUTED_VALUE"""),2000)</f>
        <v>2000</v>
      </c>
      <c r="K1605" s="1" t="str">
        <f ca="1">IFERROR(__xludf.DUMMYFUNCTION("""COMPUTED_VALUE"""),"Earth and Environmental Science")</f>
        <v>Earth and Environmental Science</v>
      </c>
      <c r="L1605" s="1" t="str">
        <f ca="1">IFERROR(__xludf.DUMMYFUNCTION("""COMPUTED_VALUE"""),"〇")</f>
        <v>〇</v>
      </c>
      <c r="M1605" s="1" t="str">
        <f ca="1">IFERROR(__xludf.DUMMYFUNCTION("""COMPUTED_VALUE"""),"〇")</f>
        <v>〇</v>
      </c>
      <c r="N1605" s="1"/>
      <c r="O1605" s="1"/>
      <c r="P1605" s="1"/>
    </row>
    <row r="1606" spans="1:16" ht="14.25" customHeight="1" x14ac:dyDescent="0.25">
      <c r="A1606" s="1"/>
      <c r="B1606" s="1">
        <f ca="1"/>
        <v>1594</v>
      </c>
      <c r="C1606" s="1">
        <f ca="1">IFERROR(__xludf.DUMMYFUNCTION("""COMPUTED_VALUE"""),2023)</f>
        <v>2023</v>
      </c>
      <c r="D1606" s="1">
        <f ca="1">IFERROR(__xludf.DUMMYFUNCTION("""COMPUTED_VALUE"""),11024)</f>
        <v>11024</v>
      </c>
      <c r="E1606" s="1" t="str">
        <f ca="1">IFERROR(__xludf.DUMMYFUNCTION("""COMPUTED_VALUE"""),"Minerva")</f>
        <v>Minerva</v>
      </c>
      <c r="F1606" s="1" t="str">
        <f ca="1">IFERROR(__xludf.DUMMYFUNCTION("""COMPUTED_VALUE"""),"1573-1871")</f>
        <v>1573-1871</v>
      </c>
      <c r="G1606" s="1" t="str">
        <f ca="1">IFERROR(__xludf.DUMMYFUNCTION("""COMPUTED_VALUE"""),"0026-4695")</f>
        <v>0026-4695</v>
      </c>
      <c r="H1606" s="27" t="str">
        <f ca="1">IFERROR(__xludf.DUMMYFUNCTION("""COMPUTED_VALUE"""),"https://link.springer.com/journal/11024")</f>
        <v>https://link.springer.com/journal/11024</v>
      </c>
      <c r="I1606" s="1" t="str">
        <f ca="1">IFERROR(__xludf.DUMMYFUNCTION("""COMPUTED_VALUE"""),"Springer")</f>
        <v>Springer</v>
      </c>
      <c r="J1606" s="1">
        <f ca="1">IFERROR(__xludf.DUMMYFUNCTION("""COMPUTED_VALUE"""),2000)</f>
        <v>2000</v>
      </c>
      <c r="K1606" s="1" t="str">
        <f ca="1">IFERROR(__xludf.DUMMYFUNCTION("""COMPUTED_VALUE"""),"Social Sciences")</f>
        <v>Social Sciences</v>
      </c>
      <c r="L1606" s="1" t="str">
        <f ca="1">IFERROR(__xludf.DUMMYFUNCTION("""COMPUTED_VALUE"""),"〇")</f>
        <v>〇</v>
      </c>
      <c r="M1606" s="1" t="str">
        <f ca="1">IFERROR(__xludf.DUMMYFUNCTION("""COMPUTED_VALUE"""),"〇")</f>
        <v>〇</v>
      </c>
      <c r="N1606" s="1"/>
      <c r="O1606" s="1"/>
      <c r="P1606" s="1"/>
    </row>
    <row r="1607" spans="1:16" ht="14.25" customHeight="1" x14ac:dyDescent="0.25">
      <c r="A1607" s="1"/>
      <c r="B1607" s="1">
        <f ca="1"/>
        <v>1595</v>
      </c>
      <c r="C1607" s="1">
        <f ca="1">IFERROR(__xludf.DUMMYFUNCTION("""COMPUTED_VALUE"""),2023)</f>
        <v>2023</v>
      </c>
      <c r="D1607" s="1">
        <f ca="1">IFERROR(__xludf.DUMMYFUNCTION("""COMPUTED_VALUE"""),42461)</f>
        <v>42461</v>
      </c>
      <c r="E1607" s="1" t="str">
        <f ca="1">IFERROR(__xludf.DUMMYFUNCTION("""COMPUTED_VALUE"""),"Mining, Metallurgy &amp; Exploration")</f>
        <v>Mining, Metallurgy &amp; Exploration</v>
      </c>
      <c r="F1607" s="1" t="str">
        <f ca="1">IFERROR(__xludf.DUMMYFUNCTION("""COMPUTED_VALUE"""),"2524-3470")</f>
        <v>2524-3470</v>
      </c>
      <c r="G1607" s="1" t="str">
        <f ca="1">IFERROR(__xludf.DUMMYFUNCTION("""COMPUTED_VALUE"""),"2524-3462")</f>
        <v>2524-3462</v>
      </c>
      <c r="H1607" s="27" t="str">
        <f ca="1">IFERROR(__xludf.DUMMYFUNCTION("""COMPUTED_VALUE"""),"https://link.springer.com/journal/42461")</f>
        <v>https://link.springer.com/journal/42461</v>
      </c>
      <c r="I1607" s="1" t="str">
        <f ca="1">IFERROR(__xludf.DUMMYFUNCTION("""COMPUTED_VALUE"""),"Springer")</f>
        <v>Springer</v>
      </c>
      <c r="J1607" s="1">
        <f ca="1">IFERROR(__xludf.DUMMYFUNCTION("""COMPUTED_VALUE"""),2000)</f>
        <v>2000</v>
      </c>
      <c r="K1607" s="1" t="str">
        <f ca="1">IFERROR(__xludf.DUMMYFUNCTION("""COMPUTED_VALUE"""),"Engineering")</f>
        <v>Engineering</v>
      </c>
      <c r="L1607" s="1" t="str">
        <f ca="1">IFERROR(__xludf.DUMMYFUNCTION("""COMPUTED_VALUE"""),"〇")</f>
        <v>〇</v>
      </c>
      <c r="M1607" s="1"/>
      <c r="N1607" s="1" t="str">
        <f ca="1">IFERROR(__xludf.DUMMYFUNCTION("""COMPUTED_VALUE"""),"TO19")</f>
        <v>TO19</v>
      </c>
      <c r="O1607" s="1"/>
      <c r="P1607" s="1"/>
    </row>
    <row r="1608" spans="1:16" ht="14.25" customHeight="1" x14ac:dyDescent="0.25">
      <c r="A1608" s="1"/>
      <c r="B1608" s="1">
        <f ca="1"/>
        <v>1596</v>
      </c>
      <c r="C1608" s="1">
        <f ca="1">IFERROR(__xludf.DUMMYFUNCTION("""COMPUTED_VALUE"""),2023)</f>
        <v>2023</v>
      </c>
      <c r="D1608" s="1">
        <f ca="1">IFERROR(__xludf.DUMMYFUNCTION("""COMPUTED_VALUE"""),11027)</f>
        <v>11027</v>
      </c>
      <c r="E1608" s="1" t="str">
        <f ca="1">IFERROR(__xludf.DUMMYFUNCTION("""COMPUTED_VALUE"""),"Mitigation and Adaptation Strategies for Global Change")</f>
        <v>Mitigation and Adaptation Strategies for Global Change</v>
      </c>
      <c r="F1608" s="1" t="str">
        <f ca="1">IFERROR(__xludf.DUMMYFUNCTION("""COMPUTED_VALUE"""),"1573-1596")</f>
        <v>1573-1596</v>
      </c>
      <c r="G1608" s="1" t="str">
        <f ca="1">IFERROR(__xludf.DUMMYFUNCTION("""COMPUTED_VALUE"""),"1381-2386")</f>
        <v>1381-2386</v>
      </c>
      <c r="H1608" s="27" t="str">
        <f ca="1">IFERROR(__xludf.DUMMYFUNCTION("""COMPUTED_VALUE"""),"https://link.springer.com/journal/11027")</f>
        <v>https://link.springer.com/journal/11027</v>
      </c>
      <c r="I1608" s="1" t="str">
        <f ca="1">IFERROR(__xludf.DUMMYFUNCTION("""COMPUTED_VALUE"""),"Springer")</f>
        <v>Springer</v>
      </c>
      <c r="J1608" s="1">
        <f ca="1">IFERROR(__xludf.DUMMYFUNCTION("""COMPUTED_VALUE"""),2000)</f>
        <v>2000</v>
      </c>
      <c r="K1608" s="1" t="str">
        <f ca="1">IFERROR(__xludf.DUMMYFUNCTION("""COMPUTED_VALUE"""),"Earth and Environmental Science")</f>
        <v>Earth and Environmental Science</v>
      </c>
      <c r="L1608" s="1" t="str">
        <f ca="1">IFERROR(__xludf.DUMMYFUNCTION("""COMPUTED_VALUE"""),"〇")</f>
        <v>〇</v>
      </c>
      <c r="M1608" s="1" t="str">
        <f ca="1">IFERROR(__xludf.DUMMYFUNCTION("""COMPUTED_VALUE"""),"〇")</f>
        <v>〇</v>
      </c>
      <c r="N1608" s="1"/>
      <c r="O1608" s="1"/>
      <c r="P1608" s="1"/>
    </row>
    <row r="1609" spans="1:16" ht="14.25" customHeight="1" x14ac:dyDescent="0.25">
      <c r="A1609" s="1"/>
      <c r="B1609" s="1">
        <f ca="1"/>
        <v>1597</v>
      </c>
      <c r="C1609" s="1">
        <f ca="1">IFERROR(__xludf.DUMMYFUNCTION("""COMPUTED_VALUE"""),2023)</f>
        <v>2023</v>
      </c>
      <c r="D1609" s="1">
        <f ca="1">IFERROR(__xludf.DUMMYFUNCTION("""COMPUTED_VALUE"""),15006)</f>
        <v>15006</v>
      </c>
      <c r="E1609" s="1" t="str">
        <f ca="1">IFERROR(__xludf.DUMMYFUNCTION("""COMPUTED_VALUE"""),"MMW - Fortschritte der Medizin")</f>
        <v>MMW - Fortschritte der Medizin</v>
      </c>
      <c r="F1609" s="1" t="str">
        <f ca="1">IFERROR(__xludf.DUMMYFUNCTION("""COMPUTED_VALUE"""),"1613-3560")</f>
        <v>1613-3560</v>
      </c>
      <c r="G1609" s="1" t="str">
        <f ca="1">IFERROR(__xludf.DUMMYFUNCTION("""COMPUTED_VALUE"""),"1438-3276")</f>
        <v>1438-3276</v>
      </c>
      <c r="H1609" s="27" t="str">
        <f ca="1">IFERROR(__xludf.DUMMYFUNCTION("""COMPUTED_VALUE"""),"https://link.springer.com/journal/15006")</f>
        <v>https://link.springer.com/journal/15006</v>
      </c>
      <c r="I1609" s="1" t="str">
        <f ca="1">IFERROR(__xludf.DUMMYFUNCTION("""COMPUTED_VALUE"""),"SpringerMedizin")</f>
        <v>SpringerMedizin</v>
      </c>
      <c r="J1609" s="1">
        <f ca="1">IFERROR(__xludf.DUMMYFUNCTION("""COMPUTED_VALUE"""),2006)</f>
        <v>2006</v>
      </c>
      <c r="K1609" s="1" t="str">
        <f ca="1">IFERROR(__xludf.DUMMYFUNCTION("""COMPUTED_VALUE"""),"Medicine")</f>
        <v>Medicine</v>
      </c>
      <c r="L1609" s="1" t="str">
        <f ca="1">IFERROR(__xludf.DUMMYFUNCTION("""COMPUTED_VALUE"""),"〇")</f>
        <v>〇</v>
      </c>
      <c r="M1609" s="1"/>
      <c r="N1609" s="1"/>
      <c r="O1609" s="1"/>
      <c r="P1609" s="1"/>
    </row>
    <row r="1610" spans="1:16" ht="14.25" customHeight="1" x14ac:dyDescent="0.25">
      <c r="A1610" s="1"/>
      <c r="B1610" s="1">
        <f ca="1"/>
        <v>1598</v>
      </c>
      <c r="C1610" s="1">
        <f ca="1">IFERROR(__xludf.DUMMYFUNCTION("""COMPUTED_VALUE"""),2023)</f>
        <v>2023</v>
      </c>
      <c r="D1610" s="1">
        <f ca="1">IFERROR(__xludf.DUMMYFUNCTION("""COMPUTED_VALUE"""),11036)</f>
        <v>11036</v>
      </c>
      <c r="E1610" s="1" t="str">
        <f ca="1">IFERROR(__xludf.DUMMYFUNCTION("""COMPUTED_VALUE"""),"Mobile Networks and Applications")</f>
        <v>Mobile Networks and Applications</v>
      </c>
      <c r="F1610" s="1" t="str">
        <f ca="1">IFERROR(__xludf.DUMMYFUNCTION("""COMPUTED_VALUE"""),"1572-8153")</f>
        <v>1572-8153</v>
      </c>
      <c r="G1610" s="1" t="str">
        <f ca="1">IFERROR(__xludf.DUMMYFUNCTION("""COMPUTED_VALUE"""),"1383-469X")</f>
        <v>1383-469X</v>
      </c>
      <c r="H1610" s="27" t="str">
        <f ca="1">IFERROR(__xludf.DUMMYFUNCTION("""COMPUTED_VALUE"""),"https://link.springer.com/journal/11036")</f>
        <v>https://link.springer.com/journal/11036</v>
      </c>
      <c r="I1610" s="1" t="str">
        <f ca="1">IFERROR(__xludf.DUMMYFUNCTION("""COMPUTED_VALUE"""),"Springer")</f>
        <v>Springer</v>
      </c>
      <c r="J1610" s="1">
        <f ca="1">IFERROR(__xludf.DUMMYFUNCTION("""COMPUTED_VALUE"""),2000)</f>
        <v>2000</v>
      </c>
      <c r="K1610" s="1" t="str">
        <f ca="1">IFERROR(__xludf.DUMMYFUNCTION("""COMPUTED_VALUE"""),"Engineering")</f>
        <v>Engineering</v>
      </c>
      <c r="L1610" s="1" t="str">
        <f ca="1">IFERROR(__xludf.DUMMYFUNCTION("""COMPUTED_VALUE"""),"〇")</f>
        <v>〇</v>
      </c>
      <c r="M1610" s="1" t="str">
        <f ca="1">IFERROR(__xludf.DUMMYFUNCTION("""COMPUTED_VALUE"""),"〇")</f>
        <v>〇</v>
      </c>
      <c r="N1610" s="1"/>
      <c r="O1610" s="1"/>
      <c r="P1610" s="1"/>
    </row>
    <row r="1611" spans="1:16" ht="14.25" customHeight="1" x14ac:dyDescent="0.25">
      <c r="A1611" s="1"/>
      <c r="B1611" s="1">
        <f ca="1"/>
        <v>1599</v>
      </c>
      <c r="C1611" s="1">
        <f ca="1">IFERROR(__xludf.DUMMYFUNCTION("""COMPUTED_VALUE"""),2023)</f>
        <v>2023</v>
      </c>
      <c r="D1611" s="1">
        <f ca="1">IFERROR(__xludf.DUMMYFUNCTION("""COMPUTED_VALUE"""),40808)</f>
        <v>40808</v>
      </c>
      <c r="E1611" s="1" t="str">
        <f ca="1">IFERROR(__xludf.DUMMYFUNCTION("""COMPUTED_VALUE"""),"Modeling Earth Systems and Environment")</f>
        <v>Modeling Earth Systems and Environment</v>
      </c>
      <c r="F1611" s="1" t="str">
        <f ca="1">IFERROR(__xludf.DUMMYFUNCTION("""COMPUTED_VALUE"""),"2363-6211")</f>
        <v>2363-6211</v>
      </c>
      <c r="G1611" s="1"/>
      <c r="H1611" s="27" t="str">
        <f ca="1">IFERROR(__xludf.DUMMYFUNCTION("""COMPUTED_VALUE"""),"https://link.springer.com/journal/40808")</f>
        <v>https://link.springer.com/journal/40808</v>
      </c>
      <c r="I1611" s="1" t="str">
        <f ca="1">IFERROR(__xludf.DUMMYFUNCTION("""COMPUTED_VALUE"""),"Springer")</f>
        <v>Springer</v>
      </c>
      <c r="J1611" s="1">
        <f ca="1">IFERROR(__xludf.DUMMYFUNCTION("""COMPUTED_VALUE"""),2015)</f>
        <v>2015</v>
      </c>
      <c r="K1611" s="1" t="str">
        <f ca="1">IFERROR(__xludf.DUMMYFUNCTION("""COMPUTED_VALUE"""),"Earth and Environmental Science")</f>
        <v>Earth and Environmental Science</v>
      </c>
      <c r="L1611" s="1"/>
      <c r="M1611" s="1"/>
      <c r="N1611" s="1" t="str">
        <f ca="1">IFERROR(__xludf.DUMMYFUNCTION("""COMPUTED_VALUE"""),"SNS15")</f>
        <v>SNS15</v>
      </c>
      <c r="O1611" s="1"/>
      <c r="P1611" s="1"/>
    </row>
    <row r="1612" spans="1:16" ht="14.25" customHeight="1" x14ac:dyDescent="0.25">
      <c r="A1612" s="1"/>
      <c r="B1612" s="1">
        <f ca="1"/>
        <v>1600</v>
      </c>
      <c r="C1612" s="1">
        <f ca="1">IFERROR(__xludf.DUMMYFUNCTION("""COMPUTED_VALUE"""),2023)</f>
        <v>2023</v>
      </c>
      <c r="D1612" s="1">
        <f ca="1">IFERROR(__xludf.DUMMYFUNCTION("""COMPUTED_VALUE"""),13273)</f>
        <v>13273</v>
      </c>
      <c r="E1612" s="1" t="str">
        <f ca="1">IFERROR(__xludf.DUMMYFUNCTION("""COMPUTED_VALUE"""),"Molecular &amp; Cellular Toxicology")</f>
        <v>Molecular &amp; Cellular Toxicology</v>
      </c>
      <c r="F1612" s="1" t="str">
        <f ca="1">IFERROR(__xludf.DUMMYFUNCTION("""COMPUTED_VALUE"""),"2092-8467")</f>
        <v>2092-8467</v>
      </c>
      <c r="G1612" s="1" t="str">
        <f ca="1">IFERROR(__xludf.DUMMYFUNCTION("""COMPUTED_VALUE"""),"1738-642X")</f>
        <v>1738-642X</v>
      </c>
      <c r="H1612" s="27" t="str">
        <f ca="1">IFERROR(__xludf.DUMMYFUNCTION("""COMPUTED_VALUE"""),"https://link.springer.com/journal/13273")</f>
        <v>https://link.springer.com/journal/13273</v>
      </c>
      <c r="I1612" s="1" t="str">
        <f ca="1">IFERROR(__xludf.DUMMYFUNCTION("""COMPUTED_VALUE"""),"The Korean Society of Toxicogenomics and Toxicoproteomics, co-published with Springer")</f>
        <v>The Korean Society of Toxicogenomics and Toxicoproteomics, co-published with Springer</v>
      </c>
      <c r="J1612" s="1">
        <f ca="1">IFERROR(__xludf.DUMMYFUNCTION("""COMPUTED_VALUE"""),2010)</f>
        <v>2010</v>
      </c>
      <c r="K1612" s="1" t="str">
        <f ca="1">IFERROR(__xludf.DUMMYFUNCTION("""COMPUTED_VALUE"""),"Biomedical and Life Sciences")</f>
        <v>Biomedical and Life Sciences</v>
      </c>
      <c r="L1612" s="1" t="str">
        <f ca="1">IFERROR(__xludf.DUMMYFUNCTION("""COMPUTED_VALUE"""),"〇")</f>
        <v>〇</v>
      </c>
      <c r="M1612" s="1"/>
      <c r="N1612" s="1" t="str">
        <f ca="1">IFERROR(__xludf.DUMMYFUNCTION("""COMPUTED_VALUE"""),"TO10")</f>
        <v>TO10</v>
      </c>
      <c r="O1612" s="1"/>
      <c r="P1612" s="1"/>
    </row>
    <row r="1613" spans="1:16" ht="14.25" customHeight="1" x14ac:dyDescent="0.25">
      <c r="A1613" s="1"/>
      <c r="B1613" s="1">
        <f ca="1"/>
        <v>1601</v>
      </c>
      <c r="C1613" s="1">
        <f ca="1">IFERROR(__xludf.DUMMYFUNCTION("""COMPUTED_VALUE"""),2023)</f>
        <v>2023</v>
      </c>
      <c r="D1613" s="1">
        <f ca="1">IFERROR(__xludf.DUMMYFUNCTION("""COMPUTED_VALUE"""),11010)</f>
        <v>11010</v>
      </c>
      <c r="E1613" s="1" t="str">
        <f ca="1">IFERROR(__xludf.DUMMYFUNCTION("""COMPUTED_VALUE"""),"Molecular and Cellular Biochemistry")</f>
        <v>Molecular and Cellular Biochemistry</v>
      </c>
      <c r="F1613" s="1" t="str">
        <f ca="1">IFERROR(__xludf.DUMMYFUNCTION("""COMPUTED_VALUE"""),"1573-4919")</f>
        <v>1573-4919</v>
      </c>
      <c r="G1613" s="1" t="str">
        <f ca="1">IFERROR(__xludf.DUMMYFUNCTION("""COMPUTED_VALUE"""),"0300-8177")</f>
        <v>0300-8177</v>
      </c>
      <c r="H1613" s="27" t="str">
        <f ca="1">IFERROR(__xludf.DUMMYFUNCTION("""COMPUTED_VALUE"""),"https://link.springer.com/journal/11010")</f>
        <v>https://link.springer.com/journal/11010</v>
      </c>
      <c r="I1613" s="1" t="str">
        <f ca="1">IFERROR(__xludf.DUMMYFUNCTION("""COMPUTED_VALUE"""),"Springer")</f>
        <v>Springer</v>
      </c>
      <c r="J1613" s="1">
        <f ca="1">IFERROR(__xludf.DUMMYFUNCTION("""COMPUTED_VALUE"""),2000)</f>
        <v>2000</v>
      </c>
      <c r="K1613" s="1" t="str">
        <f ca="1">IFERROR(__xludf.DUMMYFUNCTION("""COMPUTED_VALUE"""),"Biomedical and Life Sciences")</f>
        <v>Biomedical and Life Sciences</v>
      </c>
      <c r="L1613" s="1" t="str">
        <f ca="1">IFERROR(__xludf.DUMMYFUNCTION("""COMPUTED_VALUE"""),"〇")</f>
        <v>〇</v>
      </c>
      <c r="M1613" s="1" t="str">
        <f ca="1">IFERROR(__xludf.DUMMYFUNCTION("""COMPUTED_VALUE"""),"〇")</f>
        <v>〇</v>
      </c>
      <c r="N1613" s="1"/>
      <c r="O1613" s="1"/>
      <c r="P1613" s="1"/>
    </row>
    <row r="1614" spans="1:16" ht="14.25" customHeight="1" x14ac:dyDescent="0.25">
      <c r="A1614" s="1"/>
      <c r="B1614" s="1">
        <f ca="1"/>
        <v>1602</v>
      </c>
      <c r="C1614" s="1">
        <f ca="1">IFERROR(__xludf.DUMMYFUNCTION("""COMPUTED_VALUE"""),2023)</f>
        <v>2023</v>
      </c>
      <c r="D1614" s="1">
        <f ca="1">IFERROR(__xludf.DUMMYFUNCTION("""COMPUTED_VALUE"""),11008)</f>
        <v>11008</v>
      </c>
      <c r="E1614" s="1" t="str">
        <f ca="1">IFERROR(__xludf.DUMMYFUNCTION("""COMPUTED_VALUE"""),"Molecular Biology")</f>
        <v>Molecular Biology</v>
      </c>
      <c r="F1614" s="1" t="str">
        <f ca="1">IFERROR(__xludf.DUMMYFUNCTION("""COMPUTED_VALUE"""),"1608-3245")</f>
        <v>1608-3245</v>
      </c>
      <c r="G1614" s="1" t="str">
        <f ca="1">IFERROR(__xludf.DUMMYFUNCTION("""COMPUTED_VALUE"""),"0026-8933")</f>
        <v>0026-8933</v>
      </c>
      <c r="H1614" s="27" t="str">
        <f ca="1">IFERROR(__xludf.DUMMYFUNCTION("""COMPUTED_VALUE"""),"https://link.springer.com/journal/11008")</f>
        <v>https://link.springer.com/journal/11008</v>
      </c>
      <c r="I1614" s="1" t="str">
        <f ca="1">IFERROR(__xludf.DUMMYFUNCTION("""COMPUTED_VALUE"""),"Pleiades Publishing")</f>
        <v>Pleiades Publishing</v>
      </c>
      <c r="J1614" s="1">
        <f ca="1">IFERROR(__xludf.DUMMYFUNCTION("""COMPUTED_VALUE"""),2000)</f>
        <v>2000</v>
      </c>
      <c r="K1614" s="1" t="str">
        <f ca="1">IFERROR(__xludf.DUMMYFUNCTION("""COMPUTED_VALUE"""),"Biomedical and Life Sciences")</f>
        <v>Biomedical and Life Sciences</v>
      </c>
      <c r="L1614" s="1" t="str">
        <f ca="1">IFERROR(__xludf.DUMMYFUNCTION("""COMPUTED_VALUE"""),"〇")</f>
        <v>〇</v>
      </c>
      <c r="M1614" s="1" t="str">
        <f ca="1">IFERROR(__xludf.DUMMYFUNCTION("""COMPUTED_VALUE"""),"〇")</f>
        <v>〇</v>
      </c>
      <c r="N1614" s="1"/>
      <c r="O1614" s="1"/>
      <c r="P1614" s="1"/>
    </row>
    <row r="1615" spans="1:16" ht="14.25" customHeight="1" x14ac:dyDescent="0.25">
      <c r="A1615" s="1"/>
      <c r="B1615" s="1">
        <f ca="1"/>
        <v>1603</v>
      </c>
      <c r="C1615" s="1">
        <f ca="1">IFERROR(__xludf.DUMMYFUNCTION("""COMPUTED_VALUE"""),2023)</f>
        <v>2023</v>
      </c>
      <c r="D1615" s="1">
        <f ca="1">IFERROR(__xludf.DUMMYFUNCTION("""COMPUTED_VALUE"""),11033)</f>
        <v>11033</v>
      </c>
      <c r="E1615" s="1" t="str">
        <f ca="1">IFERROR(__xludf.DUMMYFUNCTION("""COMPUTED_VALUE"""),"Molecular Biology Reports")</f>
        <v>Molecular Biology Reports</v>
      </c>
      <c r="F1615" s="1" t="str">
        <f ca="1">IFERROR(__xludf.DUMMYFUNCTION("""COMPUTED_VALUE"""),"1573-4978")</f>
        <v>1573-4978</v>
      </c>
      <c r="G1615" s="1"/>
      <c r="H1615" s="27" t="str">
        <f ca="1">IFERROR(__xludf.DUMMYFUNCTION("""COMPUTED_VALUE"""),"https://link.springer.com/journal/11033")</f>
        <v>https://link.springer.com/journal/11033</v>
      </c>
      <c r="I1615" s="1" t="str">
        <f ca="1">IFERROR(__xludf.DUMMYFUNCTION("""COMPUTED_VALUE"""),"Springer Nature")</f>
        <v>Springer Nature</v>
      </c>
      <c r="J1615" s="1">
        <f ca="1">IFERROR(__xludf.DUMMYFUNCTION("""COMPUTED_VALUE"""),2000)</f>
        <v>2000</v>
      </c>
      <c r="K1615" s="1" t="str">
        <f ca="1">IFERROR(__xludf.DUMMYFUNCTION("""COMPUTED_VALUE"""),"Biomedical and Life Sciences")</f>
        <v>Biomedical and Life Sciences</v>
      </c>
      <c r="L1615" s="1"/>
      <c r="M1615" s="1" t="str">
        <f ca="1">IFERROR(__xludf.DUMMYFUNCTION("""COMPUTED_VALUE"""),"〇")</f>
        <v>〇</v>
      </c>
      <c r="N1615" s="1"/>
      <c r="O1615" s="1"/>
      <c r="P1615" s="1"/>
    </row>
    <row r="1616" spans="1:16" ht="14.25" customHeight="1" x14ac:dyDescent="0.25">
      <c r="A1616" s="1"/>
      <c r="B1616" s="1">
        <f ca="1"/>
        <v>1604</v>
      </c>
      <c r="C1616" s="1">
        <f ca="1">IFERROR(__xludf.DUMMYFUNCTION("""COMPUTED_VALUE"""),2023)</f>
        <v>2023</v>
      </c>
      <c r="D1616" s="1">
        <f ca="1">IFERROR(__xludf.DUMMYFUNCTION("""COMPUTED_VALUE"""),12033)</f>
        <v>12033</v>
      </c>
      <c r="E1616" s="1" t="str">
        <f ca="1">IFERROR(__xludf.DUMMYFUNCTION("""COMPUTED_VALUE"""),"Molecular Biotechnology")</f>
        <v>Molecular Biotechnology</v>
      </c>
      <c r="F1616" s="1" t="str">
        <f ca="1">IFERROR(__xludf.DUMMYFUNCTION("""COMPUTED_VALUE"""),"1559-0305")</f>
        <v>1559-0305</v>
      </c>
      <c r="G1616" s="1"/>
      <c r="H1616" s="27" t="str">
        <f ca="1">IFERROR(__xludf.DUMMYFUNCTION("""COMPUTED_VALUE"""),"https://link.springer.com/journal/12033")</f>
        <v>https://link.springer.com/journal/12033</v>
      </c>
      <c r="I1616" s="1" t="str">
        <f ca="1">IFERROR(__xludf.DUMMYFUNCTION("""COMPUTED_VALUE"""),"Springer")</f>
        <v>Springer</v>
      </c>
      <c r="J1616" s="1">
        <f ca="1">IFERROR(__xludf.DUMMYFUNCTION("""COMPUTED_VALUE"""),2000)</f>
        <v>2000</v>
      </c>
      <c r="K1616" s="1" t="str">
        <f ca="1">IFERROR(__xludf.DUMMYFUNCTION("""COMPUTED_VALUE"""),"Chemistry and Materials Science")</f>
        <v>Chemistry and Materials Science</v>
      </c>
      <c r="L1616" s="1"/>
      <c r="M1616" s="1" t="str">
        <f ca="1">IFERROR(__xludf.DUMMYFUNCTION("""COMPUTED_VALUE"""),"〇")</f>
        <v>〇</v>
      </c>
      <c r="N1616" s="1" t="str">
        <f ca="1">IFERROR(__xludf.DUMMYFUNCTION("""COMPUTED_VALUE"""),"TO7")</f>
        <v>TO7</v>
      </c>
      <c r="O1616" s="1"/>
      <c r="P1616" s="1"/>
    </row>
    <row r="1617" spans="1:16" ht="14.25" customHeight="1" x14ac:dyDescent="0.25">
      <c r="A1617" s="1"/>
      <c r="B1617" s="1">
        <f ca="1"/>
        <v>1605</v>
      </c>
      <c r="C1617" s="1">
        <f ca="1">IFERROR(__xludf.DUMMYFUNCTION("""COMPUTED_VALUE"""),2023)</f>
        <v>2023</v>
      </c>
      <c r="D1617" s="1">
        <f ca="1">IFERROR(__xludf.DUMMYFUNCTION("""COMPUTED_VALUE"""),11032)</f>
        <v>11032</v>
      </c>
      <c r="E1617" s="1" t="str">
        <f ca="1">IFERROR(__xludf.DUMMYFUNCTION("""COMPUTED_VALUE"""),"Molecular Breeding")</f>
        <v>Molecular Breeding</v>
      </c>
      <c r="F1617" s="1" t="str">
        <f ca="1">IFERROR(__xludf.DUMMYFUNCTION("""COMPUTED_VALUE"""),"1572-9788")</f>
        <v>1572-9788</v>
      </c>
      <c r="G1617" s="1" t="str">
        <f ca="1">IFERROR(__xludf.DUMMYFUNCTION("""COMPUTED_VALUE"""),"1380-3743")</f>
        <v>1380-3743</v>
      </c>
      <c r="H1617" s="27" t="str">
        <f ca="1">IFERROR(__xludf.DUMMYFUNCTION("""COMPUTED_VALUE"""),"https://link.springer.com/journal/11032")</f>
        <v>https://link.springer.com/journal/11032</v>
      </c>
      <c r="I1617" s="1" t="str">
        <f ca="1">IFERROR(__xludf.DUMMYFUNCTION("""COMPUTED_VALUE"""),"Springer")</f>
        <v>Springer</v>
      </c>
      <c r="J1617" s="1">
        <f ca="1">IFERROR(__xludf.DUMMYFUNCTION("""COMPUTED_VALUE"""),2000)</f>
        <v>2000</v>
      </c>
      <c r="K1617" s="1" t="str">
        <f ca="1">IFERROR(__xludf.DUMMYFUNCTION("""COMPUTED_VALUE"""),"Biomedical and Life Sciences")</f>
        <v>Biomedical and Life Sciences</v>
      </c>
      <c r="L1617" s="1" t="str">
        <f ca="1">IFERROR(__xludf.DUMMYFUNCTION("""COMPUTED_VALUE"""),"〇")</f>
        <v>〇</v>
      </c>
      <c r="M1617" s="1" t="str">
        <f ca="1">IFERROR(__xludf.DUMMYFUNCTION("""COMPUTED_VALUE"""),"〇")</f>
        <v>〇</v>
      </c>
      <c r="N1617" s="1"/>
      <c r="O1617" s="1"/>
      <c r="P1617" s="1"/>
    </row>
    <row r="1618" spans="1:16" ht="14.25" customHeight="1" x14ac:dyDescent="0.25">
      <c r="A1618" s="1"/>
      <c r="B1618" s="1">
        <f ca="1"/>
        <v>1606</v>
      </c>
      <c r="C1618" s="1">
        <f ca="1">IFERROR(__xludf.DUMMYFUNCTION("""COMPUTED_VALUE"""),2023)</f>
        <v>2023</v>
      </c>
      <c r="D1618" s="1">
        <f ca="1">IFERROR(__xludf.DUMMYFUNCTION("""COMPUTED_VALUE"""),11030)</f>
        <v>11030</v>
      </c>
      <c r="E1618" s="1" t="str">
        <f ca="1">IFERROR(__xludf.DUMMYFUNCTION("""COMPUTED_VALUE"""),"Molecular Diversity")</f>
        <v>Molecular Diversity</v>
      </c>
      <c r="F1618" s="1" t="str">
        <f ca="1">IFERROR(__xludf.DUMMYFUNCTION("""COMPUTED_VALUE"""),"1573-501X")</f>
        <v>1573-501X</v>
      </c>
      <c r="G1618" s="1"/>
      <c r="H1618" s="27" t="str">
        <f ca="1">IFERROR(__xludf.DUMMYFUNCTION("""COMPUTED_VALUE"""),"https://link.springer.com/journal/11030")</f>
        <v>https://link.springer.com/journal/11030</v>
      </c>
      <c r="I1618" s="1" t="str">
        <f ca="1">IFERROR(__xludf.DUMMYFUNCTION("""COMPUTED_VALUE"""),"Springer")</f>
        <v>Springer</v>
      </c>
      <c r="J1618" s="1">
        <f ca="1">IFERROR(__xludf.DUMMYFUNCTION("""COMPUTED_VALUE"""),2000)</f>
        <v>2000</v>
      </c>
      <c r="K1618" s="1" t="str">
        <f ca="1">IFERROR(__xludf.DUMMYFUNCTION("""COMPUTED_VALUE"""),"Biomedical and Life Sciences")</f>
        <v>Biomedical and Life Sciences</v>
      </c>
      <c r="L1618" s="1"/>
      <c r="M1618" s="1" t="str">
        <f ca="1">IFERROR(__xludf.DUMMYFUNCTION("""COMPUTED_VALUE"""),"〇")</f>
        <v>〇</v>
      </c>
      <c r="N1618" s="1"/>
      <c r="O1618" s="1"/>
      <c r="P1618" s="1"/>
    </row>
    <row r="1619" spans="1:16" ht="14.25" customHeight="1" x14ac:dyDescent="0.25">
      <c r="A1619" s="1"/>
      <c r="B1619" s="1">
        <f ca="1"/>
        <v>1607</v>
      </c>
      <c r="C1619" s="1">
        <f ca="1">IFERROR(__xludf.DUMMYFUNCTION("""COMPUTED_VALUE"""),2023)</f>
        <v>2023</v>
      </c>
      <c r="D1619" s="1">
        <f ca="1">IFERROR(__xludf.DUMMYFUNCTION("""COMPUTED_VALUE"""),438)</f>
        <v>438</v>
      </c>
      <c r="E1619" s="1" t="str">
        <f ca="1">IFERROR(__xludf.DUMMYFUNCTION("""COMPUTED_VALUE"""),"Molecular Genetics and Genomics")</f>
        <v>Molecular Genetics and Genomics</v>
      </c>
      <c r="F1619" s="1" t="str">
        <f ca="1">IFERROR(__xludf.DUMMYFUNCTION("""COMPUTED_VALUE"""),"1617-4623")</f>
        <v>1617-4623</v>
      </c>
      <c r="G1619" s="1" t="str">
        <f ca="1">IFERROR(__xludf.DUMMYFUNCTION("""COMPUTED_VALUE"""),"1617-4615")</f>
        <v>1617-4615</v>
      </c>
      <c r="H1619" s="27" t="str">
        <f ca="1">IFERROR(__xludf.DUMMYFUNCTION("""COMPUTED_VALUE"""),"https://link.springer.com/journal/438")</f>
        <v>https://link.springer.com/journal/438</v>
      </c>
      <c r="I1619" s="1" t="str">
        <f ca="1">IFERROR(__xludf.DUMMYFUNCTION("""COMPUTED_VALUE"""),"Springer")</f>
        <v>Springer</v>
      </c>
      <c r="J1619" s="1">
        <f ca="1">IFERROR(__xludf.DUMMYFUNCTION("""COMPUTED_VALUE"""),2000)</f>
        <v>2000</v>
      </c>
      <c r="K1619" s="1" t="str">
        <f ca="1">IFERROR(__xludf.DUMMYFUNCTION("""COMPUTED_VALUE"""),"Biomedical and Life Sciences")</f>
        <v>Biomedical and Life Sciences</v>
      </c>
      <c r="L1619" s="1" t="str">
        <f ca="1">IFERROR(__xludf.DUMMYFUNCTION("""COMPUTED_VALUE"""),"〇")</f>
        <v>〇</v>
      </c>
      <c r="M1619" s="1" t="str">
        <f ca="1">IFERROR(__xludf.DUMMYFUNCTION("""COMPUTED_VALUE"""),"〇")</f>
        <v>〇</v>
      </c>
      <c r="N1619" s="1"/>
      <c r="O1619" s="1"/>
      <c r="P1619" s="1"/>
    </row>
    <row r="1620" spans="1:16" ht="14.25" customHeight="1" x14ac:dyDescent="0.25">
      <c r="A1620" s="1"/>
      <c r="B1620" s="1">
        <f ca="1"/>
        <v>1608</v>
      </c>
      <c r="C1620" s="1">
        <f ca="1">IFERROR(__xludf.DUMMYFUNCTION("""COMPUTED_VALUE"""),2023)</f>
        <v>2023</v>
      </c>
      <c r="D1620" s="1">
        <f ca="1">IFERROR(__xludf.DUMMYFUNCTION("""COMPUTED_VALUE"""),11965)</f>
        <v>11965</v>
      </c>
      <c r="E1620" s="1" t="str">
        <f ca="1">IFERROR(__xludf.DUMMYFUNCTION("""COMPUTED_VALUE"""),"Molecular Genetics, Microbiology and Virology")</f>
        <v>Molecular Genetics, Microbiology and Virology</v>
      </c>
      <c r="F1620" s="1" t="str">
        <f ca="1">IFERROR(__xludf.DUMMYFUNCTION("""COMPUTED_VALUE"""),"1934-841X")</f>
        <v>1934-841X</v>
      </c>
      <c r="G1620" s="1" t="str">
        <f ca="1">IFERROR(__xludf.DUMMYFUNCTION("""COMPUTED_VALUE"""),"0891-4168")</f>
        <v>0891-4168</v>
      </c>
      <c r="H1620" s="27" t="str">
        <f ca="1">IFERROR(__xludf.DUMMYFUNCTION("""COMPUTED_VALUE"""),"https://link.springer.com/journal/11965")</f>
        <v>https://link.springer.com/journal/11965</v>
      </c>
      <c r="I1620" s="1" t="str">
        <f ca="1">IFERROR(__xludf.DUMMYFUNCTION("""COMPUTED_VALUE"""),"Pleiades Publishing")</f>
        <v>Pleiades Publishing</v>
      </c>
      <c r="J1620" s="1">
        <f ca="1">IFERROR(__xludf.DUMMYFUNCTION("""COMPUTED_VALUE"""),2007)</f>
        <v>2007</v>
      </c>
      <c r="K1620" s="1" t="str">
        <f ca="1">IFERROR(__xludf.DUMMYFUNCTION("""COMPUTED_VALUE"""),"Biomedical and Life Sciences")</f>
        <v>Biomedical and Life Sciences</v>
      </c>
      <c r="L1620" s="1" t="str">
        <f ca="1">IFERROR(__xludf.DUMMYFUNCTION("""COMPUTED_VALUE"""),"〇")</f>
        <v>〇</v>
      </c>
      <c r="M1620" s="1" t="str">
        <f ca="1">IFERROR(__xludf.DUMMYFUNCTION("""COMPUTED_VALUE"""),"〇")</f>
        <v>〇</v>
      </c>
      <c r="N1620" s="1" t="str">
        <f ca="1">IFERROR(__xludf.DUMMYFUNCTION("""COMPUTED_VALUE"""),"TO7")</f>
        <v>TO7</v>
      </c>
      <c r="O1620" s="1"/>
      <c r="P1620" s="1"/>
    </row>
    <row r="1621" spans="1:16" ht="14.25" customHeight="1" x14ac:dyDescent="0.25">
      <c r="A1621" s="1"/>
      <c r="B1621" s="1">
        <f ca="1"/>
        <v>1609</v>
      </c>
      <c r="C1621" s="1">
        <f ca="1">IFERROR(__xludf.DUMMYFUNCTION("""COMPUTED_VALUE"""),2023)</f>
        <v>2023</v>
      </c>
      <c r="D1621" s="1">
        <f ca="1">IFERROR(__xludf.DUMMYFUNCTION("""COMPUTED_VALUE"""),11307)</f>
        <v>11307</v>
      </c>
      <c r="E1621" s="1" t="str">
        <f ca="1">IFERROR(__xludf.DUMMYFUNCTION("""COMPUTED_VALUE"""),"Molecular Imaging and Biology")</f>
        <v>Molecular Imaging and Biology</v>
      </c>
      <c r="F1621" s="1" t="str">
        <f ca="1">IFERROR(__xludf.DUMMYFUNCTION("""COMPUTED_VALUE"""),"1860-2002")</f>
        <v>1860-2002</v>
      </c>
      <c r="G1621" s="1" t="str">
        <f ca="1">IFERROR(__xludf.DUMMYFUNCTION("""COMPUTED_VALUE"""),"1536-1632")</f>
        <v>1536-1632</v>
      </c>
      <c r="H1621" s="27" t="str">
        <f ca="1">IFERROR(__xludf.DUMMYFUNCTION("""COMPUTED_VALUE"""),"https://link.springer.com/journal/11307")</f>
        <v>https://link.springer.com/journal/11307</v>
      </c>
      <c r="I1621" s="1" t="str">
        <f ca="1">IFERROR(__xludf.DUMMYFUNCTION("""COMPUTED_VALUE"""),"Springer")</f>
        <v>Springer</v>
      </c>
      <c r="J1621" s="1">
        <f ca="1">IFERROR(__xludf.DUMMYFUNCTION("""COMPUTED_VALUE"""),2005)</f>
        <v>2005</v>
      </c>
      <c r="K1621" s="1" t="str">
        <f ca="1">IFERROR(__xludf.DUMMYFUNCTION("""COMPUTED_VALUE"""),"Medicine")</f>
        <v>Medicine</v>
      </c>
      <c r="L1621" s="1" t="str">
        <f ca="1">IFERROR(__xludf.DUMMYFUNCTION("""COMPUTED_VALUE"""),"〇")</f>
        <v>〇</v>
      </c>
      <c r="M1621" s="1" t="str">
        <f ca="1">IFERROR(__xludf.DUMMYFUNCTION("""COMPUTED_VALUE"""),"〇")</f>
        <v>〇</v>
      </c>
      <c r="N1621" s="1"/>
      <c r="O1621" s="1"/>
      <c r="P1621" s="1"/>
    </row>
    <row r="1622" spans="1:16" ht="14.25" customHeight="1" x14ac:dyDescent="0.25">
      <c r="A1622" s="1"/>
      <c r="B1622" s="1">
        <f ca="1"/>
        <v>1610</v>
      </c>
      <c r="C1622" s="1">
        <f ca="1">IFERROR(__xludf.DUMMYFUNCTION("""COMPUTED_VALUE"""),2023)</f>
        <v>2023</v>
      </c>
      <c r="D1622" s="1">
        <f ca="1">IFERROR(__xludf.DUMMYFUNCTION("""COMPUTED_VALUE"""),12035)</f>
        <v>12035</v>
      </c>
      <c r="E1622" s="1" t="str">
        <f ca="1">IFERROR(__xludf.DUMMYFUNCTION("""COMPUTED_VALUE"""),"Molecular Neurobiology")</f>
        <v>Molecular Neurobiology</v>
      </c>
      <c r="F1622" s="1" t="str">
        <f ca="1">IFERROR(__xludf.DUMMYFUNCTION("""COMPUTED_VALUE"""),"1559-1182")</f>
        <v>1559-1182</v>
      </c>
      <c r="G1622" s="1" t="str">
        <f ca="1">IFERROR(__xludf.DUMMYFUNCTION("""COMPUTED_VALUE"""),"0893-7648")</f>
        <v>0893-7648</v>
      </c>
      <c r="H1622" s="27" t="str">
        <f ca="1">IFERROR(__xludf.DUMMYFUNCTION("""COMPUTED_VALUE"""),"https://link.springer.com/journal/12035")</f>
        <v>https://link.springer.com/journal/12035</v>
      </c>
      <c r="I1622" s="1" t="str">
        <f ca="1">IFERROR(__xludf.DUMMYFUNCTION("""COMPUTED_VALUE"""),"Springer")</f>
        <v>Springer</v>
      </c>
      <c r="J1622" s="1">
        <f ca="1">IFERROR(__xludf.DUMMYFUNCTION("""COMPUTED_VALUE"""),2000)</f>
        <v>2000</v>
      </c>
      <c r="K1622" s="1" t="str">
        <f ca="1">IFERROR(__xludf.DUMMYFUNCTION("""COMPUTED_VALUE"""),"Biomedical and Life Sciences")</f>
        <v>Biomedical and Life Sciences</v>
      </c>
      <c r="L1622" s="1" t="str">
        <f ca="1">IFERROR(__xludf.DUMMYFUNCTION("""COMPUTED_VALUE"""),"〇")</f>
        <v>〇</v>
      </c>
      <c r="M1622" s="1" t="str">
        <f ca="1">IFERROR(__xludf.DUMMYFUNCTION("""COMPUTED_VALUE"""),"〇")</f>
        <v>〇</v>
      </c>
      <c r="N1622" s="1" t="str">
        <f ca="1">IFERROR(__xludf.DUMMYFUNCTION("""COMPUTED_VALUE"""),"TO7")</f>
        <v>TO7</v>
      </c>
      <c r="O1622" s="1"/>
      <c r="P1622" s="1"/>
    </row>
    <row r="1623" spans="1:16" ht="14.25" customHeight="1" x14ac:dyDescent="0.25">
      <c r="A1623" s="1"/>
      <c r="B1623" s="1">
        <f ca="1"/>
        <v>1611</v>
      </c>
      <c r="C1623" s="1">
        <f ca="1">IFERROR(__xludf.DUMMYFUNCTION("""COMPUTED_VALUE"""),2023)</f>
        <v>2023</v>
      </c>
      <c r="D1623" s="1">
        <f ca="1">IFERROR(__xludf.DUMMYFUNCTION("""COMPUTED_VALUE"""),40592)</f>
        <v>40592</v>
      </c>
      <c r="E1623" s="1" t="str">
        <f ca="1">IFERROR(__xludf.DUMMYFUNCTION("""COMPUTED_VALUE"""),"Monash Bioethics Review")</f>
        <v>Monash Bioethics Review</v>
      </c>
      <c r="F1623" s="1" t="str">
        <f ca="1">IFERROR(__xludf.DUMMYFUNCTION("""COMPUTED_VALUE"""),"1836-6716")</f>
        <v>1836-6716</v>
      </c>
      <c r="G1623" s="1" t="str">
        <f ca="1">IFERROR(__xludf.DUMMYFUNCTION("""COMPUTED_VALUE"""),"1321-2753")</f>
        <v>1321-2753</v>
      </c>
      <c r="H1623" s="27" t="str">
        <f ca="1">IFERROR(__xludf.DUMMYFUNCTION("""COMPUTED_VALUE"""),"https://link.springer.com/journal/40592")</f>
        <v>https://link.springer.com/journal/40592</v>
      </c>
      <c r="I1623" s="1" t="str">
        <f ca="1">IFERROR(__xludf.DUMMYFUNCTION("""COMPUTED_VALUE"""),"Springer")</f>
        <v>Springer</v>
      </c>
      <c r="J1623" s="1">
        <f ca="1">IFERROR(__xludf.DUMMYFUNCTION("""COMPUTED_VALUE"""),2000)</f>
        <v>2000</v>
      </c>
      <c r="K1623" s="1" t="str">
        <f ca="1">IFERROR(__xludf.DUMMYFUNCTION("""COMPUTED_VALUE"""),"Education")</f>
        <v>Education</v>
      </c>
      <c r="L1623" s="1" t="str">
        <f ca="1">IFERROR(__xludf.DUMMYFUNCTION("""COMPUTED_VALUE"""),"〇")</f>
        <v>〇</v>
      </c>
      <c r="M1623" s="1"/>
      <c r="N1623" s="1" t="str">
        <f ca="1">IFERROR(__xludf.DUMMYFUNCTION("""COMPUTED_VALUE"""),"TO14")</f>
        <v>TO14</v>
      </c>
      <c r="O1623" s="1"/>
      <c r="P1623" s="1"/>
    </row>
    <row r="1624" spans="1:16" ht="14.25" customHeight="1" x14ac:dyDescent="0.25">
      <c r="A1624" s="1"/>
      <c r="B1624" s="1">
        <f ca="1"/>
        <v>1612</v>
      </c>
      <c r="C1624" s="1">
        <f ca="1">IFERROR(__xludf.DUMMYFUNCTION("""COMPUTED_VALUE"""),2023)</f>
        <v>2023</v>
      </c>
      <c r="D1624" s="1">
        <f ca="1">IFERROR(__xludf.DUMMYFUNCTION("""COMPUTED_VALUE"""),706)</f>
        <v>706</v>
      </c>
      <c r="E1624" s="1" t="str">
        <f ca="1">IFERROR(__xludf.DUMMYFUNCTION("""COMPUTED_VALUE"""),"Monatshefte für Chemie - Chemical Monthly")</f>
        <v>Monatshefte für Chemie - Chemical Monthly</v>
      </c>
      <c r="F1624" s="1" t="str">
        <f ca="1">IFERROR(__xludf.DUMMYFUNCTION("""COMPUTED_VALUE"""),"1434-4475")</f>
        <v>1434-4475</v>
      </c>
      <c r="G1624" s="1" t="str">
        <f ca="1">IFERROR(__xludf.DUMMYFUNCTION("""COMPUTED_VALUE"""),"0026-9247")</f>
        <v>0026-9247</v>
      </c>
      <c r="H1624" s="27" t="str">
        <f ca="1">IFERROR(__xludf.DUMMYFUNCTION("""COMPUTED_VALUE"""),"https://link.springer.com/journal/706")</f>
        <v>https://link.springer.com/journal/706</v>
      </c>
      <c r="I1624" s="1" t="str">
        <f ca="1">IFERROR(__xludf.DUMMYFUNCTION("""COMPUTED_VALUE"""),"Springer")</f>
        <v>Springer</v>
      </c>
      <c r="J1624" s="1">
        <f ca="1">IFERROR(__xludf.DUMMYFUNCTION("""COMPUTED_VALUE"""),2000)</f>
        <v>2000</v>
      </c>
      <c r="K1624" s="1" t="str">
        <f ca="1">IFERROR(__xludf.DUMMYFUNCTION("""COMPUTED_VALUE"""),"Chemistry and Materials Science")</f>
        <v>Chemistry and Materials Science</v>
      </c>
      <c r="L1624" s="1" t="str">
        <f ca="1">IFERROR(__xludf.DUMMYFUNCTION("""COMPUTED_VALUE"""),"〇")</f>
        <v>〇</v>
      </c>
      <c r="M1624" s="1" t="str">
        <f ca="1">IFERROR(__xludf.DUMMYFUNCTION("""COMPUTED_VALUE"""),"〇")</f>
        <v>〇</v>
      </c>
      <c r="N1624" s="1"/>
      <c r="O1624" s="1"/>
      <c r="P1624" s="1"/>
    </row>
    <row r="1625" spans="1:16" ht="14.25" customHeight="1" x14ac:dyDescent="0.25">
      <c r="A1625" s="1"/>
      <c r="B1625" s="1">
        <f ca="1"/>
        <v>1613</v>
      </c>
      <c r="C1625" s="1">
        <f ca="1">IFERROR(__xludf.DUMMYFUNCTION("""COMPUTED_VALUE"""),2023)</f>
        <v>2023</v>
      </c>
      <c r="D1625" s="1">
        <f ca="1">IFERROR(__xludf.DUMMYFUNCTION("""COMPUTED_VALUE"""),605)</f>
        <v>605</v>
      </c>
      <c r="E1625" s="1" t="str">
        <f ca="1">IFERROR(__xludf.DUMMYFUNCTION("""COMPUTED_VALUE"""),"Monatshefte für Mathematik")</f>
        <v>Monatshefte für Mathematik</v>
      </c>
      <c r="F1625" s="1" t="str">
        <f ca="1">IFERROR(__xludf.DUMMYFUNCTION("""COMPUTED_VALUE"""),"1436-5081")</f>
        <v>1436-5081</v>
      </c>
      <c r="G1625" s="1" t="str">
        <f ca="1">IFERROR(__xludf.DUMMYFUNCTION("""COMPUTED_VALUE"""),"0026-9255")</f>
        <v>0026-9255</v>
      </c>
      <c r="H1625" s="27" t="str">
        <f ca="1">IFERROR(__xludf.DUMMYFUNCTION("""COMPUTED_VALUE"""),"https://link.springer.com/journal/605")</f>
        <v>https://link.springer.com/journal/605</v>
      </c>
      <c r="I1625" s="1" t="str">
        <f ca="1">IFERROR(__xludf.DUMMYFUNCTION("""COMPUTED_VALUE"""),"Springer")</f>
        <v>Springer</v>
      </c>
      <c r="J1625" s="1">
        <f ca="1">IFERROR(__xludf.DUMMYFUNCTION("""COMPUTED_VALUE"""),2000)</f>
        <v>2000</v>
      </c>
      <c r="K1625" s="1" t="str">
        <f ca="1">IFERROR(__xludf.DUMMYFUNCTION("""COMPUTED_VALUE"""),"Mathematics and Statistics")</f>
        <v>Mathematics and Statistics</v>
      </c>
      <c r="L1625" s="1" t="str">
        <f ca="1">IFERROR(__xludf.DUMMYFUNCTION("""COMPUTED_VALUE"""),"〇")</f>
        <v>〇</v>
      </c>
      <c r="M1625" s="1" t="str">
        <f ca="1">IFERROR(__xludf.DUMMYFUNCTION("""COMPUTED_VALUE"""),"〇")</f>
        <v>〇</v>
      </c>
      <c r="N1625" s="1"/>
      <c r="O1625" s="1"/>
      <c r="P1625" s="1"/>
    </row>
    <row r="1626" spans="1:16" ht="14.25" customHeight="1" x14ac:dyDescent="0.25">
      <c r="A1626" s="1"/>
      <c r="B1626" s="1">
        <f ca="1"/>
        <v>1614</v>
      </c>
      <c r="C1626" s="1">
        <f ca="1">IFERROR(__xludf.DUMMYFUNCTION("""COMPUTED_VALUE"""),2023)</f>
        <v>2023</v>
      </c>
      <c r="D1626" s="1">
        <f ca="1">IFERROR(__xludf.DUMMYFUNCTION("""COMPUTED_VALUE"""),112)</f>
        <v>112</v>
      </c>
      <c r="E1626" s="1" t="str">
        <f ca="1">IFERROR(__xludf.DUMMYFUNCTION("""COMPUTED_VALUE"""),"Monatsschrift Kinderheilkunde")</f>
        <v>Monatsschrift Kinderheilkunde</v>
      </c>
      <c r="F1626" s="1" t="str">
        <f ca="1">IFERROR(__xludf.DUMMYFUNCTION("""COMPUTED_VALUE"""),"1433-0474")</f>
        <v>1433-0474</v>
      </c>
      <c r="G1626" s="1" t="str">
        <f ca="1">IFERROR(__xludf.DUMMYFUNCTION("""COMPUTED_VALUE"""),"0026-9298")</f>
        <v>0026-9298</v>
      </c>
      <c r="H1626" s="27" t="str">
        <f ca="1">IFERROR(__xludf.DUMMYFUNCTION("""COMPUTED_VALUE"""),"https://link.springer.com/journal/112")</f>
        <v>https://link.springer.com/journal/112</v>
      </c>
      <c r="I1626" s="1" t="str">
        <f ca="1">IFERROR(__xludf.DUMMYFUNCTION("""COMPUTED_VALUE"""),"SpringerMedizin")</f>
        <v>SpringerMedizin</v>
      </c>
      <c r="J1626" s="1">
        <f ca="1">IFERROR(__xludf.DUMMYFUNCTION("""COMPUTED_VALUE"""),2000)</f>
        <v>2000</v>
      </c>
      <c r="K1626" s="1" t="str">
        <f ca="1">IFERROR(__xludf.DUMMYFUNCTION("""COMPUTED_VALUE"""),"Medicine")</f>
        <v>Medicine</v>
      </c>
      <c r="L1626" s="1" t="str">
        <f ca="1">IFERROR(__xludf.DUMMYFUNCTION("""COMPUTED_VALUE"""),"〇")</f>
        <v>〇</v>
      </c>
      <c r="M1626" s="1" t="str">
        <f ca="1">IFERROR(__xludf.DUMMYFUNCTION("""COMPUTED_VALUE"""),"〇")</f>
        <v>〇</v>
      </c>
      <c r="N1626" s="1"/>
      <c r="O1626" s="1"/>
      <c r="P1626" s="1"/>
    </row>
    <row r="1627" spans="1:16" ht="14.25" customHeight="1" x14ac:dyDescent="0.25">
      <c r="A1627" s="1"/>
      <c r="B1627" s="1">
        <f ca="1"/>
        <v>1615</v>
      </c>
      <c r="C1627" s="1">
        <f ca="1">IFERROR(__xludf.DUMMYFUNCTION("""COMPUTED_VALUE"""),2023)</f>
        <v>2023</v>
      </c>
      <c r="D1627" s="1">
        <f ca="1">IFERROR(__xludf.DUMMYFUNCTION("""COMPUTED_VALUE"""),11525)</f>
        <v>11525</v>
      </c>
      <c r="E1627" s="1" t="str">
        <f ca="1">IFERROR(__xludf.DUMMYFUNCTION("""COMPUTED_VALUE"""),"Morphology")</f>
        <v>Morphology</v>
      </c>
      <c r="F1627" s="1" t="str">
        <f ca="1">IFERROR(__xludf.DUMMYFUNCTION("""COMPUTED_VALUE"""),"1871-5656")</f>
        <v>1871-5656</v>
      </c>
      <c r="G1627" s="1" t="str">
        <f ca="1">IFERROR(__xludf.DUMMYFUNCTION("""COMPUTED_VALUE"""),"1871-5621")</f>
        <v>1871-5621</v>
      </c>
      <c r="H1627" s="27" t="str">
        <f ca="1">IFERROR(__xludf.DUMMYFUNCTION("""COMPUTED_VALUE"""),"https://link.springer.com/journal/11525")</f>
        <v>https://link.springer.com/journal/11525</v>
      </c>
      <c r="I1627" s="1" t="str">
        <f ca="1">IFERROR(__xludf.DUMMYFUNCTION("""COMPUTED_VALUE"""),"Springer")</f>
        <v>Springer</v>
      </c>
      <c r="J1627" s="1">
        <f ca="1">IFERROR(__xludf.DUMMYFUNCTION("""COMPUTED_VALUE"""),2006)</f>
        <v>2006</v>
      </c>
      <c r="K1627" s="1" t="str">
        <f ca="1">IFERROR(__xludf.DUMMYFUNCTION("""COMPUTED_VALUE"""),"Social Sciences")</f>
        <v>Social Sciences</v>
      </c>
      <c r="L1627" s="1" t="str">
        <f ca="1">IFERROR(__xludf.DUMMYFUNCTION("""COMPUTED_VALUE"""),"〇")</f>
        <v>〇</v>
      </c>
      <c r="M1627" s="1" t="str">
        <f ca="1">IFERROR(__xludf.DUMMYFUNCTION("""COMPUTED_VALUE"""),"〇")</f>
        <v>〇</v>
      </c>
      <c r="N1627" s="1"/>
      <c r="O1627" s="1"/>
      <c r="P1627" s="1"/>
    </row>
    <row r="1628" spans="1:16" ht="14.25" customHeight="1" x14ac:dyDescent="0.25">
      <c r="A1628" s="1"/>
      <c r="B1628" s="1">
        <f ca="1"/>
        <v>1616</v>
      </c>
      <c r="C1628" s="1">
        <f ca="1">IFERROR(__xludf.DUMMYFUNCTION("""COMPUTED_VALUE"""),2023)</f>
        <v>2023</v>
      </c>
      <c r="D1628" s="1">
        <f ca="1">IFERROR(__xludf.DUMMYFUNCTION("""COMPUTED_VALUE"""),11966)</f>
        <v>11966</v>
      </c>
      <c r="E1628" s="1" t="str">
        <f ca="1">IFERROR(__xludf.DUMMYFUNCTION("""COMPUTED_VALUE"""),"Moscow University Biological Sciences Bulletin")</f>
        <v>Moscow University Biological Sciences Bulletin</v>
      </c>
      <c r="F1628" s="1" t="str">
        <f ca="1">IFERROR(__xludf.DUMMYFUNCTION("""COMPUTED_VALUE"""),"1934-791X")</f>
        <v>1934-791X</v>
      </c>
      <c r="G1628" s="1" t="str">
        <f ca="1">IFERROR(__xludf.DUMMYFUNCTION("""COMPUTED_VALUE"""),"0096-3925")</f>
        <v>0096-3925</v>
      </c>
      <c r="H1628" s="27" t="str">
        <f ca="1">IFERROR(__xludf.DUMMYFUNCTION("""COMPUTED_VALUE"""),"https://link.springer.com/journal/11966")</f>
        <v>https://link.springer.com/journal/11966</v>
      </c>
      <c r="I1628" s="1" t="str">
        <f ca="1">IFERROR(__xludf.DUMMYFUNCTION("""COMPUTED_VALUE"""),"Pleiades Publishing")</f>
        <v>Pleiades Publishing</v>
      </c>
      <c r="J1628" s="1">
        <f ca="1">IFERROR(__xludf.DUMMYFUNCTION("""COMPUTED_VALUE"""),2007)</f>
        <v>2007</v>
      </c>
      <c r="K1628" s="1" t="str">
        <f ca="1">IFERROR(__xludf.DUMMYFUNCTION("""COMPUTED_VALUE"""),"Biomedical and Life Sciences")</f>
        <v>Biomedical and Life Sciences</v>
      </c>
      <c r="L1628" s="1" t="str">
        <f ca="1">IFERROR(__xludf.DUMMYFUNCTION("""COMPUTED_VALUE"""),"〇")</f>
        <v>〇</v>
      </c>
      <c r="M1628" s="1" t="str">
        <f ca="1">IFERROR(__xludf.DUMMYFUNCTION("""COMPUTED_VALUE"""),"〇")</f>
        <v>〇</v>
      </c>
      <c r="N1628" s="1" t="str">
        <f ca="1">IFERROR(__xludf.DUMMYFUNCTION("""COMPUTED_VALUE"""),"TO7")</f>
        <v>TO7</v>
      </c>
      <c r="O1628" s="1"/>
      <c r="P1628" s="1"/>
    </row>
    <row r="1629" spans="1:16" ht="14.25" customHeight="1" x14ac:dyDescent="0.25">
      <c r="A1629" s="1"/>
      <c r="B1629" s="1">
        <f ca="1"/>
        <v>1617</v>
      </c>
      <c r="C1629" s="1">
        <f ca="1">IFERROR(__xludf.DUMMYFUNCTION("""COMPUTED_VALUE"""),2023)</f>
        <v>2023</v>
      </c>
      <c r="D1629" s="1">
        <f ca="1">IFERROR(__xludf.DUMMYFUNCTION("""COMPUTED_VALUE"""),11967)</f>
        <v>11967</v>
      </c>
      <c r="E1629" s="1" t="str">
        <f ca="1">IFERROR(__xludf.DUMMYFUNCTION("""COMPUTED_VALUE"""),"Moscow University Chemistry Bulletin")</f>
        <v>Moscow University Chemistry Bulletin</v>
      </c>
      <c r="F1629" s="1" t="str">
        <f ca="1">IFERROR(__xludf.DUMMYFUNCTION("""COMPUTED_VALUE"""),"1935-0260")</f>
        <v>1935-0260</v>
      </c>
      <c r="G1629" s="1" t="str">
        <f ca="1">IFERROR(__xludf.DUMMYFUNCTION("""COMPUTED_VALUE"""),"0027-1314")</f>
        <v>0027-1314</v>
      </c>
      <c r="H1629" s="27" t="str">
        <f ca="1">IFERROR(__xludf.DUMMYFUNCTION("""COMPUTED_VALUE"""),"https://link.springer.com/journal/11967")</f>
        <v>https://link.springer.com/journal/11967</v>
      </c>
      <c r="I1629" s="1" t="str">
        <f ca="1">IFERROR(__xludf.DUMMYFUNCTION("""COMPUTED_VALUE"""),"Pleiades Publishing")</f>
        <v>Pleiades Publishing</v>
      </c>
      <c r="J1629" s="1">
        <f ca="1">IFERROR(__xludf.DUMMYFUNCTION("""COMPUTED_VALUE"""),2007)</f>
        <v>2007</v>
      </c>
      <c r="K1629" s="1" t="str">
        <f ca="1">IFERROR(__xludf.DUMMYFUNCTION("""COMPUTED_VALUE"""),"Chemistry and Materials Science")</f>
        <v>Chemistry and Materials Science</v>
      </c>
      <c r="L1629" s="1" t="str">
        <f ca="1">IFERROR(__xludf.DUMMYFUNCTION("""COMPUTED_VALUE"""),"〇")</f>
        <v>〇</v>
      </c>
      <c r="M1629" s="1" t="str">
        <f ca="1">IFERROR(__xludf.DUMMYFUNCTION("""COMPUTED_VALUE"""),"〇")</f>
        <v>〇</v>
      </c>
      <c r="N1629" s="1" t="str">
        <f ca="1">IFERROR(__xludf.DUMMYFUNCTION("""COMPUTED_VALUE"""),"TO7")</f>
        <v>TO7</v>
      </c>
      <c r="O1629" s="1"/>
      <c r="P1629" s="1"/>
    </row>
    <row r="1630" spans="1:16" ht="14.25" customHeight="1" x14ac:dyDescent="0.25">
      <c r="A1630" s="1"/>
      <c r="B1630" s="1">
        <f ca="1"/>
        <v>1618</v>
      </c>
      <c r="C1630" s="1">
        <f ca="1">IFERROR(__xludf.DUMMYFUNCTION("""COMPUTED_VALUE"""),2023)</f>
        <v>2023</v>
      </c>
      <c r="D1630" s="1">
        <f ca="1">IFERROR(__xludf.DUMMYFUNCTION("""COMPUTED_VALUE"""),11968)</f>
        <v>11968</v>
      </c>
      <c r="E1630" s="1" t="str">
        <f ca="1">IFERROR(__xludf.DUMMYFUNCTION("""COMPUTED_VALUE"""),"Moscow University Computational Mathematics and Cybernetics")</f>
        <v>Moscow University Computational Mathematics and Cybernetics</v>
      </c>
      <c r="F1630" s="1" t="str">
        <f ca="1">IFERROR(__xludf.DUMMYFUNCTION("""COMPUTED_VALUE"""),"1934-8428")</f>
        <v>1934-8428</v>
      </c>
      <c r="G1630" s="1" t="str">
        <f ca="1">IFERROR(__xludf.DUMMYFUNCTION("""COMPUTED_VALUE"""),"0278-6419")</f>
        <v>0278-6419</v>
      </c>
      <c r="H1630" s="27" t="str">
        <f ca="1">IFERROR(__xludf.DUMMYFUNCTION("""COMPUTED_VALUE"""),"https://link.springer.com/journal/11968")</f>
        <v>https://link.springer.com/journal/11968</v>
      </c>
      <c r="I1630" s="1" t="str">
        <f ca="1">IFERROR(__xludf.DUMMYFUNCTION("""COMPUTED_VALUE"""),"Pleiades Publishing")</f>
        <v>Pleiades Publishing</v>
      </c>
      <c r="J1630" s="1">
        <f ca="1">IFERROR(__xludf.DUMMYFUNCTION("""COMPUTED_VALUE"""),2007)</f>
        <v>2007</v>
      </c>
      <c r="K1630" s="1" t="str">
        <f ca="1">IFERROR(__xludf.DUMMYFUNCTION("""COMPUTED_VALUE"""),"Mathematics and Statistics")</f>
        <v>Mathematics and Statistics</v>
      </c>
      <c r="L1630" s="1" t="str">
        <f ca="1">IFERROR(__xludf.DUMMYFUNCTION("""COMPUTED_VALUE"""),"〇")</f>
        <v>〇</v>
      </c>
      <c r="M1630" s="1" t="str">
        <f ca="1">IFERROR(__xludf.DUMMYFUNCTION("""COMPUTED_VALUE"""),"〇")</f>
        <v>〇</v>
      </c>
      <c r="N1630" s="1" t="str">
        <f ca="1">IFERROR(__xludf.DUMMYFUNCTION("""COMPUTED_VALUE"""),"TO7")</f>
        <v>TO7</v>
      </c>
      <c r="O1630" s="1"/>
      <c r="P1630" s="1"/>
    </row>
    <row r="1631" spans="1:16" ht="14.25" customHeight="1" x14ac:dyDescent="0.25">
      <c r="A1631" s="1"/>
      <c r="B1631" s="1">
        <f ca="1"/>
        <v>1619</v>
      </c>
      <c r="C1631" s="1">
        <f ca="1">IFERROR(__xludf.DUMMYFUNCTION("""COMPUTED_VALUE"""),2023)</f>
        <v>2023</v>
      </c>
      <c r="D1631" s="1">
        <f ca="1">IFERROR(__xludf.DUMMYFUNCTION("""COMPUTED_VALUE"""),11969)</f>
        <v>11969</v>
      </c>
      <c r="E1631" s="1" t="str">
        <f ca="1">IFERROR(__xludf.DUMMYFUNCTION("""COMPUTED_VALUE"""),"Moscow University Geology Bulletin")</f>
        <v>Moscow University Geology Bulletin</v>
      </c>
      <c r="F1631" s="1" t="str">
        <f ca="1">IFERROR(__xludf.DUMMYFUNCTION("""COMPUTED_VALUE"""),"1934-8436")</f>
        <v>1934-8436</v>
      </c>
      <c r="G1631" s="1" t="str">
        <f ca="1">IFERROR(__xludf.DUMMYFUNCTION("""COMPUTED_VALUE"""),"0145-8752")</f>
        <v>0145-8752</v>
      </c>
      <c r="H1631" s="27" t="str">
        <f ca="1">IFERROR(__xludf.DUMMYFUNCTION("""COMPUTED_VALUE"""),"https://link.springer.com/journal/11969")</f>
        <v>https://link.springer.com/journal/11969</v>
      </c>
      <c r="I1631" s="1" t="str">
        <f ca="1">IFERROR(__xludf.DUMMYFUNCTION("""COMPUTED_VALUE"""),"Pleiades Publishing")</f>
        <v>Pleiades Publishing</v>
      </c>
      <c r="J1631" s="1">
        <f ca="1">IFERROR(__xludf.DUMMYFUNCTION("""COMPUTED_VALUE"""),2007)</f>
        <v>2007</v>
      </c>
      <c r="K1631" s="1" t="str">
        <f ca="1">IFERROR(__xludf.DUMMYFUNCTION("""COMPUTED_VALUE"""),"Earth and Environmental Science")</f>
        <v>Earth and Environmental Science</v>
      </c>
      <c r="L1631" s="1" t="str">
        <f ca="1">IFERROR(__xludf.DUMMYFUNCTION("""COMPUTED_VALUE"""),"〇")</f>
        <v>〇</v>
      </c>
      <c r="M1631" s="1" t="str">
        <f ca="1">IFERROR(__xludf.DUMMYFUNCTION("""COMPUTED_VALUE"""),"〇")</f>
        <v>〇</v>
      </c>
      <c r="N1631" s="1" t="str">
        <f ca="1">IFERROR(__xludf.DUMMYFUNCTION("""COMPUTED_VALUE"""),"TO7")</f>
        <v>TO7</v>
      </c>
      <c r="O1631" s="1"/>
      <c r="P1631" s="1"/>
    </row>
    <row r="1632" spans="1:16" ht="14.25" customHeight="1" x14ac:dyDescent="0.25">
      <c r="A1632" s="1"/>
      <c r="B1632" s="1">
        <f ca="1"/>
        <v>1620</v>
      </c>
      <c r="C1632" s="1">
        <f ca="1">IFERROR(__xludf.DUMMYFUNCTION("""COMPUTED_VALUE"""),2023)</f>
        <v>2023</v>
      </c>
      <c r="D1632" s="1">
        <f ca="1">IFERROR(__xludf.DUMMYFUNCTION("""COMPUTED_VALUE"""),11970)</f>
        <v>11970</v>
      </c>
      <c r="E1632" s="1" t="str">
        <f ca="1">IFERROR(__xludf.DUMMYFUNCTION("""COMPUTED_VALUE"""),"Moscow University Mathematics Bulletin")</f>
        <v>Moscow University Mathematics Bulletin</v>
      </c>
      <c r="F1632" s="1" t="str">
        <f ca="1">IFERROR(__xludf.DUMMYFUNCTION("""COMPUTED_VALUE"""),"1934-8444")</f>
        <v>1934-8444</v>
      </c>
      <c r="G1632" s="1" t="str">
        <f ca="1">IFERROR(__xludf.DUMMYFUNCTION("""COMPUTED_VALUE"""),"0027-1322")</f>
        <v>0027-1322</v>
      </c>
      <c r="H1632" s="27" t="str">
        <f ca="1">IFERROR(__xludf.DUMMYFUNCTION("""COMPUTED_VALUE"""),"https://link.springer.com/journal/11970")</f>
        <v>https://link.springer.com/journal/11970</v>
      </c>
      <c r="I1632" s="1" t="str">
        <f ca="1">IFERROR(__xludf.DUMMYFUNCTION("""COMPUTED_VALUE"""),"Pleiades Publishing")</f>
        <v>Pleiades Publishing</v>
      </c>
      <c r="J1632" s="1">
        <f ca="1">IFERROR(__xludf.DUMMYFUNCTION("""COMPUTED_VALUE"""),2007)</f>
        <v>2007</v>
      </c>
      <c r="K1632" s="1" t="str">
        <f ca="1">IFERROR(__xludf.DUMMYFUNCTION("""COMPUTED_VALUE"""),"Mathematics and Statistics")</f>
        <v>Mathematics and Statistics</v>
      </c>
      <c r="L1632" s="1" t="str">
        <f ca="1">IFERROR(__xludf.DUMMYFUNCTION("""COMPUTED_VALUE"""),"〇")</f>
        <v>〇</v>
      </c>
      <c r="M1632" s="1" t="str">
        <f ca="1">IFERROR(__xludf.DUMMYFUNCTION("""COMPUTED_VALUE"""),"〇")</f>
        <v>〇</v>
      </c>
      <c r="N1632" s="1" t="str">
        <f ca="1">IFERROR(__xludf.DUMMYFUNCTION("""COMPUTED_VALUE"""),"TO7")</f>
        <v>TO7</v>
      </c>
      <c r="O1632" s="1"/>
      <c r="P1632" s="1"/>
    </row>
    <row r="1633" spans="1:16" ht="14.25" customHeight="1" x14ac:dyDescent="0.25">
      <c r="A1633" s="1"/>
      <c r="B1633" s="1">
        <f ca="1"/>
        <v>1621</v>
      </c>
      <c r="C1633" s="1">
        <f ca="1">IFERROR(__xludf.DUMMYFUNCTION("""COMPUTED_VALUE"""),2023)</f>
        <v>2023</v>
      </c>
      <c r="D1633" s="1">
        <f ca="1">IFERROR(__xludf.DUMMYFUNCTION("""COMPUTED_VALUE"""),11971)</f>
        <v>11971</v>
      </c>
      <c r="E1633" s="1" t="str">
        <f ca="1">IFERROR(__xludf.DUMMYFUNCTION("""COMPUTED_VALUE"""),"Moscow University Mechanics Bulletin")</f>
        <v>Moscow University Mechanics Bulletin</v>
      </c>
      <c r="F1633" s="1" t="str">
        <f ca="1">IFERROR(__xludf.DUMMYFUNCTION("""COMPUTED_VALUE"""),"1934-8452")</f>
        <v>1934-8452</v>
      </c>
      <c r="G1633" s="1" t="str">
        <f ca="1">IFERROR(__xludf.DUMMYFUNCTION("""COMPUTED_VALUE"""),"0027-1330")</f>
        <v>0027-1330</v>
      </c>
      <c r="H1633" s="27" t="str">
        <f ca="1">IFERROR(__xludf.DUMMYFUNCTION("""COMPUTED_VALUE"""),"https://link.springer.com/journal/11971")</f>
        <v>https://link.springer.com/journal/11971</v>
      </c>
      <c r="I1633" s="1" t="str">
        <f ca="1">IFERROR(__xludf.DUMMYFUNCTION("""COMPUTED_VALUE"""),"Pleiades Publishing")</f>
        <v>Pleiades Publishing</v>
      </c>
      <c r="J1633" s="1">
        <f ca="1">IFERROR(__xludf.DUMMYFUNCTION("""COMPUTED_VALUE"""),2007)</f>
        <v>2007</v>
      </c>
      <c r="K1633" s="1" t="str">
        <f ca="1">IFERROR(__xludf.DUMMYFUNCTION("""COMPUTED_VALUE"""),"Physics and Astronomy")</f>
        <v>Physics and Astronomy</v>
      </c>
      <c r="L1633" s="1" t="str">
        <f ca="1">IFERROR(__xludf.DUMMYFUNCTION("""COMPUTED_VALUE"""),"〇")</f>
        <v>〇</v>
      </c>
      <c r="M1633" s="1" t="str">
        <f ca="1">IFERROR(__xludf.DUMMYFUNCTION("""COMPUTED_VALUE"""),"〇")</f>
        <v>〇</v>
      </c>
      <c r="N1633" s="1" t="str">
        <f ca="1">IFERROR(__xludf.DUMMYFUNCTION("""COMPUTED_VALUE"""),"TO7")</f>
        <v>TO7</v>
      </c>
      <c r="O1633" s="1"/>
      <c r="P1633" s="1"/>
    </row>
    <row r="1634" spans="1:16" ht="14.25" customHeight="1" x14ac:dyDescent="0.25">
      <c r="A1634" s="1"/>
      <c r="B1634" s="1">
        <f ca="1"/>
        <v>1622</v>
      </c>
      <c r="C1634" s="1">
        <f ca="1">IFERROR(__xludf.DUMMYFUNCTION("""COMPUTED_VALUE"""),2023)</f>
        <v>2023</v>
      </c>
      <c r="D1634" s="1">
        <f ca="1">IFERROR(__xludf.DUMMYFUNCTION("""COMPUTED_VALUE"""),11972)</f>
        <v>11972</v>
      </c>
      <c r="E1634" s="1" t="str">
        <f ca="1">IFERROR(__xludf.DUMMYFUNCTION("""COMPUTED_VALUE"""),"Moscow University Physics Bulletin")</f>
        <v>Moscow University Physics Bulletin</v>
      </c>
      <c r="F1634" s="1" t="str">
        <f ca="1">IFERROR(__xludf.DUMMYFUNCTION("""COMPUTED_VALUE"""),"1934-8460")</f>
        <v>1934-8460</v>
      </c>
      <c r="G1634" s="1" t="str">
        <f ca="1">IFERROR(__xludf.DUMMYFUNCTION("""COMPUTED_VALUE"""),"0027-1349")</f>
        <v>0027-1349</v>
      </c>
      <c r="H1634" s="27" t="str">
        <f ca="1">IFERROR(__xludf.DUMMYFUNCTION("""COMPUTED_VALUE"""),"https://link.springer.com/journal/11972")</f>
        <v>https://link.springer.com/journal/11972</v>
      </c>
      <c r="I1634" s="1" t="str">
        <f ca="1">IFERROR(__xludf.DUMMYFUNCTION("""COMPUTED_VALUE"""),"Pleiades Publishing")</f>
        <v>Pleiades Publishing</v>
      </c>
      <c r="J1634" s="1">
        <f ca="1">IFERROR(__xludf.DUMMYFUNCTION("""COMPUTED_VALUE"""),2007)</f>
        <v>2007</v>
      </c>
      <c r="K1634" s="1" t="str">
        <f ca="1">IFERROR(__xludf.DUMMYFUNCTION("""COMPUTED_VALUE"""),"Physics and Astronomy")</f>
        <v>Physics and Astronomy</v>
      </c>
      <c r="L1634" s="1" t="str">
        <f ca="1">IFERROR(__xludf.DUMMYFUNCTION("""COMPUTED_VALUE"""),"〇")</f>
        <v>〇</v>
      </c>
      <c r="M1634" s="1" t="str">
        <f ca="1">IFERROR(__xludf.DUMMYFUNCTION("""COMPUTED_VALUE"""),"〇")</f>
        <v>〇</v>
      </c>
      <c r="N1634" s="1" t="str">
        <f ca="1">IFERROR(__xludf.DUMMYFUNCTION("""COMPUTED_VALUE"""),"TO7")</f>
        <v>TO7</v>
      </c>
      <c r="O1634" s="1"/>
      <c r="P1634" s="1"/>
    </row>
    <row r="1635" spans="1:16" ht="14.25" customHeight="1" x14ac:dyDescent="0.25">
      <c r="A1635" s="1"/>
      <c r="B1635" s="1">
        <f ca="1"/>
        <v>1623</v>
      </c>
      <c r="C1635" s="1">
        <f ca="1">IFERROR(__xludf.DUMMYFUNCTION("""COMPUTED_VALUE"""),2023)</f>
        <v>2023</v>
      </c>
      <c r="D1635" s="1">
        <f ca="1">IFERROR(__xludf.DUMMYFUNCTION("""COMPUTED_VALUE"""),11973)</f>
        <v>11973</v>
      </c>
      <c r="E1635" s="1" t="str">
        <f ca="1">IFERROR(__xludf.DUMMYFUNCTION("""COMPUTED_VALUE"""),"Moscow University Soil Science Bulletin")</f>
        <v>Moscow University Soil Science Bulletin</v>
      </c>
      <c r="F1635" s="1" t="str">
        <f ca="1">IFERROR(__xludf.DUMMYFUNCTION("""COMPUTED_VALUE"""),"1934-7928")</f>
        <v>1934-7928</v>
      </c>
      <c r="G1635" s="1" t="str">
        <f ca="1">IFERROR(__xludf.DUMMYFUNCTION("""COMPUTED_VALUE"""),"0147-6874")</f>
        <v>0147-6874</v>
      </c>
      <c r="H1635" s="27" t="str">
        <f ca="1">IFERROR(__xludf.DUMMYFUNCTION("""COMPUTED_VALUE"""),"https://link.springer.com/journal/11973")</f>
        <v>https://link.springer.com/journal/11973</v>
      </c>
      <c r="I1635" s="1" t="str">
        <f ca="1">IFERROR(__xludf.DUMMYFUNCTION("""COMPUTED_VALUE"""),"Pleiades Publishing")</f>
        <v>Pleiades Publishing</v>
      </c>
      <c r="J1635" s="1">
        <f ca="1">IFERROR(__xludf.DUMMYFUNCTION("""COMPUTED_VALUE"""),2007)</f>
        <v>2007</v>
      </c>
      <c r="K1635" s="1" t="str">
        <f ca="1">IFERROR(__xludf.DUMMYFUNCTION("""COMPUTED_VALUE"""),"Earth and Environmental Science")</f>
        <v>Earth and Environmental Science</v>
      </c>
      <c r="L1635" s="1" t="str">
        <f ca="1">IFERROR(__xludf.DUMMYFUNCTION("""COMPUTED_VALUE"""),"〇")</f>
        <v>〇</v>
      </c>
      <c r="M1635" s="1" t="str">
        <f ca="1">IFERROR(__xludf.DUMMYFUNCTION("""COMPUTED_VALUE"""),"〇")</f>
        <v>〇</v>
      </c>
      <c r="N1635" s="1" t="str">
        <f ca="1">IFERROR(__xludf.DUMMYFUNCTION("""COMPUTED_VALUE"""),"TO7")</f>
        <v>TO7</v>
      </c>
      <c r="O1635" s="1"/>
      <c r="P1635" s="1"/>
    </row>
    <row r="1636" spans="1:16" ht="14.25" customHeight="1" x14ac:dyDescent="0.25">
      <c r="A1636" s="1"/>
      <c r="B1636" s="1">
        <f ca="1"/>
        <v>1624</v>
      </c>
      <c r="C1636" s="1">
        <f ca="1">IFERROR(__xludf.DUMMYFUNCTION("""COMPUTED_VALUE"""),2023)</f>
        <v>2023</v>
      </c>
      <c r="D1636" s="1">
        <f ca="1">IFERROR(__xludf.DUMMYFUNCTION("""COMPUTED_VALUE"""),11031)</f>
        <v>11031</v>
      </c>
      <c r="E1636" s="1" t="str">
        <f ca="1">IFERROR(__xludf.DUMMYFUNCTION("""COMPUTED_VALUE"""),"Motivation and Emotion")</f>
        <v>Motivation and Emotion</v>
      </c>
      <c r="F1636" s="1" t="str">
        <f ca="1">IFERROR(__xludf.DUMMYFUNCTION("""COMPUTED_VALUE"""),"1573-6644")</f>
        <v>1573-6644</v>
      </c>
      <c r="G1636" s="1" t="str">
        <f ca="1">IFERROR(__xludf.DUMMYFUNCTION("""COMPUTED_VALUE"""),"0146-7239")</f>
        <v>0146-7239</v>
      </c>
      <c r="H1636" s="27" t="str">
        <f ca="1">IFERROR(__xludf.DUMMYFUNCTION("""COMPUTED_VALUE"""),"https://link.springer.com/journal/11031")</f>
        <v>https://link.springer.com/journal/11031</v>
      </c>
      <c r="I1636" s="1" t="str">
        <f ca="1">IFERROR(__xludf.DUMMYFUNCTION("""COMPUTED_VALUE"""),"Springer")</f>
        <v>Springer</v>
      </c>
      <c r="J1636" s="1">
        <f ca="1">IFERROR(__xludf.DUMMYFUNCTION("""COMPUTED_VALUE"""),2000)</f>
        <v>2000</v>
      </c>
      <c r="K1636" s="1" t="str">
        <f ca="1">IFERROR(__xludf.DUMMYFUNCTION("""COMPUTED_VALUE"""),"Behavioral Science and Psychology")</f>
        <v>Behavioral Science and Psychology</v>
      </c>
      <c r="L1636" s="1" t="str">
        <f ca="1">IFERROR(__xludf.DUMMYFUNCTION("""COMPUTED_VALUE"""),"〇")</f>
        <v>〇</v>
      </c>
      <c r="M1636" s="1" t="str">
        <f ca="1">IFERROR(__xludf.DUMMYFUNCTION("""COMPUTED_VALUE"""),"〇")</f>
        <v>〇</v>
      </c>
      <c r="N1636" s="1"/>
      <c r="O1636" s="1"/>
      <c r="P1636" s="1"/>
    </row>
    <row r="1637" spans="1:16" ht="14.25" customHeight="1" x14ac:dyDescent="0.25">
      <c r="A1637" s="1"/>
      <c r="B1637" s="1">
        <f ca="1"/>
        <v>1625</v>
      </c>
      <c r="C1637" s="1">
        <f ca="1">IFERROR(__xludf.DUMMYFUNCTION("""COMPUTED_VALUE"""),2023)</f>
        <v>2023</v>
      </c>
      <c r="D1637" s="1">
        <f ca="1">IFERROR(__xludf.DUMMYFUNCTION("""COMPUTED_VALUE"""),35146)</f>
        <v>35146</v>
      </c>
      <c r="E1637" s="1" t="str">
        <f ca="1">IFERROR(__xludf.DUMMYFUNCTION("""COMPUTED_VALUE"""),"MTZ - Motortechnische Zeitschrift")</f>
        <v>MTZ - Motortechnische Zeitschrift</v>
      </c>
      <c r="F1637" s="1" t="str">
        <f ca="1">IFERROR(__xludf.DUMMYFUNCTION("""COMPUTED_VALUE"""),"2192-8843")</f>
        <v>2192-8843</v>
      </c>
      <c r="G1637" s="1" t="str">
        <f ca="1">IFERROR(__xludf.DUMMYFUNCTION("""COMPUTED_VALUE"""),"0024-8525")</f>
        <v>0024-8525</v>
      </c>
      <c r="H1637" s="27" t="str">
        <f ca="1">IFERROR(__xludf.DUMMYFUNCTION("""COMPUTED_VALUE"""),"https://link.springer.com/journal/35146")</f>
        <v>https://link.springer.com/journal/35146</v>
      </c>
      <c r="I1637" s="1" t="str">
        <f ca="1">IFERROR(__xludf.DUMMYFUNCTION("""COMPUTED_VALUE"""),"Springer Vieweg")</f>
        <v>Springer Vieweg</v>
      </c>
      <c r="J1637" s="1">
        <f ca="1">IFERROR(__xludf.DUMMYFUNCTION("""COMPUTED_VALUE"""),2000)</f>
        <v>2000</v>
      </c>
      <c r="K1637" s="1" t="str">
        <f ca="1">IFERROR(__xludf.DUMMYFUNCTION("""COMPUTED_VALUE"""),"Engineering")</f>
        <v>Engineering</v>
      </c>
      <c r="L1637" s="1" t="str">
        <f ca="1">IFERROR(__xludf.DUMMYFUNCTION("""COMPUTED_VALUE"""),"〇")</f>
        <v>〇</v>
      </c>
      <c r="M1637" s="1"/>
      <c r="N1637" s="1"/>
      <c r="O1637" s="1"/>
      <c r="P1637" s="1"/>
    </row>
    <row r="1638" spans="1:16" ht="14.25" customHeight="1" x14ac:dyDescent="0.25">
      <c r="A1638" s="1"/>
      <c r="B1638" s="1">
        <f ca="1"/>
        <v>1626</v>
      </c>
      <c r="C1638" s="1">
        <f ca="1">IFERROR(__xludf.DUMMYFUNCTION("""COMPUTED_VALUE"""),2023)</f>
        <v>2023</v>
      </c>
      <c r="D1638" s="1">
        <f ca="1">IFERROR(__xludf.DUMMYFUNCTION("""COMPUTED_VALUE"""),38313)</f>
        <v>38313</v>
      </c>
      <c r="E1638" s="1" t="str">
        <f ca="1">IFERROR(__xludf.DUMMYFUNCTION("""COMPUTED_VALUE"""),"MTZ worldwide")</f>
        <v>MTZ worldwide</v>
      </c>
      <c r="F1638" s="1" t="str">
        <f ca="1">IFERROR(__xludf.DUMMYFUNCTION("""COMPUTED_VALUE"""),"2192-9114")</f>
        <v>2192-9114</v>
      </c>
      <c r="G1638" s="1"/>
      <c r="H1638" s="27" t="str">
        <f ca="1">IFERROR(__xludf.DUMMYFUNCTION("""COMPUTED_VALUE"""),"https://link.springer.com/journal/38313")</f>
        <v>https://link.springer.com/journal/38313</v>
      </c>
      <c r="I1638" s="1" t="str">
        <f ca="1">IFERROR(__xludf.DUMMYFUNCTION("""COMPUTED_VALUE"""),"Springer Vieweg")</f>
        <v>Springer Vieweg</v>
      </c>
      <c r="J1638" s="1">
        <f ca="1">IFERROR(__xludf.DUMMYFUNCTION("""COMPUTED_VALUE"""),2002)</f>
        <v>2002</v>
      </c>
      <c r="K1638" s="1" t="str">
        <f ca="1">IFERROR(__xludf.DUMMYFUNCTION("""COMPUTED_VALUE"""),"Engineering")</f>
        <v>Engineering</v>
      </c>
      <c r="L1638" s="1"/>
      <c r="M1638" s="1"/>
      <c r="N1638" s="1"/>
      <c r="O1638" s="1"/>
      <c r="P1638" s="1"/>
    </row>
    <row r="1639" spans="1:16" ht="14.25" customHeight="1" x14ac:dyDescent="0.25">
      <c r="A1639" s="1"/>
      <c r="B1639" s="1">
        <f ca="1"/>
        <v>1627</v>
      </c>
      <c r="C1639" s="1">
        <f ca="1">IFERROR(__xludf.DUMMYFUNCTION("""COMPUTED_VALUE"""),2023)</f>
        <v>2023</v>
      </c>
      <c r="D1639" s="1">
        <f ca="1">IFERROR(__xludf.DUMMYFUNCTION("""COMPUTED_VALUE"""),11044)</f>
        <v>11044</v>
      </c>
      <c r="E1639" s="1" t="str">
        <f ca="1">IFERROR(__xludf.DUMMYFUNCTION("""COMPUTED_VALUE"""),"Multibody System Dynamics")</f>
        <v>Multibody System Dynamics</v>
      </c>
      <c r="F1639" s="1" t="str">
        <f ca="1">IFERROR(__xludf.DUMMYFUNCTION("""COMPUTED_VALUE"""),"1573-272X")</f>
        <v>1573-272X</v>
      </c>
      <c r="G1639" s="1" t="str">
        <f ca="1">IFERROR(__xludf.DUMMYFUNCTION("""COMPUTED_VALUE"""),"1384-5640")</f>
        <v>1384-5640</v>
      </c>
      <c r="H1639" s="27" t="str">
        <f ca="1">IFERROR(__xludf.DUMMYFUNCTION("""COMPUTED_VALUE"""),"https://link.springer.com/journal/11044")</f>
        <v>https://link.springer.com/journal/11044</v>
      </c>
      <c r="I1639" s="1" t="str">
        <f ca="1">IFERROR(__xludf.DUMMYFUNCTION("""COMPUTED_VALUE"""),"Springer")</f>
        <v>Springer</v>
      </c>
      <c r="J1639" s="1">
        <f ca="1">IFERROR(__xludf.DUMMYFUNCTION("""COMPUTED_VALUE"""),2000)</f>
        <v>2000</v>
      </c>
      <c r="K1639" s="1" t="str">
        <f ca="1">IFERROR(__xludf.DUMMYFUNCTION("""COMPUTED_VALUE"""),"Engineering")</f>
        <v>Engineering</v>
      </c>
      <c r="L1639" s="1" t="str">
        <f ca="1">IFERROR(__xludf.DUMMYFUNCTION("""COMPUTED_VALUE"""),"〇")</f>
        <v>〇</v>
      </c>
      <c r="M1639" s="1" t="str">
        <f ca="1">IFERROR(__xludf.DUMMYFUNCTION("""COMPUTED_VALUE"""),"〇")</f>
        <v>〇</v>
      </c>
      <c r="N1639" s="1"/>
      <c r="O1639" s="1"/>
      <c r="P1639" s="1"/>
    </row>
    <row r="1640" spans="1:16" ht="14.25" customHeight="1" x14ac:dyDescent="0.25">
      <c r="A1640" s="1"/>
      <c r="B1640" s="1">
        <f ca="1"/>
        <v>1628</v>
      </c>
      <c r="C1640" s="1">
        <f ca="1">IFERROR(__xludf.DUMMYFUNCTION("""COMPUTED_VALUE"""),2023)</f>
        <v>2023</v>
      </c>
      <c r="D1640" s="1">
        <f ca="1">IFERROR(__xludf.DUMMYFUNCTION("""COMPUTED_VALUE"""),11045)</f>
        <v>11045</v>
      </c>
      <c r="E1640" s="1" t="str">
        <f ca="1">IFERROR(__xludf.DUMMYFUNCTION("""COMPUTED_VALUE"""),"Multidimensional Systems and Signal Processing")</f>
        <v>Multidimensional Systems and Signal Processing</v>
      </c>
      <c r="F1640" s="1" t="str">
        <f ca="1">IFERROR(__xludf.DUMMYFUNCTION("""COMPUTED_VALUE"""),"1573-0824")</f>
        <v>1573-0824</v>
      </c>
      <c r="G1640" s="1" t="str">
        <f ca="1">IFERROR(__xludf.DUMMYFUNCTION("""COMPUTED_VALUE"""),"0923-6082")</f>
        <v>0923-6082</v>
      </c>
      <c r="H1640" s="27" t="str">
        <f ca="1">IFERROR(__xludf.DUMMYFUNCTION("""COMPUTED_VALUE"""),"https://link.springer.com/journal/11045")</f>
        <v>https://link.springer.com/journal/11045</v>
      </c>
      <c r="I1640" s="1" t="str">
        <f ca="1">IFERROR(__xludf.DUMMYFUNCTION("""COMPUTED_VALUE"""),"Springer")</f>
        <v>Springer</v>
      </c>
      <c r="J1640" s="1">
        <f ca="1">IFERROR(__xludf.DUMMYFUNCTION("""COMPUTED_VALUE"""),2000)</f>
        <v>2000</v>
      </c>
      <c r="K1640" s="1" t="str">
        <f ca="1">IFERROR(__xludf.DUMMYFUNCTION("""COMPUTED_VALUE"""),"Engineering")</f>
        <v>Engineering</v>
      </c>
      <c r="L1640" s="1" t="str">
        <f ca="1">IFERROR(__xludf.DUMMYFUNCTION("""COMPUTED_VALUE"""),"〇")</f>
        <v>〇</v>
      </c>
      <c r="M1640" s="1" t="str">
        <f ca="1">IFERROR(__xludf.DUMMYFUNCTION("""COMPUTED_VALUE"""),"〇")</f>
        <v>〇</v>
      </c>
      <c r="N1640" s="1"/>
      <c r="O1640" s="1"/>
      <c r="P1640" s="1"/>
    </row>
    <row r="1641" spans="1:16" ht="14.25" customHeight="1" x14ac:dyDescent="0.25">
      <c r="A1641" s="1"/>
      <c r="B1641" s="1">
        <f ca="1"/>
        <v>1629</v>
      </c>
      <c r="C1641" s="1">
        <f ca="1">IFERROR(__xludf.DUMMYFUNCTION("""COMPUTED_VALUE"""),2023)</f>
        <v>2023</v>
      </c>
      <c r="D1641" s="1">
        <f ca="1">IFERROR(__xludf.DUMMYFUNCTION("""COMPUTED_VALUE"""),530)</f>
        <v>530</v>
      </c>
      <c r="E1641" s="1" t="str">
        <f ca="1">IFERROR(__xludf.DUMMYFUNCTION("""COMPUTED_VALUE"""),"Multimedia Systems")</f>
        <v>Multimedia Systems</v>
      </c>
      <c r="F1641" s="1" t="str">
        <f ca="1">IFERROR(__xludf.DUMMYFUNCTION("""COMPUTED_VALUE"""),"1432-1882")</f>
        <v>1432-1882</v>
      </c>
      <c r="G1641" s="1" t="str">
        <f ca="1">IFERROR(__xludf.DUMMYFUNCTION("""COMPUTED_VALUE"""),"0942-4962")</f>
        <v>0942-4962</v>
      </c>
      <c r="H1641" s="27" t="str">
        <f ca="1">IFERROR(__xludf.DUMMYFUNCTION("""COMPUTED_VALUE"""),"https://link.springer.com/journal/530")</f>
        <v>https://link.springer.com/journal/530</v>
      </c>
      <c r="I1641" s="1" t="str">
        <f ca="1">IFERROR(__xludf.DUMMYFUNCTION("""COMPUTED_VALUE"""),"Springer")</f>
        <v>Springer</v>
      </c>
      <c r="J1641" s="1">
        <f ca="1">IFERROR(__xludf.DUMMYFUNCTION("""COMPUTED_VALUE"""),2000)</f>
        <v>2000</v>
      </c>
      <c r="K1641" s="1" t="str">
        <f ca="1">IFERROR(__xludf.DUMMYFUNCTION("""COMPUTED_VALUE"""),"Computer Science")</f>
        <v>Computer Science</v>
      </c>
      <c r="L1641" s="1" t="str">
        <f ca="1">IFERROR(__xludf.DUMMYFUNCTION("""COMPUTED_VALUE"""),"〇")</f>
        <v>〇</v>
      </c>
      <c r="M1641" s="1" t="str">
        <f ca="1">IFERROR(__xludf.DUMMYFUNCTION("""COMPUTED_VALUE"""),"〇")</f>
        <v>〇</v>
      </c>
      <c r="N1641" s="1"/>
      <c r="O1641" s="1"/>
      <c r="P1641" s="1"/>
    </row>
    <row r="1642" spans="1:16" ht="14.25" customHeight="1" x14ac:dyDescent="0.25">
      <c r="A1642" s="1"/>
      <c r="B1642" s="1">
        <f ca="1"/>
        <v>1630</v>
      </c>
      <c r="C1642" s="1">
        <f ca="1">IFERROR(__xludf.DUMMYFUNCTION("""COMPUTED_VALUE"""),2023)</f>
        <v>2023</v>
      </c>
      <c r="D1642" s="1">
        <f ca="1">IFERROR(__xludf.DUMMYFUNCTION("""COMPUTED_VALUE"""),11042)</f>
        <v>11042</v>
      </c>
      <c r="E1642" s="1" t="str">
        <f ca="1">IFERROR(__xludf.DUMMYFUNCTION("""COMPUTED_VALUE"""),"Multimedia Tools and Applications")</f>
        <v>Multimedia Tools and Applications</v>
      </c>
      <c r="F1642" s="1" t="str">
        <f ca="1">IFERROR(__xludf.DUMMYFUNCTION("""COMPUTED_VALUE"""),"1573-7721")</f>
        <v>1573-7721</v>
      </c>
      <c r="G1642" s="1" t="str">
        <f ca="1">IFERROR(__xludf.DUMMYFUNCTION("""COMPUTED_VALUE"""),"1380-7501")</f>
        <v>1380-7501</v>
      </c>
      <c r="H1642" s="27" t="str">
        <f ca="1">IFERROR(__xludf.DUMMYFUNCTION("""COMPUTED_VALUE"""),"https://link.springer.com/journal/11042")</f>
        <v>https://link.springer.com/journal/11042</v>
      </c>
      <c r="I1642" s="1" t="str">
        <f ca="1">IFERROR(__xludf.DUMMYFUNCTION("""COMPUTED_VALUE"""),"Springer")</f>
        <v>Springer</v>
      </c>
      <c r="J1642" s="1">
        <f ca="1">IFERROR(__xludf.DUMMYFUNCTION("""COMPUTED_VALUE"""),2000)</f>
        <v>2000</v>
      </c>
      <c r="K1642" s="1" t="str">
        <f ca="1">IFERROR(__xludf.DUMMYFUNCTION("""COMPUTED_VALUE"""),"Computer Science")</f>
        <v>Computer Science</v>
      </c>
      <c r="L1642" s="1" t="str">
        <f ca="1">IFERROR(__xludf.DUMMYFUNCTION("""COMPUTED_VALUE"""),"〇")</f>
        <v>〇</v>
      </c>
      <c r="M1642" s="1" t="str">
        <f ca="1">IFERROR(__xludf.DUMMYFUNCTION("""COMPUTED_VALUE"""),"〇")</f>
        <v>〇</v>
      </c>
      <c r="N1642" s="1"/>
      <c r="O1642" s="1"/>
      <c r="P1642" s="1"/>
    </row>
    <row r="1643" spans="1:16" ht="14.25" customHeight="1" x14ac:dyDescent="0.25">
      <c r="A1643" s="1"/>
      <c r="B1643" s="1">
        <f ca="1"/>
        <v>1631</v>
      </c>
      <c r="C1643" s="1">
        <f ca="1">IFERROR(__xludf.DUMMYFUNCTION("""COMPUTED_VALUE"""),2023)</f>
        <v>2023</v>
      </c>
      <c r="D1643" s="1">
        <f ca="1">IFERROR(__xludf.DUMMYFUNCTION("""COMPUTED_VALUE"""),41939)</f>
        <v>41939</v>
      </c>
      <c r="E1643" s="1" t="str">
        <f ca="1">IFERROR(__xludf.DUMMYFUNCTION("""COMPUTED_VALUE"""),"Multiscale and Multidisciplinary Modeling, Experiments and Design")</f>
        <v>Multiscale and Multidisciplinary Modeling, Experiments and Design</v>
      </c>
      <c r="F1643" s="1" t="str">
        <f ca="1">IFERROR(__xludf.DUMMYFUNCTION("""COMPUTED_VALUE"""),"2520-8179")</f>
        <v>2520-8179</v>
      </c>
      <c r="G1643" s="1" t="str">
        <f ca="1">IFERROR(__xludf.DUMMYFUNCTION("""COMPUTED_VALUE"""),"2520-8160")</f>
        <v>2520-8160</v>
      </c>
      <c r="H1643" s="27" t="str">
        <f ca="1">IFERROR(__xludf.DUMMYFUNCTION("""COMPUTED_VALUE"""),"https://link.springer.com/journal/41939")</f>
        <v>https://link.springer.com/journal/41939</v>
      </c>
      <c r="I1643" s="1" t="str">
        <f ca="1">IFERROR(__xludf.DUMMYFUNCTION("""COMPUTED_VALUE"""),"Springer")</f>
        <v>Springer</v>
      </c>
      <c r="J1643" s="1">
        <f ca="1">IFERROR(__xludf.DUMMYFUNCTION("""COMPUTED_VALUE"""),2018)</f>
        <v>2018</v>
      </c>
      <c r="K1643" s="1" t="str">
        <f ca="1">IFERROR(__xludf.DUMMYFUNCTION("""COMPUTED_VALUE"""),"Engineering")</f>
        <v>Engineering</v>
      </c>
      <c r="L1643" s="1" t="str">
        <f ca="1">IFERROR(__xludf.DUMMYFUNCTION("""COMPUTED_VALUE"""),"〇")</f>
        <v>〇</v>
      </c>
      <c r="M1643" s="1"/>
      <c r="N1643" s="1" t="str">
        <f ca="1">IFERROR(__xludf.DUMMYFUNCTION("""COMPUTED_VALUE"""),"SNS18")</f>
        <v>SNS18</v>
      </c>
      <c r="O1643" s="1"/>
      <c r="P1643" s="1"/>
    </row>
    <row r="1644" spans="1:16" ht="14.25" customHeight="1" x14ac:dyDescent="0.25">
      <c r="A1644" s="1"/>
      <c r="B1644" s="1">
        <f ca="1"/>
        <v>1632</v>
      </c>
      <c r="C1644" s="1">
        <f ca="1">IFERROR(__xludf.DUMMYFUNCTION("""COMPUTED_VALUE"""),2023)</f>
        <v>2023</v>
      </c>
      <c r="D1644" s="1">
        <f ca="1">IFERROR(__xludf.DUMMYFUNCTION("""COMPUTED_VALUE"""),42493)</f>
        <v>42493</v>
      </c>
      <c r="E1644" s="1" t="str">
        <f ca="1">IFERROR(__xludf.DUMMYFUNCTION("""COMPUTED_VALUE"""),"Multiscale Science and Engineering")</f>
        <v>Multiscale Science and Engineering</v>
      </c>
      <c r="F1644" s="1" t="str">
        <f ca="1">IFERROR(__xludf.DUMMYFUNCTION("""COMPUTED_VALUE"""),"2524-4523")</f>
        <v>2524-4523</v>
      </c>
      <c r="G1644" s="1" t="str">
        <f ca="1">IFERROR(__xludf.DUMMYFUNCTION("""COMPUTED_VALUE"""),"2524-4515")</f>
        <v>2524-4515</v>
      </c>
      <c r="H1644" s="27" t="str">
        <f ca="1">IFERROR(__xludf.DUMMYFUNCTION("""COMPUTED_VALUE"""),"https://link.springer.com/journal/42493")</f>
        <v>https://link.springer.com/journal/42493</v>
      </c>
      <c r="I1644" s="1" t="str">
        <f ca="1">IFERROR(__xludf.DUMMYFUNCTION("""COMPUTED_VALUE"""),"Springer")</f>
        <v>Springer</v>
      </c>
      <c r="J1644" s="1">
        <f ca="1">IFERROR(__xludf.DUMMYFUNCTION("""COMPUTED_VALUE"""),2019)</f>
        <v>2019</v>
      </c>
      <c r="K1644" s="1" t="str">
        <f ca="1">IFERROR(__xludf.DUMMYFUNCTION("""COMPUTED_VALUE"""),"Engineering")</f>
        <v>Engineering</v>
      </c>
      <c r="L1644" s="1" t="str">
        <f ca="1">IFERROR(__xludf.DUMMYFUNCTION("""COMPUTED_VALUE"""),"〇")</f>
        <v>〇</v>
      </c>
      <c r="M1644" s="1"/>
      <c r="N1644" s="1" t="str">
        <f ca="1">IFERROR(__xludf.DUMMYFUNCTION("""COMPUTED_VALUE"""),"SNS19")</f>
        <v>SNS19</v>
      </c>
      <c r="O1644" s="1"/>
      <c r="P1644" s="1"/>
    </row>
    <row r="1645" spans="1:16" ht="14.25" customHeight="1" x14ac:dyDescent="0.25">
      <c r="A1645" s="1"/>
      <c r="B1645" s="1">
        <f ca="1"/>
        <v>1633</v>
      </c>
      <c r="C1645" s="1">
        <f ca="1">IFERROR(__xludf.DUMMYFUNCTION("""COMPUTED_VALUE"""),2023)</f>
        <v>2023</v>
      </c>
      <c r="D1645" s="1">
        <f ca="1">IFERROR(__xludf.DUMMYFUNCTION("""COMPUTED_VALUE"""),12306)</f>
        <v>12306</v>
      </c>
      <c r="E1645" s="1" t="str">
        <f ca="1">IFERROR(__xludf.DUMMYFUNCTION("""COMPUTED_VALUE"""),"MUSCULOSKELETAL SURGERY")</f>
        <v>MUSCULOSKELETAL SURGERY</v>
      </c>
      <c r="F1645" s="1" t="str">
        <f ca="1">IFERROR(__xludf.DUMMYFUNCTION("""COMPUTED_VALUE"""),"2035-5114")</f>
        <v>2035-5114</v>
      </c>
      <c r="G1645" s="1"/>
      <c r="H1645" s="27" t="str">
        <f ca="1">IFERROR(__xludf.DUMMYFUNCTION("""COMPUTED_VALUE"""),"https://link.springer.com/journal/12306")</f>
        <v>https://link.springer.com/journal/12306</v>
      </c>
      <c r="I1645" s="1" t="str">
        <f ca="1">IFERROR(__xludf.DUMMYFUNCTION("""COMPUTED_VALUE"""),"Springer")</f>
        <v>Springer</v>
      </c>
      <c r="J1645" s="1">
        <f ca="1">IFERROR(__xludf.DUMMYFUNCTION("""COMPUTED_VALUE"""),2008)</f>
        <v>2008</v>
      </c>
      <c r="K1645" s="1" t="str">
        <f ca="1">IFERROR(__xludf.DUMMYFUNCTION("""COMPUTED_VALUE"""),"Medicine")</f>
        <v>Medicine</v>
      </c>
      <c r="L1645" s="1"/>
      <c r="M1645" s="1" t="str">
        <f ca="1">IFERROR(__xludf.DUMMYFUNCTION("""COMPUTED_VALUE"""),"〇")</f>
        <v>〇</v>
      </c>
      <c r="N1645" s="1" t="str">
        <f ca="1">IFERROR(__xludf.DUMMYFUNCTION("""COMPUTED_VALUE"""),"TO7")</f>
        <v>TO7</v>
      </c>
      <c r="O1645" s="1"/>
      <c r="P1645" s="1"/>
    </row>
    <row r="1646" spans="1:16" ht="14.25" customHeight="1" x14ac:dyDescent="0.25">
      <c r="A1646" s="1"/>
      <c r="B1646" s="1">
        <f ca="1"/>
        <v>1634</v>
      </c>
      <c r="C1646" s="1">
        <f ca="1">IFERROR(__xludf.DUMMYFUNCTION("""COMPUTED_VALUE"""),2023)</f>
        <v>2023</v>
      </c>
      <c r="D1646" s="1">
        <f ca="1">IFERROR(__xludf.DUMMYFUNCTION("""COMPUTED_VALUE"""),11557)</f>
        <v>11557</v>
      </c>
      <c r="E1646" s="1" t="str">
        <f ca="1">IFERROR(__xludf.DUMMYFUNCTION("""COMPUTED_VALUE"""),"Mycological Progress")</f>
        <v>Mycological Progress</v>
      </c>
      <c r="F1646" s="1" t="str">
        <f ca="1">IFERROR(__xludf.DUMMYFUNCTION("""COMPUTED_VALUE"""),"1861-8952")</f>
        <v>1861-8952</v>
      </c>
      <c r="G1646" s="1"/>
      <c r="H1646" s="27" t="str">
        <f ca="1">IFERROR(__xludf.DUMMYFUNCTION("""COMPUTED_VALUE"""),"https://link.springer.com/journal/11557")</f>
        <v>https://link.springer.com/journal/11557</v>
      </c>
      <c r="I1646" s="1" t="str">
        <f ca="1">IFERROR(__xludf.DUMMYFUNCTION("""COMPUTED_VALUE"""),"Springer")</f>
        <v>Springer</v>
      </c>
      <c r="J1646" s="1">
        <f ca="1">IFERROR(__xludf.DUMMYFUNCTION("""COMPUTED_VALUE"""),2002)</f>
        <v>2002</v>
      </c>
      <c r="K1646" s="1" t="str">
        <f ca="1">IFERROR(__xludf.DUMMYFUNCTION("""COMPUTED_VALUE"""),"Biomedical and Life Sciences")</f>
        <v>Biomedical and Life Sciences</v>
      </c>
      <c r="L1646" s="1"/>
      <c r="M1646" s="1" t="str">
        <f ca="1">IFERROR(__xludf.DUMMYFUNCTION("""COMPUTED_VALUE"""),"〇")</f>
        <v>〇</v>
      </c>
      <c r="N1646" s="1" t="str">
        <f ca="1">IFERROR(__xludf.DUMMYFUNCTION("""COMPUTED_VALUE"""),"TO7")</f>
        <v>TO7</v>
      </c>
      <c r="O1646" s="1"/>
      <c r="P1646" s="1"/>
    </row>
    <row r="1647" spans="1:16" ht="14.25" customHeight="1" x14ac:dyDescent="0.25">
      <c r="A1647" s="1"/>
      <c r="B1647" s="1">
        <f ca="1"/>
        <v>1635</v>
      </c>
      <c r="C1647" s="1">
        <f ca="1">IFERROR(__xludf.DUMMYFUNCTION("""COMPUTED_VALUE"""),2023)</f>
        <v>2023</v>
      </c>
      <c r="D1647" s="1">
        <f ca="1">IFERROR(__xludf.DUMMYFUNCTION("""COMPUTED_VALUE"""),11046)</f>
        <v>11046</v>
      </c>
      <c r="E1647" s="1" t="str">
        <f ca="1">IFERROR(__xludf.DUMMYFUNCTION("""COMPUTED_VALUE"""),"Mycopathologia")</f>
        <v>Mycopathologia</v>
      </c>
      <c r="F1647" s="1" t="str">
        <f ca="1">IFERROR(__xludf.DUMMYFUNCTION("""COMPUTED_VALUE"""),"1573-0832")</f>
        <v>1573-0832</v>
      </c>
      <c r="G1647" s="1" t="str">
        <f ca="1">IFERROR(__xludf.DUMMYFUNCTION("""COMPUTED_VALUE"""),"0301-486X")</f>
        <v>0301-486X</v>
      </c>
      <c r="H1647" s="27" t="str">
        <f ca="1">IFERROR(__xludf.DUMMYFUNCTION("""COMPUTED_VALUE"""),"https://link.springer.com/journal/11046")</f>
        <v>https://link.springer.com/journal/11046</v>
      </c>
      <c r="I1647" s="1" t="str">
        <f ca="1">IFERROR(__xludf.DUMMYFUNCTION("""COMPUTED_VALUE"""),"Springer")</f>
        <v>Springer</v>
      </c>
      <c r="J1647" s="1">
        <f ca="1">IFERROR(__xludf.DUMMYFUNCTION("""COMPUTED_VALUE"""),2000)</f>
        <v>2000</v>
      </c>
      <c r="K1647" s="1" t="str">
        <f ca="1">IFERROR(__xludf.DUMMYFUNCTION("""COMPUTED_VALUE"""),"Biomedical and Life Sciences")</f>
        <v>Biomedical and Life Sciences</v>
      </c>
      <c r="L1647" s="1" t="str">
        <f ca="1">IFERROR(__xludf.DUMMYFUNCTION("""COMPUTED_VALUE"""),"〇")</f>
        <v>〇</v>
      </c>
      <c r="M1647" s="1" t="str">
        <f ca="1">IFERROR(__xludf.DUMMYFUNCTION("""COMPUTED_VALUE"""),"〇")</f>
        <v>〇</v>
      </c>
      <c r="N1647" s="1"/>
      <c r="O1647" s="1"/>
      <c r="P1647" s="1"/>
    </row>
    <row r="1648" spans="1:16" ht="14.25" customHeight="1" x14ac:dyDescent="0.25">
      <c r="A1648" s="1"/>
      <c r="B1648" s="1">
        <f ca="1"/>
        <v>1636</v>
      </c>
      <c r="C1648" s="1">
        <f ca="1">IFERROR(__xludf.DUMMYFUNCTION("""COMPUTED_VALUE"""),2023)</f>
        <v>2023</v>
      </c>
      <c r="D1648" s="1">
        <f ca="1">IFERROR(__xludf.DUMMYFUNCTION("""COMPUTED_VALUE"""),572)</f>
        <v>572</v>
      </c>
      <c r="E1648" s="1" t="str">
        <f ca="1">IFERROR(__xludf.DUMMYFUNCTION("""COMPUTED_VALUE"""),"Mycorrhiza")</f>
        <v>Mycorrhiza</v>
      </c>
      <c r="F1648" s="1" t="str">
        <f ca="1">IFERROR(__xludf.DUMMYFUNCTION("""COMPUTED_VALUE"""),"1432-1890")</f>
        <v>1432-1890</v>
      </c>
      <c r="G1648" s="1" t="str">
        <f ca="1">IFERROR(__xludf.DUMMYFUNCTION("""COMPUTED_VALUE"""),"0940-6360")</f>
        <v>0940-6360</v>
      </c>
      <c r="H1648" s="27" t="str">
        <f ca="1">IFERROR(__xludf.DUMMYFUNCTION("""COMPUTED_VALUE"""),"https://link.springer.com/journal/572")</f>
        <v>https://link.springer.com/journal/572</v>
      </c>
      <c r="I1648" s="1" t="str">
        <f ca="1">IFERROR(__xludf.DUMMYFUNCTION("""COMPUTED_VALUE"""),"Springer")</f>
        <v>Springer</v>
      </c>
      <c r="J1648" s="1">
        <f ca="1">IFERROR(__xludf.DUMMYFUNCTION("""COMPUTED_VALUE"""),2000)</f>
        <v>2000</v>
      </c>
      <c r="K1648" s="1" t="str">
        <f ca="1">IFERROR(__xludf.DUMMYFUNCTION("""COMPUTED_VALUE"""),"Biomedical and Life Sciences")</f>
        <v>Biomedical and Life Sciences</v>
      </c>
      <c r="L1648" s="1" t="str">
        <f ca="1">IFERROR(__xludf.DUMMYFUNCTION("""COMPUTED_VALUE"""),"〇")</f>
        <v>〇</v>
      </c>
      <c r="M1648" s="1" t="str">
        <f ca="1">IFERROR(__xludf.DUMMYFUNCTION("""COMPUTED_VALUE"""),"〇")</f>
        <v>〇</v>
      </c>
      <c r="N1648" s="1"/>
      <c r="O1648" s="1"/>
      <c r="P1648" s="1"/>
    </row>
    <row r="1649" spans="1:16" ht="14.25" customHeight="1" x14ac:dyDescent="0.25">
      <c r="A1649" s="1"/>
      <c r="B1649" s="1">
        <f ca="1"/>
        <v>1637</v>
      </c>
      <c r="C1649" s="1">
        <f ca="1">IFERROR(__xludf.DUMMYFUNCTION("""COMPUTED_VALUE"""),2023)</f>
        <v>2023</v>
      </c>
      <c r="D1649" s="1">
        <f ca="1">IFERROR(__xludf.DUMMYFUNCTION("""COMPUTED_VALUE"""),12550)</f>
        <v>12550</v>
      </c>
      <c r="E1649" s="1" t="str">
        <f ca="1">IFERROR(__xludf.DUMMYFUNCTION("""COMPUTED_VALUE"""),"Mycotoxin Research")</f>
        <v>Mycotoxin Research</v>
      </c>
      <c r="F1649" s="1" t="str">
        <f ca="1">IFERROR(__xludf.DUMMYFUNCTION("""COMPUTED_VALUE"""),"1867-1632")</f>
        <v>1867-1632</v>
      </c>
      <c r="G1649" s="1" t="str">
        <f ca="1">IFERROR(__xludf.DUMMYFUNCTION("""COMPUTED_VALUE"""),"0178-7888")</f>
        <v>0178-7888</v>
      </c>
      <c r="H1649" s="27" t="str">
        <f ca="1">IFERROR(__xludf.DUMMYFUNCTION("""COMPUTED_VALUE"""),"https://link.springer.com/journal/12550")</f>
        <v>https://link.springer.com/journal/12550</v>
      </c>
      <c r="I1649" s="1" t="str">
        <f ca="1">IFERROR(__xludf.DUMMYFUNCTION("""COMPUTED_VALUE"""),"Springer")</f>
        <v>Springer</v>
      </c>
      <c r="J1649" s="1">
        <f ca="1">IFERROR(__xludf.DUMMYFUNCTION("""COMPUTED_VALUE"""),2000)</f>
        <v>2000</v>
      </c>
      <c r="K1649" s="1" t="str">
        <f ca="1">IFERROR(__xludf.DUMMYFUNCTION("""COMPUTED_VALUE"""),"Biomedical and Life Sciences")</f>
        <v>Biomedical and Life Sciences</v>
      </c>
      <c r="L1649" s="1" t="str">
        <f ca="1">IFERROR(__xludf.DUMMYFUNCTION("""COMPUTED_VALUE"""),"〇")</f>
        <v>〇</v>
      </c>
      <c r="M1649" s="1"/>
      <c r="N1649" s="1" t="str">
        <f ca="1">IFERROR(__xludf.DUMMYFUNCTION("""COMPUTED_VALUE"""),"TO9")</f>
        <v>TO9</v>
      </c>
      <c r="O1649" s="1"/>
      <c r="P1649" s="1"/>
    </row>
    <row r="1650" spans="1:16" ht="14.25" customHeight="1" x14ac:dyDescent="0.25">
      <c r="A1650" s="1"/>
      <c r="B1650" s="1">
        <f ca="1"/>
        <v>1638</v>
      </c>
      <c r="C1650" s="1">
        <f ca="1">IFERROR(__xludf.DUMMYFUNCTION("""COMPUTED_VALUE"""),2023)</f>
        <v>2023</v>
      </c>
      <c r="D1650" s="1">
        <f ca="1">IFERROR(__xludf.DUMMYFUNCTION("""COMPUTED_VALUE"""),12274)</f>
        <v>12274</v>
      </c>
      <c r="E1650" s="1" t="str">
        <f ca="1">IFERROR(__xludf.DUMMYFUNCTION("""COMPUTED_VALUE"""),"Nano Research")</f>
        <v>Nano Research</v>
      </c>
      <c r="F1650" s="1" t="str">
        <f ca="1">IFERROR(__xludf.DUMMYFUNCTION("""COMPUTED_VALUE"""),"1998-0000")</f>
        <v>1998-0000</v>
      </c>
      <c r="G1650" s="1" t="str">
        <f ca="1">IFERROR(__xludf.DUMMYFUNCTION("""COMPUTED_VALUE"""),"1998-0124")</f>
        <v>1998-0124</v>
      </c>
      <c r="H1650" s="27" t="str">
        <f ca="1">IFERROR(__xludf.DUMMYFUNCTION("""COMPUTED_VALUE"""),"https://link.springer.com/journal/12274")</f>
        <v>https://link.springer.com/journal/12274</v>
      </c>
      <c r="I1650" s="1" t="str">
        <f ca="1">IFERROR(__xludf.DUMMYFUNCTION("""COMPUTED_VALUE"""),"Tsinghua University Press, co-published with Springer")</f>
        <v>Tsinghua University Press, co-published with Springer</v>
      </c>
      <c r="J1650" s="1">
        <f ca="1">IFERROR(__xludf.DUMMYFUNCTION("""COMPUTED_VALUE"""),2008)</f>
        <v>2008</v>
      </c>
      <c r="K1650" s="1" t="str">
        <f ca="1">IFERROR(__xludf.DUMMYFUNCTION("""COMPUTED_VALUE"""),"Chemistry and Materials Science")</f>
        <v>Chemistry and Materials Science</v>
      </c>
      <c r="L1650" s="1" t="str">
        <f ca="1">IFERROR(__xludf.DUMMYFUNCTION("""COMPUTED_VALUE"""),"〇")</f>
        <v>〇</v>
      </c>
      <c r="M1650" s="1" t="str">
        <f ca="1">IFERROR(__xludf.DUMMYFUNCTION("""COMPUTED_VALUE"""),"〇")</f>
        <v>〇</v>
      </c>
      <c r="N1650" s="1"/>
      <c r="O1650" s="1"/>
      <c r="P1650" s="1"/>
    </row>
    <row r="1651" spans="1:16" ht="14.25" customHeight="1" x14ac:dyDescent="0.25">
      <c r="A1651" s="1"/>
      <c r="B1651" s="1">
        <f ca="1"/>
        <v>1639</v>
      </c>
      <c r="C1651" s="1">
        <f ca="1">IFERROR(__xludf.DUMMYFUNCTION("""COMPUTED_VALUE"""),2023)</f>
        <v>2023</v>
      </c>
      <c r="D1651" s="1">
        <f ca="1">IFERROR(__xludf.DUMMYFUNCTION("""COMPUTED_VALUE"""),12201)</f>
        <v>12201</v>
      </c>
      <c r="E1651" s="1" t="str">
        <f ca="1">IFERROR(__xludf.DUMMYFUNCTION("""COMPUTED_VALUE"""),"Nanobiotechnology Reports")</f>
        <v>Nanobiotechnology Reports</v>
      </c>
      <c r="F1651" s="1" t="str">
        <f ca="1">IFERROR(__xludf.DUMMYFUNCTION("""COMPUTED_VALUE"""),"2635-1684")</f>
        <v>2635-1684</v>
      </c>
      <c r="G1651" s="1" t="str">
        <f ca="1">IFERROR(__xludf.DUMMYFUNCTION("""COMPUTED_VALUE"""),"2635-1676")</f>
        <v>2635-1676</v>
      </c>
      <c r="H1651" s="27" t="str">
        <f ca="1">IFERROR(__xludf.DUMMYFUNCTION("""COMPUTED_VALUE"""),"https://link.springer.com/journal/12201")</f>
        <v>https://link.springer.com/journal/12201</v>
      </c>
      <c r="I1651" s="1" t="str">
        <f ca="1">IFERROR(__xludf.DUMMYFUNCTION("""COMPUTED_VALUE"""),"Pleiades Publishing")</f>
        <v>Pleiades Publishing</v>
      </c>
      <c r="J1651" s="1">
        <f ca="1">IFERROR(__xludf.DUMMYFUNCTION("""COMPUTED_VALUE"""),2008)</f>
        <v>2008</v>
      </c>
      <c r="K1651" s="1" t="str">
        <f ca="1">IFERROR(__xludf.DUMMYFUNCTION("""COMPUTED_VALUE"""),"Chemistry and Materials Science")</f>
        <v>Chemistry and Materials Science</v>
      </c>
      <c r="L1651" s="1" t="str">
        <f ca="1">IFERROR(__xludf.DUMMYFUNCTION("""COMPUTED_VALUE"""),"〇")</f>
        <v>〇</v>
      </c>
      <c r="M1651" s="1" t="str">
        <f ca="1">IFERROR(__xludf.DUMMYFUNCTION("""COMPUTED_VALUE"""),"〇")</f>
        <v>〇</v>
      </c>
      <c r="N1651" s="1" t="str">
        <f ca="1">IFERROR(__xludf.DUMMYFUNCTION("""COMPUTED_VALUE"""),"TO8")</f>
        <v>TO8</v>
      </c>
      <c r="O1651" s="1"/>
      <c r="P1651" s="1"/>
    </row>
    <row r="1652" spans="1:16" ht="14.25" customHeight="1" x14ac:dyDescent="0.25">
      <c r="A1652" s="1"/>
      <c r="B1652" s="1">
        <f ca="1"/>
        <v>1640</v>
      </c>
      <c r="C1652" s="1">
        <f ca="1">IFERROR(__xludf.DUMMYFUNCTION("""COMPUTED_VALUE"""),2023)</f>
        <v>2023</v>
      </c>
      <c r="D1652" s="1">
        <f ca="1">IFERROR(__xludf.DUMMYFUNCTION("""COMPUTED_VALUE"""),41204)</f>
        <v>41204</v>
      </c>
      <c r="E1652" s="1" t="str">
        <f ca="1">IFERROR(__xludf.DUMMYFUNCTION("""COMPUTED_VALUE"""),"Nanotechnology for Environmental Engineering")</f>
        <v>Nanotechnology for Environmental Engineering</v>
      </c>
      <c r="F1652" s="1" t="str">
        <f ca="1">IFERROR(__xludf.DUMMYFUNCTION("""COMPUTED_VALUE"""),"2365-6387")</f>
        <v>2365-6387</v>
      </c>
      <c r="G1652" s="1" t="str">
        <f ca="1">IFERROR(__xludf.DUMMYFUNCTION("""COMPUTED_VALUE"""),"2365-6379")</f>
        <v>2365-6379</v>
      </c>
      <c r="H1652" s="27" t="str">
        <f ca="1">IFERROR(__xludf.DUMMYFUNCTION("""COMPUTED_VALUE"""),"https://link.springer.com/journal/41204")</f>
        <v>https://link.springer.com/journal/41204</v>
      </c>
      <c r="I1652" s="1" t="str">
        <f ca="1">IFERROR(__xludf.DUMMYFUNCTION("""COMPUTED_VALUE"""),"Springer")</f>
        <v>Springer</v>
      </c>
      <c r="J1652" s="1">
        <f ca="1">IFERROR(__xludf.DUMMYFUNCTION("""COMPUTED_VALUE"""),2016)</f>
        <v>2016</v>
      </c>
      <c r="K1652" s="1" t="str">
        <f ca="1">IFERROR(__xludf.DUMMYFUNCTION("""COMPUTED_VALUE"""),"Earth and Environmental Science")</f>
        <v>Earth and Environmental Science</v>
      </c>
      <c r="L1652" s="1" t="str">
        <f ca="1">IFERROR(__xludf.DUMMYFUNCTION("""COMPUTED_VALUE"""),"〇")</f>
        <v>〇</v>
      </c>
      <c r="M1652" s="1"/>
      <c r="N1652" s="1" t="str">
        <f ca="1">IFERROR(__xludf.DUMMYFUNCTION("""COMPUTED_VALUE"""),"SNS16")</f>
        <v>SNS16</v>
      </c>
      <c r="O1652" s="1"/>
      <c r="P1652" s="1"/>
    </row>
    <row r="1653" spans="1:16" ht="14.25" customHeight="1" x14ac:dyDescent="0.25">
      <c r="A1653" s="1"/>
      <c r="B1653" s="1">
        <f ca="1"/>
        <v>1641</v>
      </c>
      <c r="C1653" s="1">
        <f ca="1">IFERROR(__xludf.DUMMYFUNCTION("""COMPUTED_VALUE"""),2023)</f>
        <v>2023</v>
      </c>
      <c r="D1653" s="1">
        <f ca="1">IFERROR(__xludf.DUMMYFUNCTION("""COMPUTED_VALUE"""),40009)</f>
        <v>40009</v>
      </c>
      <c r="E1653" s="1" t="str">
        <f ca="1">IFERROR(__xludf.DUMMYFUNCTION("""COMPUTED_VALUE"""),"National Academy Science Letters")</f>
        <v>National Academy Science Letters</v>
      </c>
      <c r="F1653" s="1" t="str">
        <f ca="1">IFERROR(__xludf.DUMMYFUNCTION("""COMPUTED_VALUE"""),"2250-1754")</f>
        <v>2250-1754</v>
      </c>
      <c r="G1653" s="1" t="str">
        <f ca="1">IFERROR(__xludf.DUMMYFUNCTION("""COMPUTED_VALUE"""),"0250-541X")</f>
        <v>0250-541X</v>
      </c>
      <c r="H1653" s="27" t="str">
        <f ca="1">IFERROR(__xludf.DUMMYFUNCTION("""COMPUTED_VALUE"""),"https://link.springer.com/journal/40009")</f>
        <v>https://link.springer.com/journal/40009</v>
      </c>
      <c r="I1653" s="1" t="str">
        <f ca="1">IFERROR(__xludf.DUMMYFUNCTION("""COMPUTED_VALUE"""),"Springer")</f>
        <v>Springer</v>
      </c>
      <c r="J1653" s="1">
        <f ca="1">IFERROR(__xludf.DUMMYFUNCTION("""COMPUTED_VALUE"""),2012)</f>
        <v>2012</v>
      </c>
      <c r="K1653" s="1" t="str">
        <f ca="1">IFERROR(__xludf.DUMMYFUNCTION("""COMPUTED_VALUE"""),"Science (multidisciplinary)")</f>
        <v>Science (multidisciplinary)</v>
      </c>
      <c r="L1653" s="1" t="str">
        <f ca="1">IFERROR(__xludf.DUMMYFUNCTION("""COMPUTED_VALUE"""),"〇")</f>
        <v>〇</v>
      </c>
      <c r="M1653" s="1"/>
      <c r="N1653" s="1" t="str">
        <f ca="1">IFERROR(__xludf.DUMMYFUNCTION("""COMPUTED_VALUE"""),"TO12")</f>
        <v>TO12</v>
      </c>
      <c r="O1653" s="1"/>
      <c r="P1653" s="1"/>
    </row>
    <row r="1654" spans="1:16" ht="14.25" customHeight="1" x14ac:dyDescent="0.25">
      <c r="A1654" s="1"/>
      <c r="B1654" s="1">
        <f ca="1"/>
        <v>1642</v>
      </c>
      <c r="C1654" s="1">
        <f ca="1">IFERROR(__xludf.DUMMYFUNCTION("""COMPUTED_VALUE"""),2023)</f>
        <v>2023</v>
      </c>
      <c r="D1654" s="1">
        <f ca="1">IFERROR(__xludf.DUMMYFUNCTION("""COMPUTED_VALUE"""),10357)</f>
        <v>10357</v>
      </c>
      <c r="E1654" s="1" t="str">
        <f ca="1">IFERROR(__xludf.DUMMYFUNCTION("""COMPUTED_VALUE"""),"Natur und Recht")</f>
        <v>Natur und Recht</v>
      </c>
      <c r="F1654" s="1" t="str">
        <f ca="1">IFERROR(__xludf.DUMMYFUNCTION("""COMPUTED_VALUE"""),"1439-0515")</f>
        <v>1439-0515</v>
      </c>
      <c r="G1654" s="1" t="str">
        <f ca="1">IFERROR(__xludf.DUMMYFUNCTION("""COMPUTED_VALUE"""),"0172-1631")</f>
        <v>0172-1631</v>
      </c>
      <c r="H1654" s="27" t="str">
        <f ca="1">IFERROR(__xludf.DUMMYFUNCTION("""COMPUTED_VALUE"""),"https://link.springer.com/journal/10357")</f>
        <v>https://link.springer.com/journal/10357</v>
      </c>
      <c r="I1654" s="1" t="str">
        <f ca="1">IFERROR(__xludf.DUMMYFUNCTION("""COMPUTED_VALUE"""),"Springer")</f>
        <v>Springer</v>
      </c>
      <c r="J1654" s="1">
        <f ca="1">IFERROR(__xludf.DUMMYFUNCTION("""COMPUTED_VALUE"""),2004)</f>
        <v>2004</v>
      </c>
      <c r="K1654" s="1" t="str">
        <f ca="1">IFERROR(__xludf.DUMMYFUNCTION("""COMPUTED_VALUE"""),"Law and Criminology")</f>
        <v>Law and Criminology</v>
      </c>
      <c r="L1654" s="1" t="str">
        <f ca="1">IFERROR(__xludf.DUMMYFUNCTION("""COMPUTED_VALUE"""),"〇")</f>
        <v>〇</v>
      </c>
      <c r="M1654" s="1" t="str">
        <f ca="1">IFERROR(__xludf.DUMMYFUNCTION("""COMPUTED_VALUE"""),"〇")</f>
        <v>〇</v>
      </c>
      <c r="N1654" s="1"/>
      <c r="O1654" s="1"/>
      <c r="P1654" s="1"/>
    </row>
    <row r="1655" spans="1:16" ht="14.25" customHeight="1" x14ac:dyDescent="0.25">
      <c r="A1655" s="1"/>
      <c r="B1655" s="1">
        <f ca="1"/>
        <v>1643</v>
      </c>
      <c r="C1655" s="1">
        <f ca="1">IFERROR(__xludf.DUMMYFUNCTION("""COMPUTED_VALUE"""),2023)</f>
        <v>2023</v>
      </c>
      <c r="D1655" s="1">
        <f ca="1">IFERROR(__xludf.DUMMYFUNCTION("""COMPUTED_VALUE"""),11047)</f>
        <v>11047</v>
      </c>
      <c r="E1655" s="1" t="str">
        <f ca="1">IFERROR(__xludf.DUMMYFUNCTION("""COMPUTED_VALUE"""),"Natural Computing")</f>
        <v>Natural Computing</v>
      </c>
      <c r="F1655" s="1" t="str">
        <f ca="1">IFERROR(__xludf.DUMMYFUNCTION("""COMPUTED_VALUE"""),"1572-9796")</f>
        <v>1572-9796</v>
      </c>
      <c r="G1655" s="1"/>
      <c r="H1655" s="27" t="str">
        <f ca="1">IFERROR(__xludf.DUMMYFUNCTION("""COMPUTED_VALUE"""),"https://link.springer.com/journal/11047")</f>
        <v>https://link.springer.com/journal/11047</v>
      </c>
      <c r="I1655" s="1" t="str">
        <f ca="1">IFERROR(__xludf.DUMMYFUNCTION("""COMPUTED_VALUE"""),"Springer")</f>
        <v>Springer</v>
      </c>
      <c r="J1655" s="1">
        <f ca="1">IFERROR(__xludf.DUMMYFUNCTION("""COMPUTED_VALUE"""),2002)</f>
        <v>2002</v>
      </c>
      <c r="K1655" s="1" t="str">
        <f ca="1">IFERROR(__xludf.DUMMYFUNCTION("""COMPUTED_VALUE"""),"Computer Science")</f>
        <v>Computer Science</v>
      </c>
      <c r="L1655" s="1"/>
      <c r="M1655" s="1" t="str">
        <f ca="1">IFERROR(__xludf.DUMMYFUNCTION("""COMPUTED_VALUE"""),"〇")</f>
        <v>〇</v>
      </c>
      <c r="N1655" s="1"/>
      <c r="O1655" s="1"/>
      <c r="P1655" s="1"/>
    </row>
    <row r="1656" spans="1:16" ht="14.25" customHeight="1" x14ac:dyDescent="0.25">
      <c r="A1656" s="1"/>
      <c r="B1656" s="1">
        <f ca="1"/>
        <v>1644</v>
      </c>
      <c r="C1656" s="1">
        <f ca="1">IFERROR(__xludf.DUMMYFUNCTION("""COMPUTED_VALUE"""),2023)</f>
        <v>2023</v>
      </c>
      <c r="D1656" s="1">
        <f ca="1">IFERROR(__xludf.DUMMYFUNCTION("""COMPUTED_VALUE"""),11069)</f>
        <v>11069</v>
      </c>
      <c r="E1656" s="1" t="str">
        <f ca="1">IFERROR(__xludf.DUMMYFUNCTION("""COMPUTED_VALUE"""),"Natural Hazards")</f>
        <v>Natural Hazards</v>
      </c>
      <c r="F1656" s="1" t="str">
        <f ca="1">IFERROR(__xludf.DUMMYFUNCTION("""COMPUTED_VALUE"""),"1573-0840")</f>
        <v>1573-0840</v>
      </c>
      <c r="G1656" s="1" t="str">
        <f ca="1">IFERROR(__xludf.DUMMYFUNCTION("""COMPUTED_VALUE"""),"0921-030X")</f>
        <v>0921-030X</v>
      </c>
      <c r="H1656" s="27" t="str">
        <f ca="1">IFERROR(__xludf.DUMMYFUNCTION("""COMPUTED_VALUE"""),"https://link.springer.com/journal/11069")</f>
        <v>https://link.springer.com/journal/11069</v>
      </c>
      <c r="I1656" s="1" t="str">
        <f ca="1">IFERROR(__xludf.DUMMYFUNCTION("""COMPUTED_VALUE"""),"Springer")</f>
        <v>Springer</v>
      </c>
      <c r="J1656" s="1">
        <f ca="1">IFERROR(__xludf.DUMMYFUNCTION("""COMPUTED_VALUE"""),2000)</f>
        <v>2000</v>
      </c>
      <c r="K1656" s="1" t="str">
        <f ca="1">IFERROR(__xludf.DUMMYFUNCTION("""COMPUTED_VALUE"""),"Earth and Environmental Science")</f>
        <v>Earth and Environmental Science</v>
      </c>
      <c r="L1656" s="1" t="str">
        <f ca="1">IFERROR(__xludf.DUMMYFUNCTION("""COMPUTED_VALUE"""),"〇")</f>
        <v>〇</v>
      </c>
      <c r="M1656" s="1" t="str">
        <f ca="1">IFERROR(__xludf.DUMMYFUNCTION("""COMPUTED_VALUE"""),"〇")</f>
        <v>〇</v>
      </c>
      <c r="N1656" s="1"/>
      <c r="O1656" s="1"/>
      <c r="P1656" s="1"/>
    </row>
    <row r="1657" spans="1:16" ht="14.25" customHeight="1" x14ac:dyDescent="0.25">
      <c r="A1657" s="1"/>
      <c r="B1657" s="1">
        <f ca="1"/>
        <v>1645</v>
      </c>
      <c r="C1657" s="1">
        <f ca="1">IFERROR(__xludf.DUMMYFUNCTION("""COMPUTED_VALUE"""),2023)</f>
        <v>2023</v>
      </c>
      <c r="D1657" s="1">
        <f ca="1">IFERROR(__xludf.DUMMYFUNCTION("""COMPUTED_VALUE"""),11049)</f>
        <v>11049</v>
      </c>
      <c r="E1657" s="1" t="str">
        <f ca="1">IFERROR(__xludf.DUMMYFUNCTION("""COMPUTED_VALUE"""),"Natural Language &amp; Linguistic Theory")</f>
        <v>Natural Language &amp; Linguistic Theory</v>
      </c>
      <c r="F1657" s="1" t="str">
        <f ca="1">IFERROR(__xludf.DUMMYFUNCTION("""COMPUTED_VALUE"""),"1573-0859")</f>
        <v>1573-0859</v>
      </c>
      <c r="G1657" s="1" t="str">
        <f ca="1">IFERROR(__xludf.DUMMYFUNCTION("""COMPUTED_VALUE"""),"0167-806X")</f>
        <v>0167-806X</v>
      </c>
      <c r="H1657" s="27" t="str">
        <f ca="1">IFERROR(__xludf.DUMMYFUNCTION("""COMPUTED_VALUE"""),"https://link.springer.com/journal/11049")</f>
        <v>https://link.springer.com/journal/11049</v>
      </c>
      <c r="I1657" s="1" t="str">
        <f ca="1">IFERROR(__xludf.DUMMYFUNCTION("""COMPUTED_VALUE"""),"Springer")</f>
        <v>Springer</v>
      </c>
      <c r="J1657" s="1">
        <f ca="1">IFERROR(__xludf.DUMMYFUNCTION("""COMPUTED_VALUE"""),2000)</f>
        <v>2000</v>
      </c>
      <c r="K1657" s="1" t="str">
        <f ca="1">IFERROR(__xludf.DUMMYFUNCTION("""COMPUTED_VALUE"""),"Social Sciences")</f>
        <v>Social Sciences</v>
      </c>
      <c r="L1657" s="1" t="str">
        <f ca="1">IFERROR(__xludf.DUMMYFUNCTION("""COMPUTED_VALUE"""),"〇")</f>
        <v>〇</v>
      </c>
      <c r="M1657" s="1" t="str">
        <f ca="1">IFERROR(__xludf.DUMMYFUNCTION("""COMPUTED_VALUE"""),"〇")</f>
        <v>〇</v>
      </c>
      <c r="N1657" s="1"/>
      <c r="O1657" s="1"/>
      <c r="P1657" s="1"/>
    </row>
    <row r="1658" spans="1:16" ht="14.25" customHeight="1" x14ac:dyDescent="0.25">
      <c r="A1658" s="1"/>
      <c r="B1658" s="1">
        <f ca="1"/>
        <v>1646</v>
      </c>
      <c r="C1658" s="1">
        <f ca="1">IFERROR(__xludf.DUMMYFUNCTION("""COMPUTED_VALUE"""),2023)</f>
        <v>2023</v>
      </c>
      <c r="D1658" s="1">
        <f ca="1">IFERROR(__xludf.DUMMYFUNCTION("""COMPUTED_VALUE"""),11050)</f>
        <v>11050</v>
      </c>
      <c r="E1658" s="1" t="str">
        <f ca="1">IFERROR(__xludf.DUMMYFUNCTION("""COMPUTED_VALUE"""),"Natural Language Semantics")</f>
        <v>Natural Language Semantics</v>
      </c>
      <c r="F1658" s="1" t="str">
        <f ca="1">IFERROR(__xludf.DUMMYFUNCTION("""COMPUTED_VALUE"""),"1572-865X")</f>
        <v>1572-865X</v>
      </c>
      <c r="G1658" s="1" t="str">
        <f ca="1">IFERROR(__xludf.DUMMYFUNCTION("""COMPUTED_VALUE"""),"0925-854X")</f>
        <v>0925-854X</v>
      </c>
      <c r="H1658" s="27" t="str">
        <f ca="1">IFERROR(__xludf.DUMMYFUNCTION("""COMPUTED_VALUE"""),"https://link.springer.com/journal/11050")</f>
        <v>https://link.springer.com/journal/11050</v>
      </c>
      <c r="I1658" s="1" t="str">
        <f ca="1">IFERROR(__xludf.DUMMYFUNCTION("""COMPUTED_VALUE"""),"Springer")</f>
        <v>Springer</v>
      </c>
      <c r="J1658" s="1">
        <f ca="1">IFERROR(__xludf.DUMMYFUNCTION("""COMPUTED_VALUE"""),2000)</f>
        <v>2000</v>
      </c>
      <c r="K1658" s="1" t="str">
        <f ca="1">IFERROR(__xludf.DUMMYFUNCTION("""COMPUTED_VALUE"""),"Social Sciences")</f>
        <v>Social Sciences</v>
      </c>
      <c r="L1658" s="1" t="str">
        <f ca="1">IFERROR(__xludf.DUMMYFUNCTION("""COMPUTED_VALUE"""),"〇")</f>
        <v>〇</v>
      </c>
      <c r="M1658" s="1" t="str">
        <f ca="1">IFERROR(__xludf.DUMMYFUNCTION("""COMPUTED_VALUE"""),"〇")</f>
        <v>〇</v>
      </c>
      <c r="N1658" s="1"/>
      <c r="O1658" s="1"/>
      <c r="P1658" s="1"/>
    </row>
    <row r="1659" spans="1:16" ht="14.25" customHeight="1" x14ac:dyDescent="0.25">
      <c r="A1659" s="1"/>
      <c r="B1659" s="1">
        <f ca="1"/>
        <v>1647</v>
      </c>
      <c r="C1659" s="1">
        <f ca="1">IFERROR(__xludf.DUMMYFUNCTION("""COMPUTED_VALUE"""),2023)</f>
        <v>2023</v>
      </c>
      <c r="D1659" s="1">
        <f ca="1">IFERROR(__xludf.DUMMYFUNCTION("""COMPUTED_VALUE"""),11053)</f>
        <v>11053</v>
      </c>
      <c r="E1659" s="1" t="str">
        <f ca="1">IFERROR(__xludf.DUMMYFUNCTION("""COMPUTED_VALUE"""),"Natural Resources Research")</f>
        <v>Natural Resources Research</v>
      </c>
      <c r="F1659" s="1" t="str">
        <f ca="1">IFERROR(__xludf.DUMMYFUNCTION("""COMPUTED_VALUE"""),"1573-8981")</f>
        <v>1573-8981</v>
      </c>
      <c r="G1659" s="1" t="str">
        <f ca="1">IFERROR(__xludf.DUMMYFUNCTION("""COMPUTED_VALUE"""),"1520-7439")</f>
        <v>1520-7439</v>
      </c>
      <c r="H1659" s="27" t="str">
        <f ca="1">IFERROR(__xludf.DUMMYFUNCTION("""COMPUTED_VALUE"""),"https://link.springer.com/journal/11053")</f>
        <v>https://link.springer.com/journal/11053</v>
      </c>
      <c r="I1659" s="1" t="str">
        <f ca="1">IFERROR(__xludf.DUMMYFUNCTION("""COMPUTED_VALUE"""),"Springer")</f>
        <v>Springer</v>
      </c>
      <c r="J1659" s="1">
        <f ca="1">IFERROR(__xludf.DUMMYFUNCTION("""COMPUTED_VALUE"""),2000)</f>
        <v>2000</v>
      </c>
      <c r="K1659" s="1" t="str">
        <f ca="1">IFERROR(__xludf.DUMMYFUNCTION("""COMPUTED_VALUE"""),"Earth and Environmental Science")</f>
        <v>Earth and Environmental Science</v>
      </c>
      <c r="L1659" s="1" t="str">
        <f ca="1">IFERROR(__xludf.DUMMYFUNCTION("""COMPUTED_VALUE"""),"〇")</f>
        <v>〇</v>
      </c>
      <c r="M1659" s="1" t="str">
        <f ca="1">IFERROR(__xludf.DUMMYFUNCTION("""COMPUTED_VALUE"""),"〇")</f>
        <v>〇</v>
      </c>
      <c r="N1659" s="1"/>
      <c r="O1659" s="1"/>
      <c r="P1659" s="1"/>
    </row>
    <row r="1660" spans="1:16" ht="14.25" customHeight="1" x14ac:dyDescent="0.25">
      <c r="A1660" s="1"/>
      <c r="B1660" s="1">
        <f ca="1"/>
        <v>1648</v>
      </c>
      <c r="C1660" s="1">
        <f ca="1">IFERROR(__xludf.DUMMYFUNCTION("""COMPUTED_VALUE"""),2023)</f>
        <v>2023</v>
      </c>
      <c r="D1660" s="1">
        <f ca="1">IFERROR(__xludf.DUMMYFUNCTION("""COMPUTED_VALUE"""),210)</f>
        <v>210</v>
      </c>
      <c r="E1660" s="1" t="str">
        <f ca="1">IFERROR(__xludf.DUMMYFUNCTION("""COMPUTED_VALUE"""),"Naunyn-Schmiedeberg's Archives of Pharmacology")</f>
        <v>Naunyn-Schmiedeberg's Archives of Pharmacology</v>
      </c>
      <c r="F1660" s="1" t="str">
        <f ca="1">IFERROR(__xludf.DUMMYFUNCTION("""COMPUTED_VALUE"""),"1432-1912")</f>
        <v>1432-1912</v>
      </c>
      <c r="G1660" s="1" t="str">
        <f ca="1">IFERROR(__xludf.DUMMYFUNCTION("""COMPUTED_VALUE"""),"0028-1298")</f>
        <v>0028-1298</v>
      </c>
      <c r="H1660" s="27" t="str">
        <f ca="1">IFERROR(__xludf.DUMMYFUNCTION("""COMPUTED_VALUE"""),"https://link.springer.com/journal/210")</f>
        <v>https://link.springer.com/journal/210</v>
      </c>
      <c r="I1660" s="1" t="str">
        <f ca="1">IFERROR(__xludf.DUMMYFUNCTION("""COMPUTED_VALUE"""),"Springer")</f>
        <v>Springer</v>
      </c>
      <c r="J1660" s="1">
        <f ca="1">IFERROR(__xludf.DUMMYFUNCTION("""COMPUTED_VALUE"""),2000)</f>
        <v>2000</v>
      </c>
      <c r="K1660" s="1" t="str">
        <f ca="1">IFERROR(__xludf.DUMMYFUNCTION("""COMPUTED_VALUE"""),"Biomedical and Life Sciences")</f>
        <v>Biomedical and Life Sciences</v>
      </c>
      <c r="L1660" s="1" t="str">
        <f ca="1">IFERROR(__xludf.DUMMYFUNCTION("""COMPUTED_VALUE"""),"〇")</f>
        <v>〇</v>
      </c>
      <c r="M1660" s="1" t="str">
        <f ca="1">IFERROR(__xludf.DUMMYFUNCTION("""COMPUTED_VALUE"""),"〇")</f>
        <v>〇</v>
      </c>
      <c r="N1660" s="1"/>
      <c r="O1660" s="1"/>
      <c r="P1660" s="1"/>
    </row>
    <row r="1661" spans="1:16" ht="14.25" customHeight="1" x14ac:dyDescent="0.25">
      <c r="A1661" s="1"/>
      <c r="B1661" s="1">
        <f ca="1"/>
        <v>1649</v>
      </c>
      <c r="C1661" s="1">
        <f ca="1">IFERROR(__xludf.DUMMYFUNCTION("""COMPUTED_VALUE"""),2023)</f>
        <v>2023</v>
      </c>
      <c r="D1661" s="1">
        <f ca="1">IFERROR(__xludf.DUMMYFUNCTION("""COMPUTED_VALUE"""),11059)</f>
        <v>11059</v>
      </c>
      <c r="E1661" s="1" t="str">
        <f ca="1">IFERROR(__xludf.DUMMYFUNCTION("""COMPUTED_VALUE"""),"Neohelicon")</f>
        <v>Neohelicon</v>
      </c>
      <c r="F1661" s="1" t="str">
        <f ca="1">IFERROR(__xludf.DUMMYFUNCTION("""COMPUTED_VALUE"""),"1588-2810")</f>
        <v>1588-2810</v>
      </c>
      <c r="G1661" s="1" t="str">
        <f ca="1">IFERROR(__xludf.DUMMYFUNCTION("""COMPUTED_VALUE"""),"0324-4652")</f>
        <v>0324-4652</v>
      </c>
      <c r="H1661" s="27" t="str">
        <f ca="1">IFERROR(__xludf.DUMMYFUNCTION("""COMPUTED_VALUE"""),"https://link.springer.com/journal/11059")</f>
        <v>https://link.springer.com/journal/11059</v>
      </c>
      <c r="I1661" s="1" t="str">
        <f ca="1">IFERROR(__xludf.DUMMYFUNCTION("""COMPUTED_VALUE"""),"Akadémiai Kiadó, co-published with Springer")</f>
        <v>Akadémiai Kiadó, co-published with Springer</v>
      </c>
      <c r="J1661" s="1">
        <f ca="1">IFERROR(__xludf.DUMMYFUNCTION("""COMPUTED_VALUE"""),2000)</f>
        <v>2000</v>
      </c>
      <c r="K1661" s="1" t="str">
        <f ca="1">IFERROR(__xludf.DUMMYFUNCTION("""COMPUTED_VALUE"""),"Literature, Cultural and Media Studies")</f>
        <v>Literature, Cultural and Media Studies</v>
      </c>
      <c r="L1661" s="1" t="str">
        <f ca="1">IFERROR(__xludf.DUMMYFUNCTION("""COMPUTED_VALUE"""),"〇")</f>
        <v>〇</v>
      </c>
      <c r="M1661" s="1" t="str">
        <f ca="1">IFERROR(__xludf.DUMMYFUNCTION("""COMPUTED_VALUE"""),"〇")</f>
        <v>〇</v>
      </c>
      <c r="N1661" s="1"/>
      <c r="O1661" s="1"/>
      <c r="P1661" s="1"/>
    </row>
    <row r="1662" spans="1:16" ht="14.25" customHeight="1" x14ac:dyDescent="0.25">
      <c r="A1662" s="1"/>
      <c r="B1662" s="1">
        <f ca="1"/>
        <v>1650</v>
      </c>
      <c r="C1662" s="1">
        <f ca="1">IFERROR(__xludf.DUMMYFUNCTION("""COMPUTED_VALUE"""),2023)</f>
        <v>2023</v>
      </c>
      <c r="D1662" s="1">
        <f ca="1">IFERROR(__xludf.DUMMYFUNCTION("""COMPUTED_VALUE"""),11061)</f>
        <v>11061</v>
      </c>
      <c r="E1662" s="1" t="str">
        <f ca="1">IFERROR(__xludf.DUMMYFUNCTION("""COMPUTED_VALUE"""),"Neophilologus")</f>
        <v>Neophilologus</v>
      </c>
      <c r="F1662" s="1" t="str">
        <f ca="1">IFERROR(__xludf.DUMMYFUNCTION("""COMPUTED_VALUE"""),"1572-8668")</f>
        <v>1572-8668</v>
      </c>
      <c r="G1662" s="1" t="str">
        <f ca="1">IFERROR(__xludf.DUMMYFUNCTION("""COMPUTED_VALUE"""),"0028-2677")</f>
        <v>0028-2677</v>
      </c>
      <c r="H1662" s="27" t="str">
        <f ca="1">IFERROR(__xludf.DUMMYFUNCTION("""COMPUTED_VALUE"""),"https://link.springer.com/journal/11061")</f>
        <v>https://link.springer.com/journal/11061</v>
      </c>
      <c r="I1662" s="1" t="str">
        <f ca="1">IFERROR(__xludf.DUMMYFUNCTION("""COMPUTED_VALUE"""),"Springer")</f>
        <v>Springer</v>
      </c>
      <c r="J1662" s="1">
        <f ca="1">IFERROR(__xludf.DUMMYFUNCTION("""COMPUTED_VALUE"""),2000)</f>
        <v>2000</v>
      </c>
      <c r="K1662" s="1" t="str">
        <f ca="1">IFERROR(__xludf.DUMMYFUNCTION("""COMPUTED_VALUE"""),"Social Sciences")</f>
        <v>Social Sciences</v>
      </c>
      <c r="L1662" s="1" t="str">
        <f ca="1">IFERROR(__xludf.DUMMYFUNCTION("""COMPUTED_VALUE"""),"〇")</f>
        <v>〇</v>
      </c>
      <c r="M1662" s="1" t="str">
        <f ca="1">IFERROR(__xludf.DUMMYFUNCTION("""COMPUTED_VALUE"""),"〇")</f>
        <v>〇</v>
      </c>
      <c r="N1662" s="1"/>
      <c r="O1662" s="1"/>
      <c r="P1662" s="1"/>
    </row>
    <row r="1663" spans="1:16" ht="14.25" customHeight="1" x14ac:dyDescent="0.25">
      <c r="A1663" s="1"/>
      <c r="B1663" s="1">
        <f ca="1"/>
        <v>1651</v>
      </c>
      <c r="C1663" s="1">
        <f ca="1">IFERROR(__xludf.DUMMYFUNCTION("""COMPUTED_VALUE"""),2023)</f>
        <v>2023</v>
      </c>
      <c r="D1663" s="1">
        <f ca="1">IFERROR(__xludf.DUMMYFUNCTION("""COMPUTED_VALUE"""),13744)</f>
        <v>13744</v>
      </c>
      <c r="E1663" s="1" t="str">
        <f ca="1">IFERROR(__xludf.DUMMYFUNCTION("""COMPUTED_VALUE"""),"Neotropical Entomology")</f>
        <v>Neotropical Entomology</v>
      </c>
      <c r="F1663" s="1" t="str">
        <f ca="1">IFERROR(__xludf.DUMMYFUNCTION("""COMPUTED_VALUE"""),"1678-8052")</f>
        <v>1678-8052</v>
      </c>
      <c r="G1663" s="1"/>
      <c r="H1663" s="27" t="str">
        <f ca="1">IFERROR(__xludf.DUMMYFUNCTION("""COMPUTED_VALUE"""),"https://link.springer.com/journal/13744")</f>
        <v>https://link.springer.com/journal/13744</v>
      </c>
      <c r="I1663" s="1" t="str">
        <f ca="1">IFERROR(__xludf.DUMMYFUNCTION("""COMPUTED_VALUE"""),"Springer")</f>
        <v>Springer</v>
      </c>
      <c r="J1663" s="1">
        <f ca="1">IFERROR(__xludf.DUMMYFUNCTION("""COMPUTED_VALUE"""),2012)</f>
        <v>2012</v>
      </c>
      <c r="K1663" s="1" t="str">
        <f ca="1">IFERROR(__xludf.DUMMYFUNCTION("""COMPUTED_VALUE"""),"Biomedical and Life Sciences")</f>
        <v>Biomedical and Life Sciences</v>
      </c>
      <c r="L1663" s="1"/>
      <c r="M1663" s="1"/>
      <c r="N1663" s="1" t="str">
        <f ca="1">IFERROR(__xludf.DUMMYFUNCTION("""COMPUTED_VALUE"""),"TO12")</f>
        <v>TO12</v>
      </c>
      <c r="O1663" s="1"/>
      <c r="P1663" s="1"/>
    </row>
    <row r="1664" spans="1:16" ht="14.25" customHeight="1" x14ac:dyDescent="0.25">
      <c r="A1664" s="1"/>
      <c r="B1664" s="1">
        <f ca="1"/>
        <v>1652</v>
      </c>
      <c r="C1664" s="1">
        <f ca="1">IFERROR(__xludf.DUMMYFUNCTION("""COMPUTED_VALUE"""),2023)</f>
        <v>2023</v>
      </c>
      <c r="D1664" s="1">
        <f ca="1">IFERROR(__xludf.DUMMYFUNCTION("""COMPUTED_VALUE"""),40802)</f>
        <v>40802</v>
      </c>
      <c r="E1664" s="1" t="str">
        <f ca="1">IFERROR(__xludf.DUMMYFUNCTION("""COMPUTED_VALUE"""),"Netherlands International Law Review")</f>
        <v>Netherlands International Law Review</v>
      </c>
      <c r="F1664" s="1" t="str">
        <f ca="1">IFERROR(__xludf.DUMMYFUNCTION("""COMPUTED_VALUE"""),"1741-6191")</f>
        <v>1741-6191</v>
      </c>
      <c r="G1664" s="1" t="str">
        <f ca="1">IFERROR(__xludf.DUMMYFUNCTION("""COMPUTED_VALUE"""),"0165-070X")</f>
        <v>0165-070X</v>
      </c>
      <c r="H1664" s="27" t="str">
        <f ca="1">IFERROR(__xludf.DUMMYFUNCTION("""COMPUTED_VALUE"""),"https://link.springer.com/journal/40802")</f>
        <v>https://link.springer.com/journal/40802</v>
      </c>
      <c r="I1664" s="1" t="str">
        <f ca="1">IFERROR(__xludf.DUMMYFUNCTION("""COMPUTED_VALUE"""),"Springer")</f>
        <v>Springer</v>
      </c>
      <c r="J1664" s="1">
        <f ca="1">IFERROR(__xludf.DUMMYFUNCTION("""COMPUTED_VALUE"""),2000)</f>
        <v>2000</v>
      </c>
      <c r="K1664" s="1" t="str">
        <f ca="1">IFERROR(__xludf.DUMMYFUNCTION("""COMPUTED_VALUE"""),"Law and Criminology")</f>
        <v>Law and Criminology</v>
      </c>
      <c r="L1664" s="1" t="str">
        <f ca="1">IFERROR(__xludf.DUMMYFUNCTION("""COMPUTED_VALUE"""),"〇")</f>
        <v>〇</v>
      </c>
      <c r="M1664" s="1"/>
      <c r="N1664" s="1" t="str">
        <f ca="1">IFERROR(__xludf.DUMMYFUNCTION("""COMPUTED_VALUE"""),"TO15")</f>
        <v>TO15</v>
      </c>
      <c r="O1664" s="1"/>
      <c r="P1664" s="1"/>
    </row>
    <row r="1665" spans="1:16" ht="14.25" customHeight="1" x14ac:dyDescent="0.25">
      <c r="A1665" s="1"/>
      <c r="B1665" s="1">
        <f ca="1"/>
        <v>1653</v>
      </c>
      <c r="C1665" s="1">
        <f ca="1">IFERROR(__xludf.DUMMYFUNCTION("""COMPUTED_VALUE"""),2023)</f>
        <v>2023</v>
      </c>
      <c r="D1665" s="1">
        <f ca="1">IFERROR(__xludf.DUMMYFUNCTION("""COMPUTED_VALUE"""),13721)</f>
        <v>13721</v>
      </c>
      <c r="E1665" s="1" t="str">
        <f ca="1">IFERROR(__xludf.DUMMYFUNCTION("""COMPUTED_VALUE"""),"Network Modeling Analysis in Health Informatics and Bioinformatics")</f>
        <v>Network Modeling Analysis in Health Informatics and Bioinformatics</v>
      </c>
      <c r="F1665" s="1" t="str">
        <f ca="1">IFERROR(__xludf.DUMMYFUNCTION("""COMPUTED_VALUE"""),"2192-6670")</f>
        <v>2192-6670</v>
      </c>
      <c r="G1665" s="1"/>
      <c r="H1665" s="27" t="str">
        <f ca="1">IFERROR(__xludf.DUMMYFUNCTION("""COMPUTED_VALUE"""),"https://link.springer.com/journal/13721")</f>
        <v>https://link.springer.com/journal/13721</v>
      </c>
      <c r="I1665" s="1" t="str">
        <f ca="1">IFERROR(__xludf.DUMMYFUNCTION("""COMPUTED_VALUE"""),"Springer")</f>
        <v>Springer</v>
      </c>
      <c r="J1665" s="1">
        <f ca="1">IFERROR(__xludf.DUMMYFUNCTION("""COMPUTED_VALUE"""),2012)</f>
        <v>2012</v>
      </c>
      <c r="K1665" s="1" t="str">
        <f ca="1">IFERROR(__xludf.DUMMYFUNCTION("""COMPUTED_VALUE"""),"Computer Science")</f>
        <v>Computer Science</v>
      </c>
      <c r="L1665" s="1"/>
      <c r="M1665" s="1"/>
      <c r="N1665" s="1" t="str">
        <f ca="1">IFERROR(__xludf.DUMMYFUNCTION("""COMPUTED_VALUE"""),"SNS12")</f>
        <v>SNS12</v>
      </c>
      <c r="O1665" s="1"/>
      <c r="P1665" s="1"/>
    </row>
    <row r="1666" spans="1:16" ht="14.25" customHeight="1" x14ac:dyDescent="0.25">
      <c r="A1666" s="1"/>
      <c r="B1666" s="1">
        <f ca="1"/>
        <v>1654</v>
      </c>
      <c r="C1666" s="1">
        <f ca="1">IFERROR(__xludf.DUMMYFUNCTION("""COMPUTED_VALUE"""),2023)</f>
        <v>2023</v>
      </c>
      <c r="D1666" s="1">
        <f ca="1">IFERROR(__xludf.DUMMYFUNCTION("""COMPUTED_VALUE"""),11067)</f>
        <v>11067</v>
      </c>
      <c r="E1666" s="1" t="str">
        <f ca="1">IFERROR(__xludf.DUMMYFUNCTION("""COMPUTED_VALUE"""),"Networks and Spatial Economics")</f>
        <v>Networks and Spatial Economics</v>
      </c>
      <c r="F1666" s="1" t="str">
        <f ca="1">IFERROR(__xludf.DUMMYFUNCTION("""COMPUTED_VALUE"""),"1572-9427")</f>
        <v>1572-9427</v>
      </c>
      <c r="G1666" s="1" t="str">
        <f ca="1">IFERROR(__xludf.DUMMYFUNCTION("""COMPUTED_VALUE"""),"1566-113X")</f>
        <v>1566-113X</v>
      </c>
      <c r="H1666" s="27" t="str">
        <f ca="1">IFERROR(__xludf.DUMMYFUNCTION("""COMPUTED_VALUE"""),"https://link.springer.com/journal/11067")</f>
        <v>https://link.springer.com/journal/11067</v>
      </c>
      <c r="I1666" s="1" t="str">
        <f ca="1">IFERROR(__xludf.DUMMYFUNCTION("""COMPUTED_VALUE"""),"Springer")</f>
        <v>Springer</v>
      </c>
      <c r="J1666" s="1">
        <f ca="1">IFERROR(__xludf.DUMMYFUNCTION("""COMPUTED_VALUE"""),2001)</f>
        <v>2001</v>
      </c>
      <c r="K1666" s="1" t="str">
        <f ca="1">IFERROR(__xludf.DUMMYFUNCTION("""COMPUTED_VALUE"""),"Economics and Finance")</f>
        <v>Economics and Finance</v>
      </c>
      <c r="L1666" s="1" t="str">
        <f ca="1">IFERROR(__xludf.DUMMYFUNCTION("""COMPUTED_VALUE"""),"〇")</f>
        <v>〇</v>
      </c>
      <c r="M1666" s="1" t="str">
        <f ca="1">IFERROR(__xludf.DUMMYFUNCTION("""COMPUTED_VALUE"""),"〇")</f>
        <v>〇</v>
      </c>
      <c r="N1666" s="1"/>
      <c r="O1666" s="1"/>
      <c r="P1666" s="1"/>
    </row>
    <row r="1667" spans="1:16" ht="14.25" customHeight="1" x14ac:dyDescent="0.25">
      <c r="A1667" s="1"/>
      <c r="B1667" s="1">
        <f ca="1"/>
        <v>1655</v>
      </c>
      <c r="C1667" s="1">
        <f ca="1">IFERROR(__xludf.DUMMYFUNCTION("""COMPUTED_VALUE"""),2023)</f>
        <v>2023</v>
      </c>
      <c r="D1667" s="1">
        <f ca="1">IFERROR(__xludf.DUMMYFUNCTION("""COMPUTED_VALUE"""),42520)</f>
        <v>42520</v>
      </c>
      <c r="E1667" s="1" t="str">
        <f ca="1">IFERROR(__xludf.DUMMYFUNCTION("""COMPUTED_VALUE"""),"Neue Politische Literatur")</f>
        <v>Neue Politische Literatur</v>
      </c>
      <c r="F1667" s="1" t="str">
        <f ca="1">IFERROR(__xludf.DUMMYFUNCTION("""COMPUTED_VALUE"""),"2197-6082")</f>
        <v>2197-6082</v>
      </c>
      <c r="G1667" s="1" t="str">
        <f ca="1">IFERROR(__xludf.DUMMYFUNCTION("""COMPUTED_VALUE"""),"0028-3320")</f>
        <v>0028-3320</v>
      </c>
      <c r="H1667" s="27" t="str">
        <f ca="1">IFERROR(__xludf.DUMMYFUNCTION("""COMPUTED_VALUE"""),"https://link.springer.com/journal/42520")</f>
        <v>https://link.springer.com/journal/42520</v>
      </c>
      <c r="I1667" s="1" t="str">
        <f ca="1">IFERROR(__xludf.DUMMYFUNCTION("""COMPUTED_VALUE"""),"Springer VS")</f>
        <v>Springer VS</v>
      </c>
      <c r="J1667" s="1">
        <f ca="1">IFERROR(__xludf.DUMMYFUNCTION("""COMPUTED_VALUE"""),2019)</f>
        <v>2019</v>
      </c>
      <c r="K1667" s="1" t="str">
        <f ca="1">IFERROR(__xludf.DUMMYFUNCTION("""COMPUTED_VALUE"""),"History")</f>
        <v>History</v>
      </c>
      <c r="L1667" s="1" t="str">
        <f ca="1">IFERROR(__xludf.DUMMYFUNCTION("""COMPUTED_VALUE"""),"〇")</f>
        <v>〇</v>
      </c>
      <c r="M1667" s="1"/>
      <c r="N1667" s="1" t="str">
        <f ca="1">IFERROR(__xludf.DUMMYFUNCTION("""COMPUTED_VALUE"""),"TO19")</f>
        <v>TO19</v>
      </c>
      <c r="O1667" s="1"/>
      <c r="P1667" s="1"/>
    </row>
    <row r="1668" spans="1:16" ht="14.25" customHeight="1" x14ac:dyDescent="0.25">
      <c r="A1668" s="1"/>
      <c r="B1668" s="1">
        <f ca="1"/>
        <v>1656</v>
      </c>
      <c r="C1668" s="1">
        <f ca="1">IFERROR(__xludf.DUMMYFUNCTION("""COMPUTED_VALUE"""),2023)</f>
        <v>2023</v>
      </c>
      <c r="D1668" s="1">
        <f ca="1">IFERROR(__xludf.DUMMYFUNCTION("""COMPUTED_VALUE"""),521)</f>
        <v>521</v>
      </c>
      <c r="E1668" s="1" t="str">
        <f ca="1">IFERROR(__xludf.DUMMYFUNCTION("""COMPUTED_VALUE"""),"Neural Computing and Applications")</f>
        <v>Neural Computing and Applications</v>
      </c>
      <c r="F1668" s="1" t="str">
        <f ca="1">IFERROR(__xludf.DUMMYFUNCTION("""COMPUTED_VALUE"""),"1433-3058")</f>
        <v>1433-3058</v>
      </c>
      <c r="G1668" s="1" t="str">
        <f ca="1">IFERROR(__xludf.DUMMYFUNCTION("""COMPUTED_VALUE"""),"0941-0643")</f>
        <v>0941-0643</v>
      </c>
      <c r="H1668" s="27" t="str">
        <f ca="1">IFERROR(__xludf.DUMMYFUNCTION("""COMPUTED_VALUE"""),"https://link.springer.com/journal/521")</f>
        <v>https://link.springer.com/journal/521</v>
      </c>
      <c r="I1668" s="1" t="str">
        <f ca="1">IFERROR(__xludf.DUMMYFUNCTION("""COMPUTED_VALUE"""),"Springer")</f>
        <v>Springer</v>
      </c>
      <c r="J1668" s="1">
        <f ca="1">IFERROR(__xludf.DUMMYFUNCTION("""COMPUTED_VALUE"""),2000)</f>
        <v>2000</v>
      </c>
      <c r="K1668" s="1" t="str">
        <f ca="1">IFERROR(__xludf.DUMMYFUNCTION("""COMPUTED_VALUE"""),"Computer Science")</f>
        <v>Computer Science</v>
      </c>
      <c r="L1668" s="1" t="str">
        <f ca="1">IFERROR(__xludf.DUMMYFUNCTION("""COMPUTED_VALUE"""),"〇")</f>
        <v>〇</v>
      </c>
      <c r="M1668" s="1" t="str">
        <f ca="1">IFERROR(__xludf.DUMMYFUNCTION("""COMPUTED_VALUE"""),"〇")</f>
        <v>〇</v>
      </c>
      <c r="N1668" s="1"/>
      <c r="O1668" s="1"/>
      <c r="P1668" s="1"/>
    </row>
    <row r="1669" spans="1:16" ht="14.25" customHeight="1" x14ac:dyDescent="0.25">
      <c r="A1669" s="1"/>
      <c r="B1669" s="1">
        <f ca="1"/>
        <v>1657</v>
      </c>
      <c r="C1669" s="1">
        <f ca="1">IFERROR(__xludf.DUMMYFUNCTION("""COMPUTED_VALUE"""),2023)</f>
        <v>2023</v>
      </c>
      <c r="D1669" s="1">
        <f ca="1">IFERROR(__xludf.DUMMYFUNCTION("""COMPUTED_VALUE"""),11063)</f>
        <v>11063</v>
      </c>
      <c r="E1669" s="1" t="str">
        <f ca="1">IFERROR(__xludf.DUMMYFUNCTION("""COMPUTED_VALUE"""),"Neural Processing Letters")</f>
        <v>Neural Processing Letters</v>
      </c>
      <c r="F1669" s="1" t="str">
        <f ca="1">IFERROR(__xludf.DUMMYFUNCTION("""COMPUTED_VALUE"""),"1573-773X")</f>
        <v>1573-773X</v>
      </c>
      <c r="G1669" s="1" t="str">
        <f ca="1">IFERROR(__xludf.DUMMYFUNCTION("""COMPUTED_VALUE"""),"1370-4621")</f>
        <v>1370-4621</v>
      </c>
      <c r="H1669" s="27" t="str">
        <f ca="1">IFERROR(__xludf.DUMMYFUNCTION("""COMPUTED_VALUE"""),"https://link.springer.com/journal/11063")</f>
        <v>https://link.springer.com/journal/11063</v>
      </c>
      <c r="I1669" s="1" t="str">
        <f ca="1">IFERROR(__xludf.DUMMYFUNCTION("""COMPUTED_VALUE"""),"Springer")</f>
        <v>Springer</v>
      </c>
      <c r="J1669" s="1">
        <f ca="1">IFERROR(__xludf.DUMMYFUNCTION("""COMPUTED_VALUE"""),2000)</f>
        <v>2000</v>
      </c>
      <c r="K1669" s="1" t="str">
        <f ca="1">IFERROR(__xludf.DUMMYFUNCTION("""COMPUTED_VALUE"""),"Computer Science")</f>
        <v>Computer Science</v>
      </c>
      <c r="L1669" s="1" t="str">
        <f ca="1">IFERROR(__xludf.DUMMYFUNCTION("""COMPUTED_VALUE"""),"〇")</f>
        <v>〇</v>
      </c>
      <c r="M1669" s="1" t="str">
        <f ca="1">IFERROR(__xludf.DUMMYFUNCTION("""COMPUTED_VALUE"""),"〇")</f>
        <v>〇</v>
      </c>
      <c r="N1669" s="1"/>
      <c r="O1669" s="1"/>
      <c r="P1669" s="1"/>
    </row>
    <row r="1670" spans="1:16" ht="14.25" customHeight="1" x14ac:dyDescent="0.25">
      <c r="A1670" s="1"/>
      <c r="B1670" s="1">
        <f ca="1"/>
        <v>1658</v>
      </c>
      <c r="C1670" s="1">
        <f ca="1">IFERROR(__xludf.DUMMYFUNCTION("""COMPUTED_VALUE"""),2023)</f>
        <v>2023</v>
      </c>
      <c r="D1670" s="1">
        <f ca="1">IFERROR(__xludf.DUMMYFUNCTION("""COMPUTED_VALUE"""),11710)</f>
        <v>11710</v>
      </c>
      <c r="E1670" s="1" t="str">
        <f ca="1">IFERROR(__xludf.DUMMYFUNCTION("""COMPUTED_VALUE"""),"Neurochemical Journal")</f>
        <v>Neurochemical Journal</v>
      </c>
      <c r="F1670" s="1" t="str">
        <f ca="1">IFERROR(__xludf.DUMMYFUNCTION("""COMPUTED_VALUE"""),"1819-7132")</f>
        <v>1819-7132</v>
      </c>
      <c r="G1670" s="1" t="str">
        <f ca="1">IFERROR(__xludf.DUMMYFUNCTION("""COMPUTED_VALUE"""),"1819-7124")</f>
        <v>1819-7124</v>
      </c>
      <c r="H1670" s="27" t="str">
        <f ca="1">IFERROR(__xludf.DUMMYFUNCTION("""COMPUTED_VALUE"""),"https://link.springer.com/journal/11710")</f>
        <v>https://link.springer.com/journal/11710</v>
      </c>
      <c r="I1670" s="1" t="str">
        <f ca="1">IFERROR(__xludf.DUMMYFUNCTION("""COMPUTED_VALUE"""),"Pleiades Publishing")</f>
        <v>Pleiades Publishing</v>
      </c>
      <c r="J1670" s="1">
        <f ca="1">IFERROR(__xludf.DUMMYFUNCTION("""COMPUTED_VALUE"""),2007)</f>
        <v>2007</v>
      </c>
      <c r="K1670" s="1" t="str">
        <f ca="1">IFERROR(__xludf.DUMMYFUNCTION("""COMPUTED_VALUE"""),"Biomedical and Life Sciences")</f>
        <v>Biomedical and Life Sciences</v>
      </c>
      <c r="L1670" s="1" t="str">
        <f ca="1">IFERROR(__xludf.DUMMYFUNCTION("""COMPUTED_VALUE"""),"〇")</f>
        <v>〇</v>
      </c>
      <c r="M1670" s="1" t="str">
        <f ca="1">IFERROR(__xludf.DUMMYFUNCTION("""COMPUTED_VALUE"""),"〇")</f>
        <v>〇</v>
      </c>
      <c r="N1670" s="1" t="str">
        <f ca="1">IFERROR(__xludf.DUMMYFUNCTION("""COMPUTED_VALUE"""),"SNS7")</f>
        <v>SNS7</v>
      </c>
      <c r="O1670" s="1"/>
      <c r="P1670" s="1"/>
    </row>
    <row r="1671" spans="1:16" ht="14.25" customHeight="1" x14ac:dyDescent="0.25">
      <c r="A1671" s="1"/>
      <c r="B1671" s="1">
        <f ca="1"/>
        <v>1659</v>
      </c>
      <c r="C1671" s="1">
        <f ca="1">IFERROR(__xludf.DUMMYFUNCTION("""COMPUTED_VALUE"""),2023)</f>
        <v>2023</v>
      </c>
      <c r="D1671" s="1">
        <f ca="1">IFERROR(__xludf.DUMMYFUNCTION("""COMPUTED_VALUE"""),11064)</f>
        <v>11064</v>
      </c>
      <c r="E1671" s="1" t="str">
        <f ca="1">IFERROR(__xludf.DUMMYFUNCTION("""COMPUTED_VALUE"""),"Neurochemical Research")</f>
        <v>Neurochemical Research</v>
      </c>
      <c r="F1671" s="1" t="str">
        <f ca="1">IFERROR(__xludf.DUMMYFUNCTION("""COMPUTED_VALUE"""),"1573-6903")</f>
        <v>1573-6903</v>
      </c>
      <c r="G1671" s="1" t="str">
        <f ca="1">IFERROR(__xludf.DUMMYFUNCTION("""COMPUTED_VALUE"""),"0364-3190")</f>
        <v>0364-3190</v>
      </c>
      <c r="H1671" s="27" t="str">
        <f ca="1">IFERROR(__xludf.DUMMYFUNCTION("""COMPUTED_VALUE"""),"https://link.springer.com/journal/11064")</f>
        <v>https://link.springer.com/journal/11064</v>
      </c>
      <c r="I1671" s="1" t="str">
        <f ca="1">IFERROR(__xludf.DUMMYFUNCTION("""COMPUTED_VALUE"""),"Springer")</f>
        <v>Springer</v>
      </c>
      <c r="J1671" s="1">
        <f ca="1">IFERROR(__xludf.DUMMYFUNCTION("""COMPUTED_VALUE"""),2000)</f>
        <v>2000</v>
      </c>
      <c r="K1671" s="1" t="str">
        <f ca="1">IFERROR(__xludf.DUMMYFUNCTION("""COMPUTED_VALUE"""),"Biomedical and Life Sciences")</f>
        <v>Biomedical and Life Sciences</v>
      </c>
      <c r="L1671" s="1" t="str">
        <f ca="1">IFERROR(__xludf.DUMMYFUNCTION("""COMPUTED_VALUE"""),"〇")</f>
        <v>〇</v>
      </c>
      <c r="M1671" s="1" t="str">
        <f ca="1">IFERROR(__xludf.DUMMYFUNCTION("""COMPUTED_VALUE"""),"〇")</f>
        <v>〇</v>
      </c>
      <c r="N1671" s="1"/>
      <c r="O1671" s="1"/>
      <c r="P1671" s="1"/>
    </row>
    <row r="1672" spans="1:16" ht="14.25" customHeight="1" x14ac:dyDescent="0.25">
      <c r="A1672" s="1"/>
      <c r="B1672" s="1">
        <f ca="1"/>
        <v>1660</v>
      </c>
      <c r="C1672" s="1">
        <f ca="1">IFERROR(__xludf.DUMMYFUNCTION("""COMPUTED_VALUE"""),2023)</f>
        <v>2023</v>
      </c>
      <c r="D1672" s="1">
        <f ca="1">IFERROR(__xludf.DUMMYFUNCTION("""COMPUTED_VALUE"""),12028)</f>
        <v>12028</v>
      </c>
      <c r="E1672" s="1" t="str">
        <f ca="1">IFERROR(__xludf.DUMMYFUNCTION("""COMPUTED_VALUE"""),"Neurocritical Care")</f>
        <v>Neurocritical Care</v>
      </c>
      <c r="F1672" s="1" t="str">
        <f ca="1">IFERROR(__xludf.DUMMYFUNCTION("""COMPUTED_VALUE"""),"1556-0961")</f>
        <v>1556-0961</v>
      </c>
      <c r="G1672" s="1" t="str">
        <f ca="1">IFERROR(__xludf.DUMMYFUNCTION("""COMPUTED_VALUE"""),"1541-6933")</f>
        <v>1541-6933</v>
      </c>
      <c r="H1672" s="27" t="str">
        <f ca="1">IFERROR(__xludf.DUMMYFUNCTION("""COMPUTED_VALUE"""),"https://link.springer.com/journal/12028")</f>
        <v>https://link.springer.com/journal/12028</v>
      </c>
      <c r="I1672" s="1" t="str">
        <f ca="1">IFERROR(__xludf.DUMMYFUNCTION("""COMPUTED_VALUE"""),"Springer")</f>
        <v>Springer</v>
      </c>
      <c r="J1672" s="1">
        <f ca="1">IFERROR(__xludf.DUMMYFUNCTION("""COMPUTED_VALUE"""),2004)</f>
        <v>2004</v>
      </c>
      <c r="K1672" s="1" t="str">
        <f ca="1">IFERROR(__xludf.DUMMYFUNCTION("""COMPUTED_VALUE"""),"Medicine")</f>
        <v>Medicine</v>
      </c>
      <c r="L1672" s="1" t="str">
        <f ca="1">IFERROR(__xludf.DUMMYFUNCTION("""COMPUTED_VALUE"""),"〇")</f>
        <v>〇</v>
      </c>
      <c r="M1672" s="1" t="str">
        <f ca="1">IFERROR(__xludf.DUMMYFUNCTION("""COMPUTED_VALUE"""),"〇")</f>
        <v>〇</v>
      </c>
      <c r="N1672" s="1" t="str">
        <f ca="1">IFERROR(__xludf.DUMMYFUNCTION("""COMPUTED_VALUE"""),"TO7")</f>
        <v>TO7</v>
      </c>
      <c r="O1672" s="1"/>
      <c r="P1672" s="1"/>
    </row>
    <row r="1673" spans="1:16" ht="14.25" customHeight="1" x14ac:dyDescent="0.25">
      <c r="A1673" s="1"/>
      <c r="B1673" s="1">
        <f ca="1"/>
        <v>1661</v>
      </c>
      <c r="C1673" s="1">
        <f ca="1">IFERROR(__xludf.DUMMYFUNCTION("""COMPUTED_VALUE"""),2023)</f>
        <v>2023</v>
      </c>
      <c r="D1673" s="1">
        <f ca="1">IFERROR(__xludf.DUMMYFUNCTION("""COMPUTED_VALUE"""),12152)</f>
        <v>12152</v>
      </c>
      <c r="E1673" s="1" t="str">
        <f ca="1">IFERROR(__xludf.DUMMYFUNCTION("""COMPUTED_VALUE"""),"Neuroethics")</f>
        <v>Neuroethics</v>
      </c>
      <c r="F1673" s="1" t="str">
        <f ca="1">IFERROR(__xludf.DUMMYFUNCTION("""COMPUTED_VALUE"""),"1874-5504")</f>
        <v>1874-5504</v>
      </c>
      <c r="G1673" s="1"/>
      <c r="H1673" s="27" t="str">
        <f ca="1">IFERROR(__xludf.DUMMYFUNCTION("""COMPUTED_VALUE"""),"https://link.springer.com/journal/12152")</f>
        <v>https://link.springer.com/journal/12152</v>
      </c>
      <c r="I1673" s="1" t="str">
        <f ca="1">IFERROR(__xludf.DUMMYFUNCTION("""COMPUTED_VALUE"""),"Springer")</f>
        <v>Springer</v>
      </c>
      <c r="J1673" s="1">
        <f ca="1">IFERROR(__xludf.DUMMYFUNCTION("""COMPUTED_VALUE"""),2008)</f>
        <v>2008</v>
      </c>
      <c r="K1673" s="1" t="str">
        <f ca="1">IFERROR(__xludf.DUMMYFUNCTION("""COMPUTED_VALUE"""),"Education")</f>
        <v>Education</v>
      </c>
      <c r="L1673" s="1"/>
      <c r="M1673" s="1" t="str">
        <f ca="1">IFERROR(__xludf.DUMMYFUNCTION("""COMPUTED_VALUE"""),"〇")</f>
        <v>〇</v>
      </c>
      <c r="N1673" s="1" t="str">
        <f ca="1">IFERROR(__xludf.DUMMYFUNCTION("""COMPUTED_VALUE"""),"SNS8")</f>
        <v>SNS8</v>
      </c>
      <c r="O1673" s="1"/>
      <c r="P1673" s="1"/>
    </row>
    <row r="1674" spans="1:16" ht="14.25" customHeight="1" x14ac:dyDescent="0.25">
      <c r="A1674" s="1"/>
      <c r="B1674" s="1">
        <f ca="1"/>
        <v>1662</v>
      </c>
      <c r="C1674" s="1">
        <f ca="1">IFERROR(__xludf.DUMMYFUNCTION("""COMPUTED_VALUE"""),2023)</f>
        <v>2023</v>
      </c>
      <c r="D1674" s="1">
        <f ca="1">IFERROR(__xludf.DUMMYFUNCTION("""COMPUTED_VALUE"""),10048)</f>
        <v>10048</v>
      </c>
      <c r="E1674" s="1" t="str">
        <f ca="1">IFERROR(__xludf.DUMMYFUNCTION("""COMPUTED_VALUE"""),"neurogenetics")</f>
        <v>neurogenetics</v>
      </c>
      <c r="F1674" s="1" t="str">
        <f ca="1">IFERROR(__xludf.DUMMYFUNCTION("""COMPUTED_VALUE"""),"1364-6753")</f>
        <v>1364-6753</v>
      </c>
      <c r="G1674" s="1"/>
      <c r="H1674" s="27" t="str">
        <f ca="1">IFERROR(__xludf.DUMMYFUNCTION("""COMPUTED_VALUE"""),"https://link.springer.com/journal/10048")</f>
        <v>https://link.springer.com/journal/10048</v>
      </c>
      <c r="I1674" s="1" t="str">
        <f ca="1">IFERROR(__xludf.DUMMYFUNCTION("""COMPUTED_VALUE"""),"Springer")</f>
        <v>Springer</v>
      </c>
      <c r="J1674" s="1">
        <f ca="1">IFERROR(__xludf.DUMMYFUNCTION("""COMPUTED_VALUE"""),2000)</f>
        <v>2000</v>
      </c>
      <c r="K1674" s="1" t="str">
        <f ca="1">IFERROR(__xludf.DUMMYFUNCTION("""COMPUTED_VALUE"""),"Medicine")</f>
        <v>Medicine</v>
      </c>
      <c r="L1674" s="1"/>
      <c r="M1674" s="1" t="str">
        <f ca="1">IFERROR(__xludf.DUMMYFUNCTION("""COMPUTED_VALUE"""),"〇")</f>
        <v>〇</v>
      </c>
      <c r="N1674" s="1"/>
      <c r="O1674" s="1"/>
      <c r="P1674" s="1"/>
    </row>
    <row r="1675" spans="1:16" ht="14.25" customHeight="1" x14ac:dyDescent="0.25">
      <c r="A1675" s="1"/>
      <c r="B1675" s="1">
        <f ca="1"/>
        <v>1663</v>
      </c>
      <c r="C1675" s="1">
        <f ca="1">IFERROR(__xludf.DUMMYFUNCTION("""COMPUTED_VALUE"""),2023)</f>
        <v>2023</v>
      </c>
      <c r="D1675" s="1">
        <f ca="1">IFERROR(__xludf.DUMMYFUNCTION("""COMPUTED_VALUE"""),12021)</f>
        <v>12021</v>
      </c>
      <c r="E1675" s="1" t="str">
        <f ca="1">IFERROR(__xludf.DUMMYFUNCTION("""COMPUTED_VALUE"""),"Neuroinformatics")</f>
        <v>Neuroinformatics</v>
      </c>
      <c r="F1675" s="1" t="str">
        <f ca="1">IFERROR(__xludf.DUMMYFUNCTION("""COMPUTED_VALUE"""),"1559-0089")</f>
        <v>1559-0089</v>
      </c>
      <c r="G1675" s="1" t="str">
        <f ca="1">IFERROR(__xludf.DUMMYFUNCTION("""COMPUTED_VALUE"""),"1539-2791")</f>
        <v>1539-2791</v>
      </c>
      <c r="H1675" s="27" t="str">
        <f ca="1">IFERROR(__xludf.DUMMYFUNCTION("""COMPUTED_VALUE"""),"https://link.springer.com/journal/12021")</f>
        <v>https://link.springer.com/journal/12021</v>
      </c>
      <c r="I1675" s="1" t="str">
        <f ca="1">IFERROR(__xludf.DUMMYFUNCTION("""COMPUTED_VALUE"""),"Springer")</f>
        <v>Springer</v>
      </c>
      <c r="J1675" s="1">
        <f ca="1">IFERROR(__xludf.DUMMYFUNCTION("""COMPUTED_VALUE"""),2003)</f>
        <v>2003</v>
      </c>
      <c r="K1675" s="1" t="str">
        <f ca="1">IFERROR(__xludf.DUMMYFUNCTION("""COMPUTED_VALUE"""),"Biomedical and Life Sciences")</f>
        <v>Biomedical and Life Sciences</v>
      </c>
      <c r="L1675" s="1" t="str">
        <f ca="1">IFERROR(__xludf.DUMMYFUNCTION("""COMPUTED_VALUE"""),"〇")</f>
        <v>〇</v>
      </c>
      <c r="M1675" s="1" t="str">
        <f ca="1">IFERROR(__xludf.DUMMYFUNCTION("""COMPUTED_VALUE"""),"〇")</f>
        <v>〇</v>
      </c>
      <c r="N1675" s="1" t="str">
        <f ca="1">IFERROR(__xludf.DUMMYFUNCTION("""COMPUTED_VALUE"""),"TO7")</f>
        <v>TO7</v>
      </c>
      <c r="O1675" s="1"/>
      <c r="P1675" s="1"/>
    </row>
    <row r="1676" spans="1:16" ht="14.25" customHeight="1" x14ac:dyDescent="0.25">
      <c r="A1676" s="1"/>
      <c r="B1676" s="1">
        <f ca="1"/>
        <v>1664</v>
      </c>
      <c r="C1676" s="1">
        <f ca="1">IFERROR(__xludf.DUMMYFUNCTION("""COMPUTED_VALUE"""),2023)</f>
        <v>2023</v>
      </c>
      <c r="D1676" s="1">
        <f ca="1">IFERROR(__xludf.DUMMYFUNCTION("""COMPUTED_VALUE"""),10072)</f>
        <v>10072</v>
      </c>
      <c r="E1676" s="1" t="str">
        <f ca="1">IFERROR(__xludf.DUMMYFUNCTION("""COMPUTED_VALUE"""),"Neurological Sciences")</f>
        <v>Neurological Sciences</v>
      </c>
      <c r="F1676" s="1" t="str">
        <f ca="1">IFERROR(__xludf.DUMMYFUNCTION("""COMPUTED_VALUE"""),"1590-3478")</f>
        <v>1590-3478</v>
      </c>
      <c r="G1676" s="1"/>
      <c r="H1676" s="27" t="str">
        <f ca="1">IFERROR(__xludf.DUMMYFUNCTION("""COMPUTED_VALUE"""),"https://link.springer.com/journal/10072")</f>
        <v>https://link.springer.com/journal/10072</v>
      </c>
      <c r="I1676" s="1" t="str">
        <f ca="1">IFERROR(__xludf.DUMMYFUNCTION("""COMPUTED_VALUE"""),"Springer")</f>
        <v>Springer</v>
      </c>
      <c r="J1676" s="1">
        <f ca="1">IFERROR(__xludf.DUMMYFUNCTION("""COMPUTED_VALUE"""),2000)</f>
        <v>2000</v>
      </c>
      <c r="K1676" s="1" t="str">
        <f ca="1">IFERROR(__xludf.DUMMYFUNCTION("""COMPUTED_VALUE"""),"Medicine")</f>
        <v>Medicine</v>
      </c>
      <c r="L1676" s="1"/>
      <c r="M1676" s="1" t="str">
        <f ca="1">IFERROR(__xludf.DUMMYFUNCTION("""COMPUTED_VALUE"""),"〇")</f>
        <v>〇</v>
      </c>
      <c r="N1676" s="1"/>
      <c r="O1676" s="1"/>
      <c r="P1676" s="1"/>
    </row>
    <row r="1677" spans="1:16" ht="14.25" customHeight="1" x14ac:dyDescent="0.25">
      <c r="A1677" s="1"/>
      <c r="B1677" s="1">
        <f ca="1"/>
        <v>1665</v>
      </c>
      <c r="C1677" s="1">
        <f ca="1">IFERROR(__xludf.DUMMYFUNCTION("""COMPUTED_VALUE"""),2023)</f>
        <v>2023</v>
      </c>
      <c r="D1677" s="1">
        <f ca="1">IFERROR(__xludf.DUMMYFUNCTION("""COMPUTED_VALUE"""),12017)</f>
        <v>12017</v>
      </c>
      <c r="E1677" s="1" t="str">
        <f ca="1">IFERROR(__xludf.DUMMYFUNCTION("""COMPUTED_VALUE"""),"NeuroMolecular Medicine")</f>
        <v>NeuroMolecular Medicine</v>
      </c>
      <c r="F1677" s="1" t="str">
        <f ca="1">IFERROR(__xludf.DUMMYFUNCTION("""COMPUTED_VALUE"""),"1559-1174")</f>
        <v>1559-1174</v>
      </c>
      <c r="G1677" s="1" t="str">
        <f ca="1">IFERROR(__xludf.DUMMYFUNCTION("""COMPUTED_VALUE"""),"1535-1084")</f>
        <v>1535-1084</v>
      </c>
      <c r="H1677" s="27" t="str">
        <f ca="1">IFERROR(__xludf.DUMMYFUNCTION("""COMPUTED_VALUE"""),"https://link.springer.com/journal/12017")</f>
        <v>https://link.springer.com/journal/12017</v>
      </c>
      <c r="I1677" s="1" t="str">
        <f ca="1">IFERROR(__xludf.DUMMYFUNCTION("""COMPUTED_VALUE"""),"Springer")</f>
        <v>Springer</v>
      </c>
      <c r="J1677" s="1">
        <f ca="1">IFERROR(__xludf.DUMMYFUNCTION("""COMPUTED_VALUE"""),2002)</f>
        <v>2002</v>
      </c>
      <c r="K1677" s="1" t="str">
        <f ca="1">IFERROR(__xludf.DUMMYFUNCTION("""COMPUTED_VALUE"""),"Biomedical and Life Sciences")</f>
        <v>Biomedical and Life Sciences</v>
      </c>
      <c r="L1677" s="1" t="str">
        <f ca="1">IFERROR(__xludf.DUMMYFUNCTION("""COMPUTED_VALUE"""),"〇")</f>
        <v>〇</v>
      </c>
      <c r="M1677" s="1" t="str">
        <f ca="1">IFERROR(__xludf.DUMMYFUNCTION("""COMPUTED_VALUE"""),"〇")</f>
        <v>〇</v>
      </c>
      <c r="N1677" s="1" t="str">
        <f ca="1">IFERROR(__xludf.DUMMYFUNCTION("""COMPUTED_VALUE"""),"TO7")</f>
        <v>TO7</v>
      </c>
      <c r="O1677" s="1"/>
      <c r="P1677" s="1"/>
    </row>
    <row r="1678" spans="1:16" ht="14.25" customHeight="1" x14ac:dyDescent="0.25">
      <c r="A1678" s="1"/>
      <c r="B1678" s="1">
        <f ca="1"/>
        <v>1666</v>
      </c>
      <c r="C1678" s="1">
        <f ca="1">IFERROR(__xludf.DUMMYFUNCTION("""COMPUTED_VALUE"""),2023)</f>
        <v>2023</v>
      </c>
      <c r="D1678" s="1">
        <f ca="1">IFERROR(__xludf.DUMMYFUNCTION("""COMPUTED_VALUE"""),11062)</f>
        <v>11062</v>
      </c>
      <c r="E1678" s="1" t="str">
        <f ca="1">IFERROR(__xludf.DUMMYFUNCTION("""COMPUTED_VALUE"""),"Neurophysiology")</f>
        <v>Neurophysiology</v>
      </c>
      <c r="F1678" s="1" t="str">
        <f ca="1">IFERROR(__xludf.DUMMYFUNCTION("""COMPUTED_VALUE"""),"1573-9007")</f>
        <v>1573-9007</v>
      </c>
      <c r="G1678" s="1" t="str">
        <f ca="1">IFERROR(__xludf.DUMMYFUNCTION("""COMPUTED_VALUE"""),"0090-2977")</f>
        <v>0090-2977</v>
      </c>
      <c r="H1678" s="27" t="str">
        <f ca="1">IFERROR(__xludf.DUMMYFUNCTION("""COMPUTED_VALUE"""),"https://link.springer.com/journal/11062")</f>
        <v>https://link.springer.com/journal/11062</v>
      </c>
      <c r="I1678" s="1" t="str">
        <f ca="1">IFERROR(__xludf.DUMMYFUNCTION("""COMPUTED_VALUE"""),"Springer")</f>
        <v>Springer</v>
      </c>
      <c r="J1678" s="1">
        <f ca="1">IFERROR(__xludf.DUMMYFUNCTION("""COMPUTED_VALUE"""),2000)</f>
        <v>2000</v>
      </c>
      <c r="K1678" s="1" t="str">
        <f ca="1">IFERROR(__xludf.DUMMYFUNCTION("""COMPUTED_VALUE"""),"Biomedical and Life Sciences")</f>
        <v>Biomedical and Life Sciences</v>
      </c>
      <c r="L1678" s="1" t="str">
        <f ca="1">IFERROR(__xludf.DUMMYFUNCTION("""COMPUTED_VALUE"""),"〇")</f>
        <v>〇</v>
      </c>
      <c r="M1678" s="1" t="str">
        <f ca="1">IFERROR(__xludf.DUMMYFUNCTION("""COMPUTED_VALUE"""),"〇")</f>
        <v>〇</v>
      </c>
      <c r="N1678" s="1"/>
      <c r="O1678" s="1"/>
      <c r="P1678" s="1"/>
    </row>
    <row r="1679" spans="1:16" ht="14.25" customHeight="1" x14ac:dyDescent="0.25">
      <c r="A1679" s="1"/>
      <c r="B1679" s="1">
        <f ca="1"/>
        <v>1667</v>
      </c>
      <c r="C1679" s="1">
        <f ca="1">IFERROR(__xludf.DUMMYFUNCTION("""COMPUTED_VALUE"""),2023)</f>
        <v>2023</v>
      </c>
      <c r="D1679" s="1">
        <f ca="1">IFERROR(__xludf.DUMMYFUNCTION("""COMPUTED_VALUE"""),40211)</f>
        <v>40211</v>
      </c>
      <c r="E1679" s="1" t="str">
        <f ca="1">IFERROR(__xludf.DUMMYFUNCTION("""COMPUTED_VALUE"""),"neuropsychiatrie")</f>
        <v>neuropsychiatrie</v>
      </c>
      <c r="F1679" s="1" t="str">
        <f ca="1">IFERROR(__xludf.DUMMYFUNCTION("""COMPUTED_VALUE"""),"2194-1327")</f>
        <v>2194-1327</v>
      </c>
      <c r="G1679" s="1" t="str">
        <f ca="1">IFERROR(__xludf.DUMMYFUNCTION("""COMPUTED_VALUE"""),"0948-6259")</f>
        <v>0948-6259</v>
      </c>
      <c r="H1679" s="27" t="str">
        <f ca="1">IFERROR(__xludf.DUMMYFUNCTION("""COMPUTED_VALUE"""),"https://link.springer.com/journal/40211")</f>
        <v>https://link.springer.com/journal/40211</v>
      </c>
      <c r="I1679" s="1" t="str">
        <f ca="1">IFERROR(__xludf.DUMMYFUNCTION("""COMPUTED_VALUE"""),"SpringerMedizin")</f>
        <v>SpringerMedizin</v>
      </c>
      <c r="J1679" s="1">
        <f ca="1">IFERROR(__xludf.DUMMYFUNCTION("""COMPUTED_VALUE"""),2012)</f>
        <v>2012</v>
      </c>
      <c r="K1679" s="1" t="str">
        <f ca="1">IFERROR(__xludf.DUMMYFUNCTION("""COMPUTED_VALUE"""),"Medicine")</f>
        <v>Medicine</v>
      </c>
      <c r="L1679" s="1" t="str">
        <f ca="1">IFERROR(__xludf.DUMMYFUNCTION("""COMPUTED_VALUE"""),"〇")</f>
        <v>〇</v>
      </c>
      <c r="M1679" s="1"/>
      <c r="N1679" s="1" t="str">
        <f ca="1">IFERROR(__xludf.DUMMYFUNCTION("""COMPUTED_VALUE"""),"TO12")</f>
        <v>TO12</v>
      </c>
      <c r="O1679" s="1"/>
      <c r="P1679" s="1"/>
    </row>
    <row r="1680" spans="1:16" ht="14.25" customHeight="1" x14ac:dyDescent="0.25">
      <c r="A1680" s="1"/>
      <c r="B1680" s="1">
        <f ca="1"/>
        <v>1668</v>
      </c>
      <c r="C1680" s="1">
        <f ca="1">IFERROR(__xludf.DUMMYFUNCTION("""COMPUTED_VALUE"""),2023)</f>
        <v>2023</v>
      </c>
      <c r="D1680" s="1">
        <f ca="1">IFERROR(__xludf.DUMMYFUNCTION("""COMPUTED_VALUE"""),11065)</f>
        <v>11065</v>
      </c>
      <c r="E1680" s="1" t="str">
        <f ca="1">IFERROR(__xludf.DUMMYFUNCTION("""COMPUTED_VALUE"""),"Neuropsychology Review")</f>
        <v>Neuropsychology Review</v>
      </c>
      <c r="F1680" s="1" t="str">
        <f ca="1">IFERROR(__xludf.DUMMYFUNCTION("""COMPUTED_VALUE"""),"1573-6660")</f>
        <v>1573-6660</v>
      </c>
      <c r="G1680" s="1" t="str">
        <f ca="1">IFERROR(__xludf.DUMMYFUNCTION("""COMPUTED_VALUE"""),"1040-7308")</f>
        <v>1040-7308</v>
      </c>
      <c r="H1680" s="27" t="str">
        <f ca="1">IFERROR(__xludf.DUMMYFUNCTION("""COMPUTED_VALUE"""),"https://link.springer.com/journal/11065")</f>
        <v>https://link.springer.com/journal/11065</v>
      </c>
      <c r="I1680" s="1" t="str">
        <f ca="1">IFERROR(__xludf.DUMMYFUNCTION("""COMPUTED_VALUE"""),"Springer")</f>
        <v>Springer</v>
      </c>
      <c r="J1680" s="1">
        <f ca="1">IFERROR(__xludf.DUMMYFUNCTION("""COMPUTED_VALUE"""),2000)</f>
        <v>2000</v>
      </c>
      <c r="K1680" s="1" t="str">
        <f ca="1">IFERROR(__xludf.DUMMYFUNCTION("""COMPUTED_VALUE"""),"Biomedical and Life Sciences")</f>
        <v>Biomedical and Life Sciences</v>
      </c>
      <c r="L1680" s="1" t="str">
        <f ca="1">IFERROR(__xludf.DUMMYFUNCTION("""COMPUTED_VALUE"""),"〇")</f>
        <v>〇</v>
      </c>
      <c r="M1680" s="1" t="str">
        <f ca="1">IFERROR(__xludf.DUMMYFUNCTION("""COMPUTED_VALUE"""),"〇")</f>
        <v>〇</v>
      </c>
      <c r="N1680" s="1"/>
      <c r="O1680" s="1"/>
      <c r="P1680" s="1"/>
    </row>
    <row r="1681" spans="1:16" ht="14.25" customHeight="1" x14ac:dyDescent="0.25">
      <c r="A1681" s="1"/>
      <c r="B1681" s="1">
        <f ca="1"/>
        <v>1669</v>
      </c>
      <c r="C1681" s="1">
        <f ca="1">IFERROR(__xludf.DUMMYFUNCTION("""COMPUTED_VALUE"""),2023)</f>
        <v>2023</v>
      </c>
      <c r="D1681" s="1">
        <f ca="1">IFERROR(__xludf.DUMMYFUNCTION("""COMPUTED_VALUE"""),234)</f>
        <v>234</v>
      </c>
      <c r="E1681" s="1" t="str">
        <f ca="1">IFERROR(__xludf.DUMMYFUNCTION("""COMPUTED_VALUE"""),"Neuroradiology")</f>
        <v>Neuroradiology</v>
      </c>
      <c r="F1681" s="1" t="str">
        <f ca="1">IFERROR(__xludf.DUMMYFUNCTION("""COMPUTED_VALUE"""),"1432-1920")</f>
        <v>1432-1920</v>
      </c>
      <c r="G1681" s="1" t="str">
        <f ca="1">IFERROR(__xludf.DUMMYFUNCTION("""COMPUTED_VALUE"""),"0028-3940")</f>
        <v>0028-3940</v>
      </c>
      <c r="H1681" s="27" t="str">
        <f ca="1">IFERROR(__xludf.DUMMYFUNCTION("""COMPUTED_VALUE"""),"https://link.springer.com/journal/234")</f>
        <v>https://link.springer.com/journal/234</v>
      </c>
      <c r="I1681" s="1" t="str">
        <f ca="1">IFERROR(__xludf.DUMMYFUNCTION("""COMPUTED_VALUE"""),"Springer")</f>
        <v>Springer</v>
      </c>
      <c r="J1681" s="1">
        <f ca="1">IFERROR(__xludf.DUMMYFUNCTION("""COMPUTED_VALUE"""),2000)</f>
        <v>2000</v>
      </c>
      <c r="K1681" s="1" t="str">
        <f ca="1">IFERROR(__xludf.DUMMYFUNCTION("""COMPUTED_VALUE"""),"Medicine")</f>
        <v>Medicine</v>
      </c>
      <c r="L1681" s="1" t="str">
        <f ca="1">IFERROR(__xludf.DUMMYFUNCTION("""COMPUTED_VALUE"""),"〇")</f>
        <v>〇</v>
      </c>
      <c r="M1681" s="1" t="str">
        <f ca="1">IFERROR(__xludf.DUMMYFUNCTION("""COMPUTED_VALUE"""),"〇")</f>
        <v>〇</v>
      </c>
      <c r="N1681" s="1"/>
      <c r="O1681" s="1"/>
      <c r="P1681" s="1"/>
    </row>
    <row r="1682" spans="1:16" ht="14.25" customHeight="1" x14ac:dyDescent="0.25">
      <c r="A1682" s="1"/>
      <c r="B1682" s="1">
        <f ca="1"/>
        <v>1670</v>
      </c>
      <c r="C1682" s="1">
        <f ca="1">IFERROR(__xludf.DUMMYFUNCTION("""COMPUTED_VALUE"""),2023)</f>
        <v>2023</v>
      </c>
      <c r="D1682" s="1">
        <f ca="1">IFERROR(__xludf.DUMMYFUNCTION("""COMPUTED_VALUE"""),11055)</f>
        <v>11055</v>
      </c>
      <c r="E1682" s="1" t="str">
        <f ca="1">IFERROR(__xludf.DUMMYFUNCTION("""COMPUTED_VALUE"""),"Neuroscience and Behavioral Physiology")</f>
        <v>Neuroscience and Behavioral Physiology</v>
      </c>
      <c r="F1682" s="1" t="str">
        <f ca="1">IFERROR(__xludf.DUMMYFUNCTION("""COMPUTED_VALUE"""),"1573-899X")</f>
        <v>1573-899X</v>
      </c>
      <c r="G1682" s="1" t="str">
        <f ca="1">IFERROR(__xludf.DUMMYFUNCTION("""COMPUTED_VALUE"""),"0097-0549")</f>
        <v>0097-0549</v>
      </c>
      <c r="H1682" s="27" t="str">
        <f ca="1">IFERROR(__xludf.DUMMYFUNCTION("""COMPUTED_VALUE"""),"https://link.springer.com/journal/11055")</f>
        <v>https://link.springer.com/journal/11055</v>
      </c>
      <c r="I1682" s="1" t="str">
        <f ca="1">IFERROR(__xludf.DUMMYFUNCTION("""COMPUTED_VALUE"""),"Springer")</f>
        <v>Springer</v>
      </c>
      <c r="J1682" s="1">
        <f ca="1">IFERROR(__xludf.DUMMYFUNCTION("""COMPUTED_VALUE"""),2000)</f>
        <v>2000</v>
      </c>
      <c r="K1682" s="1" t="str">
        <f ca="1">IFERROR(__xludf.DUMMYFUNCTION("""COMPUTED_VALUE"""),"Biomedical and Life Sciences")</f>
        <v>Biomedical and Life Sciences</v>
      </c>
      <c r="L1682" s="1" t="str">
        <f ca="1">IFERROR(__xludf.DUMMYFUNCTION("""COMPUTED_VALUE"""),"〇")</f>
        <v>〇</v>
      </c>
      <c r="M1682" s="1" t="str">
        <f ca="1">IFERROR(__xludf.DUMMYFUNCTION("""COMPUTED_VALUE"""),"〇")</f>
        <v>〇</v>
      </c>
      <c r="N1682" s="1"/>
      <c r="O1682" s="1"/>
      <c r="P1682" s="1"/>
    </row>
    <row r="1683" spans="1:16" ht="14.25" customHeight="1" x14ac:dyDescent="0.25">
      <c r="A1683" s="1"/>
      <c r="B1683" s="1">
        <f ca="1"/>
        <v>1671</v>
      </c>
      <c r="C1683" s="1">
        <f ca="1">IFERROR(__xludf.DUMMYFUNCTION("""COMPUTED_VALUE"""),2023)</f>
        <v>2023</v>
      </c>
      <c r="D1683" s="1">
        <f ca="1">IFERROR(__xludf.DUMMYFUNCTION("""COMPUTED_VALUE"""),12264)</f>
        <v>12264</v>
      </c>
      <c r="E1683" s="1" t="str">
        <f ca="1">IFERROR(__xludf.DUMMYFUNCTION("""COMPUTED_VALUE"""),"Neuroscience Bulletin")</f>
        <v>Neuroscience Bulletin</v>
      </c>
      <c r="F1683" s="1" t="str">
        <f ca="1">IFERROR(__xludf.DUMMYFUNCTION("""COMPUTED_VALUE"""),"1995-8218")</f>
        <v>1995-8218</v>
      </c>
      <c r="G1683" s="1" t="str">
        <f ca="1">IFERROR(__xludf.DUMMYFUNCTION("""COMPUTED_VALUE"""),"1673-7067")</f>
        <v>1673-7067</v>
      </c>
      <c r="H1683" s="27" t="str">
        <f ca="1">IFERROR(__xludf.DUMMYFUNCTION("""COMPUTED_VALUE"""),"https://link.springer.com/journal/12264")</f>
        <v>https://link.springer.com/journal/12264</v>
      </c>
      <c r="I1683" s="1" t="str">
        <f ca="1">IFERROR(__xludf.DUMMYFUNCTION("""COMPUTED_VALUE"""),"Springer")</f>
        <v>Springer</v>
      </c>
      <c r="J1683" s="1">
        <f ca="1">IFERROR(__xludf.DUMMYFUNCTION("""COMPUTED_VALUE"""),2007)</f>
        <v>2007</v>
      </c>
      <c r="K1683" s="1" t="str">
        <f ca="1">IFERROR(__xludf.DUMMYFUNCTION("""COMPUTED_VALUE"""),"Biomedical and Life Sciences")</f>
        <v>Biomedical and Life Sciences</v>
      </c>
      <c r="L1683" s="1" t="str">
        <f ca="1">IFERROR(__xludf.DUMMYFUNCTION("""COMPUTED_VALUE"""),"〇")</f>
        <v>〇</v>
      </c>
      <c r="M1683" s="1" t="str">
        <f ca="1">IFERROR(__xludf.DUMMYFUNCTION("""COMPUTED_VALUE"""),"〇")</f>
        <v>〇</v>
      </c>
      <c r="N1683" s="1" t="str">
        <f ca="1">IFERROR(__xludf.DUMMYFUNCTION("""COMPUTED_VALUE"""),"TO8")</f>
        <v>TO8</v>
      </c>
      <c r="O1683" s="1"/>
      <c r="P1683" s="1"/>
    </row>
    <row r="1684" spans="1:16" ht="14.25" customHeight="1" x14ac:dyDescent="0.25">
      <c r="A1684" s="1"/>
      <c r="B1684" s="1">
        <f ca="1"/>
        <v>1672</v>
      </c>
      <c r="C1684" s="1">
        <f ca="1">IFERROR(__xludf.DUMMYFUNCTION("""COMPUTED_VALUE"""),2023)</f>
        <v>2023</v>
      </c>
      <c r="D1684" s="1">
        <f ca="1">IFERROR(__xludf.DUMMYFUNCTION("""COMPUTED_VALUE"""),10143)</f>
        <v>10143</v>
      </c>
      <c r="E1684" s="1" t="str">
        <f ca="1">IFERROR(__xludf.DUMMYFUNCTION("""COMPUTED_VALUE"""),"Neurosurgical Review")</f>
        <v>Neurosurgical Review</v>
      </c>
      <c r="F1684" s="1" t="str">
        <f ca="1">IFERROR(__xludf.DUMMYFUNCTION("""COMPUTED_VALUE"""),"1437-2320")</f>
        <v>1437-2320</v>
      </c>
      <c r="G1684" s="1"/>
      <c r="H1684" s="27" t="str">
        <f ca="1">IFERROR(__xludf.DUMMYFUNCTION("""COMPUTED_VALUE"""),"https://link.springer.com/journal/10143")</f>
        <v>https://link.springer.com/journal/10143</v>
      </c>
      <c r="I1684" s="1" t="str">
        <f ca="1">IFERROR(__xludf.DUMMYFUNCTION("""COMPUTED_VALUE"""),"Springer")</f>
        <v>Springer</v>
      </c>
      <c r="J1684" s="1">
        <f ca="1">IFERROR(__xludf.DUMMYFUNCTION("""COMPUTED_VALUE"""),2000)</f>
        <v>2000</v>
      </c>
      <c r="K1684" s="1" t="str">
        <f ca="1">IFERROR(__xludf.DUMMYFUNCTION("""COMPUTED_VALUE"""),"Medicine")</f>
        <v>Medicine</v>
      </c>
      <c r="L1684" s="1"/>
      <c r="M1684" s="1" t="str">
        <f ca="1">IFERROR(__xludf.DUMMYFUNCTION("""COMPUTED_VALUE"""),"〇")</f>
        <v>〇</v>
      </c>
      <c r="N1684" s="1"/>
      <c r="O1684" s="1"/>
      <c r="P1684" s="1"/>
    </row>
    <row r="1685" spans="1:16" ht="14.25" customHeight="1" x14ac:dyDescent="0.25">
      <c r="A1685" s="1"/>
      <c r="B1685" s="1">
        <f ca="1"/>
        <v>1673</v>
      </c>
      <c r="C1685" s="1">
        <f ca="1">IFERROR(__xludf.DUMMYFUNCTION("""COMPUTED_VALUE"""),2023)</f>
        <v>2023</v>
      </c>
      <c r="D1685" s="1">
        <f ca="1">IFERROR(__xludf.DUMMYFUNCTION("""COMPUTED_VALUE"""),13311)</f>
        <v>13311</v>
      </c>
      <c r="E1685" s="1" t="str">
        <f ca="1">IFERROR(__xludf.DUMMYFUNCTION("""COMPUTED_VALUE"""),"Neurotherapeutics")</f>
        <v>Neurotherapeutics</v>
      </c>
      <c r="F1685" s="1" t="str">
        <f ca="1">IFERROR(__xludf.DUMMYFUNCTION("""COMPUTED_VALUE"""),"1878-7479")</f>
        <v>1878-7479</v>
      </c>
      <c r="G1685" s="1"/>
      <c r="H1685" s="27" t="str">
        <f ca="1">IFERROR(__xludf.DUMMYFUNCTION("""COMPUTED_VALUE"""),"https://link.springer.com/journal/13311")</f>
        <v>https://link.springer.com/journal/13311</v>
      </c>
      <c r="I1685" s="1" t="str">
        <f ca="1">IFERROR(__xludf.DUMMYFUNCTION("""COMPUTED_VALUE"""),"Springer")</f>
        <v>Springer</v>
      </c>
      <c r="J1685" s="1">
        <f ca="1">IFERROR(__xludf.DUMMYFUNCTION("""COMPUTED_VALUE"""),2004)</f>
        <v>2004</v>
      </c>
      <c r="K1685" s="1" t="str">
        <f ca="1">IFERROR(__xludf.DUMMYFUNCTION("""COMPUTED_VALUE"""),"Biomedical and Life Sciences")</f>
        <v>Biomedical and Life Sciences</v>
      </c>
      <c r="L1685" s="1"/>
      <c r="M1685" s="1"/>
      <c r="N1685" s="1" t="str">
        <f ca="1">IFERROR(__xludf.DUMMYFUNCTION("""COMPUTED_VALUE"""),"TO11")</f>
        <v>TO11</v>
      </c>
      <c r="O1685" s="1"/>
      <c r="P1685" s="1"/>
    </row>
    <row r="1686" spans="1:16" ht="14.25" customHeight="1" x14ac:dyDescent="0.25">
      <c r="A1686" s="1"/>
      <c r="B1686" s="1">
        <f ca="1"/>
        <v>1674</v>
      </c>
      <c r="C1686" s="1">
        <f ca="1">IFERROR(__xludf.DUMMYFUNCTION("""COMPUTED_VALUE"""),2023)</f>
        <v>2023</v>
      </c>
      <c r="D1686" s="1">
        <f ca="1">IFERROR(__xludf.DUMMYFUNCTION("""COMPUTED_VALUE"""),12640)</f>
        <v>12640</v>
      </c>
      <c r="E1686" s="1" t="str">
        <f ca="1">IFERROR(__xludf.DUMMYFUNCTION("""COMPUTED_VALUE"""),"Neurotoxicity Research")</f>
        <v>Neurotoxicity Research</v>
      </c>
      <c r="F1686" s="1" t="str">
        <f ca="1">IFERROR(__xludf.DUMMYFUNCTION("""COMPUTED_VALUE"""),"1476-3524")</f>
        <v>1476-3524</v>
      </c>
      <c r="G1686" s="1" t="str">
        <f ca="1">IFERROR(__xludf.DUMMYFUNCTION("""COMPUTED_VALUE"""),"1029-8428")</f>
        <v>1029-8428</v>
      </c>
      <c r="H1686" s="27" t="str">
        <f ca="1">IFERROR(__xludf.DUMMYFUNCTION("""COMPUTED_VALUE"""),"https://link.springer.com/journal/12640")</f>
        <v>https://link.springer.com/journal/12640</v>
      </c>
      <c r="I1686" s="1" t="str">
        <f ca="1">IFERROR(__xludf.DUMMYFUNCTION("""COMPUTED_VALUE"""),"Springer")</f>
        <v>Springer</v>
      </c>
      <c r="J1686" s="1">
        <f ca="1">IFERROR(__xludf.DUMMYFUNCTION("""COMPUTED_VALUE"""),2000)</f>
        <v>2000</v>
      </c>
      <c r="K1686" s="1" t="str">
        <f ca="1">IFERROR(__xludf.DUMMYFUNCTION("""COMPUTED_VALUE"""),"Biomedical and Life Sciences")</f>
        <v>Biomedical and Life Sciences</v>
      </c>
      <c r="L1686" s="1" t="str">
        <f ca="1">IFERROR(__xludf.DUMMYFUNCTION("""COMPUTED_VALUE"""),"〇")</f>
        <v>〇</v>
      </c>
      <c r="M1686" s="1"/>
      <c r="N1686" s="1" t="str">
        <f ca="1">IFERROR(__xludf.DUMMYFUNCTION("""COMPUTED_VALUE"""),"TO9")</f>
        <v>TO9</v>
      </c>
      <c r="O1686" s="1"/>
      <c r="P1686" s="1"/>
    </row>
    <row r="1687" spans="1:16" ht="14.25" customHeight="1" x14ac:dyDescent="0.25">
      <c r="A1687" s="1"/>
      <c r="B1687" s="1">
        <f ca="1"/>
        <v>1675</v>
      </c>
      <c r="C1687" s="1">
        <f ca="1">IFERROR(__xludf.DUMMYFUNCTION("""COMPUTED_VALUE"""),2023)</f>
        <v>2023</v>
      </c>
      <c r="D1687" s="1">
        <f ca="1">IFERROR(__xludf.DUMMYFUNCTION("""COMPUTED_VALUE"""),11056)</f>
        <v>11056</v>
      </c>
      <c r="E1687" s="1" t="str">
        <f ca="1">IFERROR(__xludf.DUMMYFUNCTION("""COMPUTED_VALUE"""),"New Forests")</f>
        <v>New Forests</v>
      </c>
      <c r="F1687" s="1" t="str">
        <f ca="1">IFERROR(__xludf.DUMMYFUNCTION("""COMPUTED_VALUE"""),"1573-5095")</f>
        <v>1573-5095</v>
      </c>
      <c r="G1687" s="1" t="str">
        <f ca="1">IFERROR(__xludf.DUMMYFUNCTION("""COMPUTED_VALUE"""),"0169-4286")</f>
        <v>0169-4286</v>
      </c>
      <c r="H1687" s="27" t="str">
        <f ca="1">IFERROR(__xludf.DUMMYFUNCTION("""COMPUTED_VALUE"""),"https://link.springer.com/journal/11056")</f>
        <v>https://link.springer.com/journal/11056</v>
      </c>
      <c r="I1687" s="1" t="str">
        <f ca="1">IFERROR(__xludf.DUMMYFUNCTION("""COMPUTED_VALUE"""),"Springer")</f>
        <v>Springer</v>
      </c>
      <c r="J1687" s="1">
        <f ca="1">IFERROR(__xludf.DUMMYFUNCTION("""COMPUTED_VALUE"""),2000)</f>
        <v>2000</v>
      </c>
      <c r="K1687" s="1" t="str">
        <f ca="1">IFERROR(__xludf.DUMMYFUNCTION("""COMPUTED_VALUE"""),"Biomedical and Life Sciences")</f>
        <v>Biomedical and Life Sciences</v>
      </c>
      <c r="L1687" s="1" t="str">
        <f ca="1">IFERROR(__xludf.DUMMYFUNCTION("""COMPUTED_VALUE"""),"〇")</f>
        <v>〇</v>
      </c>
      <c r="M1687" s="1" t="str">
        <f ca="1">IFERROR(__xludf.DUMMYFUNCTION("""COMPUTED_VALUE"""),"〇")</f>
        <v>〇</v>
      </c>
      <c r="N1687" s="1"/>
      <c r="O1687" s="1"/>
      <c r="P1687" s="1"/>
    </row>
    <row r="1688" spans="1:16" ht="14.25" customHeight="1" x14ac:dyDescent="0.25">
      <c r="A1688" s="1"/>
      <c r="B1688" s="1">
        <f ca="1"/>
        <v>1676</v>
      </c>
      <c r="C1688" s="1">
        <f ca="1">IFERROR(__xludf.DUMMYFUNCTION("""COMPUTED_VALUE"""),2023)</f>
        <v>2023</v>
      </c>
      <c r="D1688" s="1">
        <f ca="1">IFERROR(__xludf.DUMMYFUNCTION("""COMPUTED_VALUE"""),354)</f>
        <v>354</v>
      </c>
      <c r="E1688" s="1" t="str">
        <f ca="1">IFERROR(__xludf.DUMMYFUNCTION("""COMPUTED_VALUE"""),"New Generation Computing")</f>
        <v>New Generation Computing</v>
      </c>
      <c r="F1688" s="1" t="str">
        <f ca="1">IFERROR(__xludf.DUMMYFUNCTION("""COMPUTED_VALUE"""),"1882-7055")</f>
        <v>1882-7055</v>
      </c>
      <c r="G1688" s="1" t="str">
        <f ca="1">IFERROR(__xludf.DUMMYFUNCTION("""COMPUTED_VALUE"""),"0288-3635")</f>
        <v>0288-3635</v>
      </c>
      <c r="H1688" s="27" t="str">
        <f ca="1">IFERROR(__xludf.DUMMYFUNCTION("""COMPUTED_VALUE"""),"https://link.springer.com/journal/354")</f>
        <v>https://link.springer.com/journal/354</v>
      </c>
      <c r="I1688" s="1" t="str">
        <f ca="1">IFERROR(__xludf.DUMMYFUNCTION("""COMPUTED_VALUE"""),"Ohmsha, co-published with Springer")</f>
        <v>Ohmsha, co-published with Springer</v>
      </c>
      <c r="J1688" s="1">
        <f ca="1">IFERROR(__xludf.DUMMYFUNCTION("""COMPUTED_VALUE"""),2000)</f>
        <v>2000</v>
      </c>
      <c r="K1688" s="1" t="str">
        <f ca="1">IFERROR(__xludf.DUMMYFUNCTION("""COMPUTED_VALUE"""),"Computer Science")</f>
        <v>Computer Science</v>
      </c>
      <c r="L1688" s="1" t="str">
        <f ca="1">IFERROR(__xludf.DUMMYFUNCTION("""COMPUTED_VALUE"""),"〇")</f>
        <v>〇</v>
      </c>
      <c r="M1688" s="1" t="str">
        <f ca="1">IFERROR(__xludf.DUMMYFUNCTION("""COMPUTED_VALUE"""),"〇")</f>
        <v>〇</v>
      </c>
      <c r="N1688" s="1"/>
      <c r="O1688" s="1"/>
      <c r="P1688" s="1"/>
    </row>
    <row r="1689" spans="1:16" ht="14.25" customHeight="1" x14ac:dyDescent="0.25">
      <c r="A1689" s="1"/>
      <c r="B1689" s="1">
        <f ca="1"/>
        <v>1677</v>
      </c>
      <c r="C1689" s="1">
        <f ca="1">IFERROR(__xludf.DUMMYFUNCTION("""COMPUTED_VALUE"""),2023)</f>
        <v>2023</v>
      </c>
      <c r="D1689" s="1">
        <f ca="1">IFERROR(__xludf.DUMMYFUNCTION("""COMPUTED_VALUE"""),40841)</f>
        <v>40841</v>
      </c>
      <c r="E1689" s="1" t="str">
        <f ca="1">IFERROR(__xludf.DUMMYFUNCTION("""COMPUTED_VALUE"""),"New Zealand Journal of Educational Studies")</f>
        <v>New Zealand Journal of Educational Studies</v>
      </c>
      <c r="F1689" s="1" t="str">
        <f ca="1">IFERROR(__xludf.DUMMYFUNCTION("""COMPUTED_VALUE"""),"2199-4714")</f>
        <v>2199-4714</v>
      </c>
      <c r="G1689" s="1" t="str">
        <f ca="1">IFERROR(__xludf.DUMMYFUNCTION("""COMPUTED_VALUE"""),"0028-8276")</f>
        <v>0028-8276</v>
      </c>
      <c r="H1689" s="27" t="str">
        <f ca="1">IFERROR(__xludf.DUMMYFUNCTION("""COMPUTED_VALUE"""),"https://link.springer.com/journal/40841")</f>
        <v>https://link.springer.com/journal/40841</v>
      </c>
      <c r="I1689" s="1" t="str">
        <f ca="1">IFERROR(__xludf.DUMMYFUNCTION("""COMPUTED_VALUE"""),"Springer")</f>
        <v>Springer</v>
      </c>
      <c r="J1689" s="1">
        <f ca="1">IFERROR(__xludf.DUMMYFUNCTION("""COMPUTED_VALUE"""),2015)</f>
        <v>2015</v>
      </c>
      <c r="K1689" s="1" t="str">
        <f ca="1">IFERROR(__xludf.DUMMYFUNCTION("""COMPUTED_VALUE"""),"Education")</f>
        <v>Education</v>
      </c>
      <c r="L1689" s="1" t="str">
        <f ca="1">IFERROR(__xludf.DUMMYFUNCTION("""COMPUTED_VALUE"""),"〇")</f>
        <v>〇</v>
      </c>
      <c r="M1689" s="1"/>
      <c r="N1689" s="1" t="str">
        <f ca="1">IFERROR(__xludf.DUMMYFUNCTION("""COMPUTED_VALUE"""),"TO15")</f>
        <v>TO15</v>
      </c>
      <c r="O1689" s="1"/>
      <c r="P1689" s="1"/>
    </row>
    <row r="1690" spans="1:16" ht="14.25" customHeight="1" x14ac:dyDescent="0.25">
      <c r="A1690" s="1"/>
      <c r="B1690" s="1">
        <f ca="1"/>
        <v>1678</v>
      </c>
      <c r="C1690" s="1">
        <f ca="1">IFERROR(__xludf.DUMMYFUNCTION("""COMPUTED_VALUE"""),2023)</f>
        <v>2023</v>
      </c>
      <c r="D1690" s="1">
        <f ca="1">IFERROR(__xludf.DUMMYFUNCTION("""COMPUTED_VALUE"""),4)</f>
        <v>4</v>
      </c>
      <c r="E1690" s="1" t="str">
        <f ca="1">IFERROR(__xludf.DUMMYFUNCTION("""COMPUTED_VALUE"""),"Nexus Network Journal")</f>
        <v>Nexus Network Journal</v>
      </c>
      <c r="F1690" s="1" t="str">
        <f ca="1">IFERROR(__xludf.DUMMYFUNCTION("""COMPUTED_VALUE"""),"1522-4600")</f>
        <v>1522-4600</v>
      </c>
      <c r="G1690" s="1" t="str">
        <f ca="1">IFERROR(__xludf.DUMMYFUNCTION("""COMPUTED_VALUE"""),"1590-5896")</f>
        <v>1590-5896</v>
      </c>
      <c r="H1690" s="27" t="str">
        <f ca="1">IFERROR(__xludf.DUMMYFUNCTION("""COMPUTED_VALUE"""),"https://link.springer.com/journal/4")</f>
        <v>https://link.springer.com/journal/4</v>
      </c>
      <c r="I1690" s="1" t="str">
        <f ca="1">IFERROR(__xludf.DUMMYFUNCTION("""COMPUTED_VALUE"""),"Birkhäuser")</f>
        <v>Birkhäuser</v>
      </c>
      <c r="J1690" s="1">
        <f ca="1">IFERROR(__xludf.DUMMYFUNCTION("""COMPUTED_VALUE"""),2000)</f>
        <v>2000</v>
      </c>
      <c r="K1690" s="1" t="str">
        <f ca="1">IFERROR(__xludf.DUMMYFUNCTION("""COMPUTED_VALUE"""),"Mathematics and Statistics")</f>
        <v>Mathematics and Statistics</v>
      </c>
      <c r="L1690" s="1" t="str">
        <f ca="1">IFERROR(__xludf.DUMMYFUNCTION("""COMPUTED_VALUE"""),"〇")</f>
        <v>〇</v>
      </c>
      <c r="M1690" s="1" t="str">
        <f ca="1">IFERROR(__xludf.DUMMYFUNCTION("""COMPUTED_VALUE"""),"〇")</f>
        <v>〇</v>
      </c>
      <c r="N1690" s="1"/>
      <c r="O1690" s="1"/>
      <c r="P1690" s="1"/>
    </row>
    <row r="1691" spans="1:16" ht="14.25" customHeight="1" x14ac:dyDescent="0.25">
      <c r="A1691" s="1"/>
      <c r="B1691" s="1">
        <f ca="1"/>
        <v>1679</v>
      </c>
      <c r="C1691" s="1">
        <f ca="1">IFERROR(__xludf.DUMMYFUNCTION("""COMPUTED_VALUE"""),2023)</f>
        <v>2023</v>
      </c>
      <c r="D1691" s="1">
        <f ca="1">IFERROR(__xludf.DUMMYFUNCTION("""COMPUTED_VALUE"""),30)</f>
        <v>30</v>
      </c>
      <c r="E1691" s="1" t="str">
        <f ca="1">IFERROR(__xludf.DUMMYFUNCTION("""COMPUTED_VALUE"""),"Nonlinear Differential Equations and Applications NoDEA")</f>
        <v>Nonlinear Differential Equations and Applications NoDEA</v>
      </c>
      <c r="F1691" s="1" t="str">
        <f ca="1">IFERROR(__xludf.DUMMYFUNCTION("""COMPUTED_VALUE"""),"1420-9004")</f>
        <v>1420-9004</v>
      </c>
      <c r="G1691" s="1" t="str">
        <f ca="1">IFERROR(__xludf.DUMMYFUNCTION("""COMPUTED_VALUE"""),"1021-9722")</f>
        <v>1021-9722</v>
      </c>
      <c r="H1691" s="27" t="str">
        <f ca="1">IFERROR(__xludf.DUMMYFUNCTION("""COMPUTED_VALUE"""),"https://link.springer.com/journal/30")</f>
        <v>https://link.springer.com/journal/30</v>
      </c>
      <c r="I1691" s="1" t="str">
        <f ca="1">IFERROR(__xludf.DUMMYFUNCTION("""COMPUTED_VALUE"""),"Birkhäuser")</f>
        <v>Birkhäuser</v>
      </c>
      <c r="J1691" s="1">
        <f ca="1">IFERROR(__xludf.DUMMYFUNCTION("""COMPUTED_VALUE"""),2000)</f>
        <v>2000</v>
      </c>
      <c r="K1691" s="1" t="str">
        <f ca="1">IFERROR(__xludf.DUMMYFUNCTION("""COMPUTED_VALUE"""),"Mathematics and Statistics")</f>
        <v>Mathematics and Statistics</v>
      </c>
      <c r="L1691" s="1" t="str">
        <f ca="1">IFERROR(__xludf.DUMMYFUNCTION("""COMPUTED_VALUE"""),"〇")</f>
        <v>〇</v>
      </c>
      <c r="M1691" s="1" t="str">
        <f ca="1">IFERROR(__xludf.DUMMYFUNCTION("""COMPUTED_VALUE"""),"〇")</f>
        <v>〇</v>
      </c>
      <c r="N1691" s="1"/>
      <c r="O1691" s="1"/>
      <c r="P1691" s="1"/>
    </row>
    <row r="1692" spans="1:16" ht="14.25" customHeight="1" x14ac:dyDescent="0.25">
      <c r="A1692" s="1"/>
      <c r="B1692" s="1">
        <f ca="1"/>
        <v>1680</v>
      </c>
      <c r="C1692" s="1">
        <f ca="1">IFERROR(__xludf.DUMMYFUNCTION("""COMPUTED_VALUE"""),2023)</f>
        <v>2023</v>
      </c>
      <c r="D1692" s="1">
        <f ca="1">IFERROR(__xludf.DUMMYFUNCTION("""COMPUTED_VALUE"""),11071)</f>
        <v>11071</v>
      </c>
      <c r="E1692" s="1" t="str">
        <f ca="1">IFERROR(__xludf.DUMMYFUNCTION("""COMPUTED_VALUE"""),"Nonlinear Dynamics")</f>
        <v>Nonlinear Dynamics</v>
      </c>
      <c r="F1692" s="1" t="str">
        <f ca="1">IFERROR(__xludf.DUMMYFUNCTION("""COMPUTED_VALUE"""),"1573-269X")</f>
        <v>1573-269X</v>
      </c>
      <c r="G1692" s="1" t="str">
        <f ca="1">IFERROR(__xludf.DUMMYFUNCTION("""COMPUTED_VALUE"""),"0924-090X")</f>
        <v>0924-090X</v>
      </c>
      <c r="H1692" s="27" t="str">
        <f ca="1">IFERROR(__xludf.DUMMYFUNCTION("""COMPUTED_VALUE"""),"https://link.springer.com/journal/11071")</f>
        <v>https://link.springer.com/journal/11071</v>
      </c>
      <c r="I1692" s="1" t="str">
        <f ca="1">IFERROR(__xludf.DUMMYFUNCTION("""COMPUTED_VALUE"""),"Springer")</f>
        <v>Springer</v>
      </c>
      <c r="J1692" s="1">
        <f ca="1">IFERROR(__xludf.DUMMYFUNCTION("""COMPUTED_VALUE"""),2000)</f>
        <v>2000</v>
      </c>
      <c r="K1692" s="1" t="str">
        <f ca="1">IFERROR(__xludf.DUMMYFUNCTION("""COMPUTED_VALUE"""),"Engineering")</f>
        <v>Engineering</v>
      </c>
      <c r="L1692" s="1" t="str">
        <f ca="1">IFERROR(__xludf.DUMMYFUNCTION("""COMPUTED_VALUE"""),"〇")</f>
        <v>〇</v>
      </c>
      <c r="M1692" s="1" t="str">
        <f ca="1">IFERROR(__xludf.DUMMYFUNCTION("""COMPUTED_VALUE"""),"〇")</f>
        <v>〇</v>
      </c>
      <c r="N1692" s="1"/>
      <c r="O1692" s="1"/>
      <c r="P1692" s="1"/>
    </row>
    <row r="1693" spans="1:16" ht="14.25" customHeight="1" x14ac:dyDescent="0.25">
      <c r="A1693" s="1"/>
      <c r="B1693" s="1">
        <f ca="1"/>
        <v>1681</v>
      </c>
      <c r="C1693" s="1">
        <f ca="1">IFERROR(__xludf.DUMMYFUNCTION("""COMPUTED_VALUE"""),2023)</f>
        <v>2023</v>
      </c>
      <c r="D1693" s="1">
        <f ca="1">IFERROR(__xludf.DUMMYFUNCTION("""COMPUTED_VALUE"""),10049)</f>
        <v>10049</v>
      </c>
      <c r="E1693" s="1" t="str">
        <f ca="1">IFERROR(__xludf.DUMMYFUNCTION("""COMPUTED_VALUE"""),"Notfall + Rettungsmedizin")</f>
        <v>Notfall + Rettungsmedizin</v>
      </c>
      <c r="F1693" s="1" t="str">
        <f ca="1">IFERROR(__xludf.DUMMYFUNCTION("""COMPUTED_VALUE"""),"1436-0578")</f>
        <v>1436-0578</v>
      </c>
      <c r="G1693" s="1" t="str">
        <f ca="1">IFERROR(__xludf.DUMMYFUNCTION("""COMPUTED_VALUE"""),"1434-6222")</f>
        <v>1434-6222</v>
      </c>
      <c r="H1693" s="27" t="str">
        <f ca="1">IFERROR(__xludf.DUMMYFUNCTION("""COMPUTED_VALUE"""),"https://link.springer.com/journal/10049")</f>
        <v>https://link.springer.com/journal/10049</v>
      </c>
      <c r="I1693" s="1" t="str">
        <f ca="1">IFERROR(__xludf.DUMMYFUNCTION("""COMPUTED_VALUE"""),"SpringerMedizin")</f>
        <v>SpringerMedizin</v>
      </c>
      <c r="J1693" s="1">
        <f ca="1">IFERROR(__xludf.DUMMYFUNCTION("""COMPUTED_VALUE"""),2000)</f>
        <v>2000</v>
      </c>
      <c r="K1693" s="1" t="str">
        <f ca="1">IFERROR(__xludf.DUMMYFUNCTION("""COMPUTED_VALUE"""),"Medicine")</f>
        <v>Medicine</v>
      </c>
      <c r="L1693" s="1" t="str">
        <f ca="1">IFERROR(__xludf.DUMMYFUNCTION("""COMPUTED_VALUE"""),"〇")</f>
        <v>〇</v>
      </c>
      <c r="M1693" s="1" t="str">
        <f ca="1">IFERROR(__xludf.DUMMYFUNCTION("""COMPUTED_VALUE"""),"〇")</f>
        <v>〇</v>
      </c>
      <c r="N1693" s="1"/>
      <c r="O1693" s="1"/>
      <c r="P1693" s="1"/>
    </row>
    <row r="1694" spans="1:16" ht="14.25" customHeight="1" x14ac:dyDescent="0.25">
      <c r="A1694" s="1"/>
      <c r="B1694" s="1">
        <f ca="1"/>
        <v>1682</v>
      </c>
      <c r="C1694" s="1">
        <f ca="1">IFERROR(__xludf.DUMMYFUNCTION("""COMPUTED_VALUE"""),2023)</f>
        <v>2023</v>
      </c>
      <c r="D1694" s="1">
        <f ca="1">IFERROR(__xludf.DUMMYFUNCTION("""COMPUTED_VALUE"""),13139)</f>
        <v>13139</v>
      </c>
      <c r="E1694" s="1" t="str">
        <f ca="1">IFERROR(__xludf.DUMMYFUNCTION("""COMPUTED_VALUE"""),"Nuclear Medicine and Molecular Imaging")</f>
        <v>Nuclear Medicine and Molecular Imaging</v>
      </c>
      <c r="F1694" s="1" t="str">
        <f ca="1">IFERROR(__xludf.DUMMYFUNCTION("""COMPUTED_VALUE"""),"1869-3482")</f>
        <v>1869-3482</v>
      </c>
      <c r="G1694" s="1" t="str">
        <f ca="1">IFERROR(__xludf.DUMMYFUNCTION("""COMPUTED_VALUE"""),"1869-3474")</f>
        <v>1869-3474</v>
      </c>
      <c r="H1694" s="27" t="str">
        <f ca="1">IFERROR(__xludf.DUMMYFUNCTION("""COMPUTED_VALUE"""),"https://link.springer.com/journal/13139")</f>
        <v>https://link.springer.com/journal/13139</v>
      </c>
      <c r="I1694" s="1" t="str">
        <f ca="1">IFERROR(__xludf.DUMMYFUNCTION("""COMPUTED_VALUE"""),"Springer")</f>
        <v>Springer</v>
      </c>
      <c r="J1694" s="1">
        <f ca="1">IFERROR(__xludf.DUMMYFUNCTION("""COMPUTED_VALUE"""),2010)</f>
        <v>2010</v>
      </c>
      <c r="K1694" s="1" t="str">
        <f ca="1">IFERROR(__xludf.DUMMYFUNCTION("""COMPUTED_VALUE"""),"Medicine")</f>
        <v>Medicine</v>
      </c>
      <c r="L1694" s="1" t="str">
        <f ca="1">IFERROR(__xludf.DUMMYFUNCTION("""COMPUTED_VALUE"""),"〇")</f>
        <v>〇</v>
      </c>
      <c r="M1694" s="1"/>
      <c r="N1694" s="1" t="str">
        <f ca="1">IFERROR(__xludf.DUMMYFUNCTION("""COMPUTED_VALUE"""),"TO10")</f>
        <v>TO10</v>
      </c>
      <c r="O1694" s="1"/>
      <c r="P1694" s="1"/>
    </row>
    <row r="1695" spans="1:16" ht="14.25" customHeight="1" x14ac:dyDescent="0.25">
      <c r="A1695" s="1"/>
      <c r="B1695" s="1">
        <f ca="1"/>
        <v>1683</v>
      </c>
      <c r="C1695" s="1">
        <f ca="1">IFERROR(__xludf.DUMMYFUNCTION("""COMPUTED_VALUE"""),2023)</f>
        <v>2023</v>
      </c>
      <c r="D1695" s="1">
        <f ca="1">IFERROR(__xludf.DUMMYFUNCTION("""COMPUTED_VALUE"""),41365)</f>
        <v>41365</v>
      </c>
      <c r="E1695" s="1" t="str">
        <f ca="1">IFERROR(__xludf.DUMMYFUNCTION("""COMPUTED_VALUE"""),"Nuclear Science and Techniques")</f>
        <v>Nuclear Science and Techniques</v>
      </c>
      <c r="F1695" s="1" t="str">
        <f ca="1">IFERROR(__xludf.DUMMYFUNCTION("""COMPUTED_VALUE"""),"2210-3147")</f>
        <v>2210-3147</v>
      </c>
      <c r="G1695" s="1" t="str">
        <f ca="1">IFERROR(__xludf.DUMMYFUNCTION("""COMPUTED_VALUE"""),"1001-8042")</f>
        <v>1001-8042</v>
      </c>
      <c r="H1695" s="27" t="str">
        <f ca="1">IFERROR(__xludf.DUMMYFUNCTION("""COMPUTED_VALUE"""),"https://link.springer.com/journal/41365")</f>
        <v>https://link.springer.com/journal/41365</v>
      </c>
      <c r="I1695" s="1" t="str">
        <f ca="1">IFERROR(__xludf.DUMMYFUNCTION("""COMPUTED_VALUE"""),"Science Press, co-published with Springer")</f>
        <v>Science Press, co-published with Springer</v>
      </c>
      <c r="J1695" s="1">
        <f ca="1">IFERROR(__xludf.DUMMYFUNCTION("""COMPUTED_VALUE"""),2016)</f>
        <v>2016</v>
      </c>
      <c r="K1695" s="1" t="str">
        <f ca="1">IFERROR(__xludf.DUMMYFUNCTION("""COMPUTED_VALUE"""),"Physics and Astronomy")</f>
        <v>Physics and Astronomy</v>
      </c>
      <c r="L1695" s="1" t="str">
        <f ca="1">IFERROR(__xludf.DUMMYFUNCTION("""COMPUTED_VALUE"""),"〇")</f>
        <v>〇</v>
      </c>
      <c r="M1695" s="1"/>
      <c r="N1695" s="1" t="str">
        <f ca="1">IFERROR(__xludf.DUMMYFUNCTION("""COMPUTED_VALUE"""),"TO16")</f>
        <v>TO16</v>
      </c>
      <c r="O1695" s="1"/>
      <c r="P1695" s="1"/>
    </row>
    <row r="1696" spans="1:16" ht="14.25" customHeight="1" x14ac:dyDescent="0.25">
      <c r="A1696" s="1"/>
      <c r="B1696" s="1">
        <f ca="1"/>
        <v>1684</v>
      </c>
      <c r="C1696" s="1">
        <f ca="1">IFERROR(__xludf.DUMMYFUNCTION("""COMPUTED_VALUE"""),2023)</f>
        <v>2023</v>
      </c>
      <c r="D1696" s="1">
        <f ca="1">IFERROR(__xludf.DUMMYFUNCTION("""COMPUTED_VALUE"""),11075)</f>
        <v>11075</v>
      </c>
      <c r="E1696" s="1" t="str">
        <f ca="1">IFERROR(__xludf.DUMMYFUNCTION("""COMPUTED_VALUE"""),"Numerical Algorithms")</f>
        <v>Numerical Algorithms</v>
      </c>
      <c r="F1696" s="1" t="str">
        <f ca="1">IFERROR(__xludf.DUMMYFUNCTION("""COMPUTED_VALUE"""),"1572-9265")</f>
        <v>1572-9265</v>
      </c>
      <c r="G1696" s="1" t="str">
        <f ca="1">IFERROR(__xludf.DUMMYFUNCTION("""COMPUTED_VALUE"""),"1017-1398")</f>
        <v>1017-1398</v>
      </c>
      <c r="H1696" s="27" t="str">
        <f ca="1">IFERROR(__xludf.DUMMYFUNCTION("""COMPUTED_VALUE"""),"https://link.springer.com/journal/11075")</f>
        <v>https://link.springer.com/journal/11075</v>
      </c>
      <c r="I1696" s="1" t="str">
        <f ca="1">IFERROR(__xludf.DUMMYFUNCTION("""COMPUTED_VALUE"""),"Springer")</f>
        <v>Springer</v>
      </c>
      <c r="J1696" s="1">
        <f ca="1">IFERROR(__xludf.DUMMYFUNCTION("""COMPUTED_VALUE"""),2000)</f>
        <v>2000</v>
      </c>
      <c r="K1696" s="1" t="str">
        <f ca="1">IFERROR(__xludf.DUMMYFUNCTION("""COMPUTED_VALUE"""),"Computer Science")</f>
        <v>Computer Science</v>
      </c>
      <c r="L1696" s="1" t="str">
        <f ca="1">IFERROR(__xludf.DUMMYFUNCTION("""COMPUTED_VALUE"""),"〇")</f>
        <v>〇</v>
      </c>
      <c r="M1696" s="1" t="str">
        <f ca="1">IFERROR(__xludf.DUMMYFUNCTION("""COMPUTED_VALUE"""),"〇")</f>
        <v>〇</v>
      </c>
      <c r="N1696" s="1"/>
      <c r="O1696" s="1"/>
      <c r="P1696" s="1"/>
    </row>
    <row r="1697" spans="1:16" ht="14.25" customHeight="1" x14ac:dyDescent="0.25">
      <c r="A1697" s="1"/>
      <c r="B1697" s="1">
        <f ca="1"/>
        <v>1685</v>
      </c>
      <c r="C1697" s="1">
        <f ca="1">IFERROR(__xludf.DUMMYFUNCTION("""COMPUTED_VALUE"""),2023)</f>
        <v>2023</v>
      </c>
      <c r="D1697" s="1">
        <f ca="1">IFERROR(__xludf.DUMMYFUNCTION("""COMPUTED_VALUE"""),12258)</f>
        <v>12258</v>
      </c>
      <c r="E1697" s="1" t="str">
        <f ca="1">IFERROR(__xludf.DUMMYFUNCTION("""COMPUTED_VALUE"""),"Numerical Analysis and Applications")</f>
        <v>Numerical Analysis and Applications</v>
      </c>
      <c r="F1697" s="1" t="str">
        <f ca="1">IFERROR(__xludf.DUMMYFUNCTION("""COMPUTED_VALUE"""),"1995-4247")</f>
        <v>1995-4247</v>
      </c>
      <c r="G1697" s="1" t="str">
        <f ca="1">IFERROR(__xludf.DUMMYFUNCTION("""COMPUTED_VALUE"""),"1995-4239")</f>
        <v>1995-4239</v>
      </c>
      <c r="H1697" s="27" t="str">
        <f ca="1">IFERROR(__xludf.DUMMYFUNCTION("""COMPUTED_VALUE"""),"https://link.springer.com/journal/12258")</f>
        <v>https://link.springer.com/journal/12258</v>
      </c>
      <c r="I1697" s="1" t="str">
        <f ca="1">IFERROR(__xludf.DUMMYFUNCTION("""COMPUTED_VALUE"""),"Pleiades Publishing")</f>
        <v>Pleiades Publishing</v>
      </c>
      <c r="J1697" s="1">
        <f ca="1">IFERROR(__xludf.DUMMYFUNCTION("""COMPUTED_VALUE"""),2008)</f>
        <v>2008</v>
      </c>
      <c r="K1697" s="1" t="str">
        <f ca="1">IFERROR(__xludf.DUMMYFUNCTION("""COMPUTED_VALUE"""),"Mathematics and Statistics")</f>
        <v>Mathematics and Statistics</v>
      </c>
      <c r="L1697" s="1" t="str">
        <f ca="1">IFERROR(__xludf.DUMMYFUNCTION("""COMPUTED_VALUE"""),"〇")</f>
        <v>〇</v>
      </c>
      <c r="M1697" s="1" t="str">
        <f ca="1">IFERROR(__xludf.DUMMYFUNCTION("""COMPUTED_VALUE"""),"〇")</f>
        <v>〇</v>
      </c>
      <c r="N1697" s="1" t="str">
        <f ca="1">IFERROR(__xludf.DUMMYFUNCTION("""COMPUTED_VALUE"""),"SNS8")</f>
        <v>SNS8</v>
      </c>
      <c r="O1697" s="1"/>
      <c r="P1697" s="1"/>
    </row>
    <row r="1698" spans="1:16" ht="14.25" customHeight="1" x14ac:dyDescent="0.25">
      <c r="A1698" s="1"/>
      <c r="B1698" s="1">
        <f ca="1"/>
        <v>1686</v>
      </c>
      <c r="C1698" s="1">
        <f ca="1">IFERROR(__xludf.DUMMYFUNCTION("""COMPUTED_VALUE"""),2023)</f>
        <v>2023</v>
      </c>
      <c r="D1698" s="1">
        <f ca="1">IFERROR(__xludf.DUMMYFUNCTION("""COMPUTED_VALUE"""),211)</f>
        <v>211</v>
      </c>
      <c r="E1698" s="1" t="str">
        <f ca="1">IFERROR(__xludf.DUMMYFUNCTION("""COMPUTED_VALUE"""),"Numerische Mathematik")</f>
        <v>Numerische Mathematik</v>
      </c>
      <c r="F1698" s="1" t="str">
        <f ca="1">IFERROR(__xludf.DUMMYFUNCTION("""COMPUTED_VALUE"""),"0945-3245")</f>
        <v>0945-3245</v>
      </c>
      <c r="G1698" s="1" t="str">
        <f ca="1">IFERROR(__xludf.DUMMYFUNCTION("""COMPUTED_VALUE"""),"0029-599X")</f>
        <v>0029-599X</v>
      </c>
      <c r="H1698" s="27" t="str">
        <f ca="1">IFERROR(__xludf.DUMMYFUNCTION("""COMPUTED_VALUE"""),"https://link.springer.com/journal/211")</f>
        <v>https://link.springer.com/journal/211</v>
      </c>
      <c r="I1698" s="1" t="str">
        <f ca="1">IFERROR(__xludf.DUMMYFUNCTION("""COMPUTED_VALUE"""),"Springer")</f>
        <v>Springer</v>
      </c>
      <c r="J1698" s="1">
        <f ca="1">IFERROR(__xludf.DUMMYFUNCTION("""COMPUTED_VALUE"""),2000)</f>
        <v>2000</v>
      </c>
      <c r="K1698" s="1" t="str">
        <f ca="1">IFERROR(__xludf.DUMMYFUNCTION("""COMPUTED_VALUE"""),"Mathematics and Statistics")</f>
        <v>Mathematics and Statistics</v>
      </c>
      <c r="L1698" s="1" t="str">
        <f ca="1">IFERROR(__xludf.DUMMYFUNCTION("""COMPUTED_VALUE"""),"〇")</f>
        <v>〇</v>
      </c>
      <c r="M1698" s="1" t="str">
        <f ca="1">IFERROR(__xludf.DUMMYFUNCTION("""COMPUTED_VALUE"""),"〇")</f>
        <v>〇</v>
      </c>
      <c r="N1698" s="1"/>
      <c r="O1698" s="1"/>
      <c r="P1698" s="1"/>
    </row>
    <row r="1699" spans="1:16" ht="14.25" customHeight="1" x14ac:dyDescent="0.25">
      <c r="A1699" s="1"/>
      <c r="B1699" s="1">
        <f ca="1"/>
        <v>1687</v>
      </c>
      <c r="C1699" s="1">
        <f ca="1">IFERROR(__xludf.DUMMYFUNCTION("""COMPUTED_VALUE"""),2023)</f>
        <v>2023</v>
      </c>
      <c r="D1699" s="1">
        <f ca="1">IFERROR(__xludf.DUMMYFUNCTION("""COMPUTED_VALUE"""),10705)</f>
        <v>10705</v>
      </c>
      <c r="E1699" s="1" t="str">
        <f ca="1">IFERROR(__xludf.DUMMYFUNCTION("""COMPUTED_VALUE"""),"Nutrient Cycling in Agroecosystems")</f>
        <v>Nutrient Cycling in Agroecosystems</v>
      </c>
      <c r="F1699" s="1" t="str">
        <f ca="1">IFERROR(__xludf.DUMMYFUNCTION("""COMPUTED_VALUE"""),"1573-0867")</f>
        <v>1573-0867</v>
      </c>
      <c r="G1699" s="1" t="str">
        <f ca="1">IFERROR(__xludf.DUMMYFUNCTION("""COMPUTED_VALUE"""),"1385-1314")</f>
        <v>1385-1314</v>
      </c>
      <c r="H1699" s="27" t="str">
        <f ca="1">IFERROR(__xludf.DUMMYFUNCTION("""COMPUTED_VALUE"""),"https://link.springer.com/journal/10705")</f>
        <v>https://link.springer.com/journal/10705</v>
      </c>
      <c r="I1699" s="1" t="str">
        <f ca="1">IFERROR(__xludf.DUMMYFUNCTION("""COMPUTED_VALUE"""),"Springer")</f>
        <v>Springer</v>
      </c>
      <c r="J1699" s="1">
        <f ca="1">IFERROR(__xludf.DUMMYFUNCTION("""COMPUTED_VALUE"""),2000)</f>
        <v>2000</v>
      </c>
      <c r="K1699" s="1" t="str">
        <f ca="1">IFERROR(__xludf.DUMMYFUNCTION("""COMPUTED_VALUE"""),"Biomedical and Life Sciences")</f>
        <v>Biomedical and Life Sciences</v>
      </c>
      <c r="L1699" s="1" t="str">
        <f ca="1">IFERROR(__xludf.DUMMYFUNCTION("""COMPUTED_VALUE"""),"〇")</f>
        <v>〇</v>
      </c>
      <c r="M1699" s="1" t="str">
        <f ca="1">IFERROR(__xludf.DUMMYFUNCTION("""COMPUTED_VALUE"""),"〇")</f>
        <v>〇</v>
      </c>
      <c r="N1699" s="1"/>
      <c r="O1699" s="1"/>
      <c r="P1699" s="1"/>
    </row>
    <row r="1700" spans="1:16" ht="14.25" customHeight="1" x14ac:dyDescent="0.25">
      <c r="A1700" s="1"/>
      <c r="B1700" s="1">
        <f ca="1"/>
        <v>1688</v>
      </c>
      <c r="C1700" s="1">
        <f ca="1">IFERROR(__xludf.DUMMYFUNCTION("""COMPUTED_VALUE"""),2023)</f>
        <v>2023</v>
      </c>
      <c r="D1700" s="1">
        <f ca="1">IFERROR(__xludf.DUMMYFUNCTION("""COMPUTED_VALUE"""),41110)</f>
        <v>41110</v>
      </c>
      <c r="E1700" s="1" t="str">
        <f ca="1">IFERROR(__xludf.DUMMYFUNCTION("""COMPUTED_VALUE"""),"Nutrire")</f>
        <v>Nutrire</v>
      </c>
      <c r="F1700" s="1" t="str">
        <f ca="1">IFERROR(__xludf.DUMMYFUNCTION("""COMPUTED_VALUE"""),"2316-7874")</f>
        <v>2316-7874</v>
      </c>
      <c r="G1700" s="1"/>
      <c r="H1700" s="27" t="str">
        <f ca="1">IFERROR(__xludf.DUMMYFUNCTION("""COMPUTED_VALUE"""),"https://link.springer.com/journal/41110")</f>
        <v>https://link.springer.com/journal/41110</v>
      </c>
      <c r="I1700" s="1" t="str">
        <f ca="1">IFERROR(__xludf.DUMMYFUNCTION("""COMPUTED_VALUE"""),"Springer")</f>
        <v>Springer</v>
      </c>
      <c r="J1700" s="1">
        <f ca="1">IFERROR(__xludf.DUMMYFUNCTION("""COMPUTED_VALUE"""),2016)</f>
        <v>2016</v>
      </c>
      <c r="K1700" s="1" t="str">
        <f ca="1">IFERROR(__xludf.DUMMYFUNCTION("""COMPUTED_VALUE"""),"Medicine")</f>
        <v>Medicine</v>
      </c>
      <c r="L1700" s="1"/>
      <c r="M1700" s="1"/>
      <c r="N1700" s="1"/>
      <c r="O1700" s="1"/>
      <c r="P1700" s="1"/>
    </row>
    <row r="1701" spans="1:16" ht="14.25" customHeight="1" x14ac:dyDescent="0.25">
      <c r="A1701" s="1"/>
      <c r="B1701" s="1">
        <f ca="1"/>
        <v>1689</v>
      </c>
      <c r="C1701" s="1">
        <f ca="1">IFERROR(__xludf.DUMMYFUNCTION("""COMPUTED_VALUE"""),2023)</f>
        <v>2023</v>
      </c>
      <c r="D1701" s="1">
        <f ca="1">IFERROR(__xludf.DUMMYFUNCTION("""COMPUTED_VALUE"""),11678)</f>
        <v>11678</v>
      </c>
      <c r="E1701" s="1" t="str">
        <f ca="1">IFERROR(__xludf.DUMMYFUNCTION("""COMPUTED_VALUE"""),"Obere Extremität")</f>
        <v>Obere Extremität</v>
      </c>
      <c r="F1701" s="1" t="str">
        <f ca="1">IFERROR(__xludf.DUMMYFUNCTION("""COMPUTED_VALUE"""),"1862-6602")</f>
        <v>1862-6602</v>
      </c>
      <c r="G1701" s="1" t="str">
        <f ca="1">IFERROR(__xludf.DUMMYFUNCTION("""COMPUTED_VALUE"""),"1862-6599")</f>
        <v>1862-6599</v>
      </c>
      <c r="H1701" s="27" t="str">
        <f ca="1">IFERROR(__xludf.DUMMYFUNCTION("""COMPUTED_VALUE"""),"https://link.springer.com/journal/11678")</f>
        <v>https://link.springer.com/journal/11678</v>
      </c>
      <c r="I1701" s="1" t="str">
        <f ca="1">IFERROR(__xludf.DUMMYFUNCTION("""COMPUTED_VALUE"""),"SpringerMedizin")</f>
        <v>SpringerMedizin</v>
      </c>
      <c r="J1701" s="1">
        <f ca="1">IFERROR(__xludf.DUMMYFUNCTION("""COMPUTED_VALUE"""),2006)</f>
        <v>2006</v>
      </c>
      <c r="K1701" s="1" t="str">
        <f ca="1">IFERROR(__xludf.DUMMYFUNCTION("""COMPUTED_VALUE"""),"Medicine")</f>
        <v>Medicine</v>
      </c>
      <c r="L1701" s="1" t="str">
        <f ca="1">IFERROR(__xludf.DUMMYFUNCTION("""COMPUTED_VALUE"""),"〇")</f>
        <v>〇</v>
      </c>
      <c r="M1701" s="1" t="str">
        <f ca="1">IFERROR(__xludf.DUMMYFUNCTION("""COMPUTED_VALUE"""),"〇")</f>
        <v>〇</v>
      </c>
      <c r="N1701" s="1" t="str">
        <f ca="1">IFERROR(__xludf.DUMMYFUNCTION("""COMPUTED_VALUE"""),"SNS7")</f>
        <v>SNS7</v>
      </c>
      <c r="O1701" s="1"/>
      <c r="P1701" s="1"/>
    </row>
    <row r="1702" spans="1:16" ht="14.25" customHeight="1" x14ac:dyDescent="0.25">
      <c r="A1702" s="1"/>
      <c r="B1702" s="1">
        <f ca="1"/>
        <v>1690</v>
      </c>
      <c r="C1702" s="1">
        <f ca="1">IFERROR(__xludf.DUMMYFUNCTION("""COMPUTED_VALUE"""),2023)</f>
        <v>2023</v>
      </c>
      <c r="D1702" s="1">
        <f ca="1">IFERROR(__xludf.DUMMYFUNCTION("""COMPUTED_VALUE"""),11695)</f>
        <v>11695</v>
      </c>
      <c r="E1702" s="1" t="str">
        <f ca="1">IFERROR(__xludf.DUMMYFUNCTION("""COMPUTED_VALUE"""),"Obesity Surgery")</f>
        <v>Obesity Surgery</v>
      </c>
      <c r="F1702" s="1" t="str">
        <f ca="1">IFERROR(__xludf.DUMMYFUNCTION("""COMPUTED_VALUE"""),"1708-0428")</f>
        <v>1708-0428</v>
      </c>
      <c r="G1702" s="1" t="str">
        <f ca="1">IFERROR(__xludf.DUMMYFUNCTION("""COMPUTED_VALUE"""),"0960-8923")</f>
        <v>0960-8923</v>
      </c>
      <c r="H1702" s="27" t="str">
        <f ca="1">IFERROR(__xludf.DUMMYFUNCTION("""COMPUTED_VALUE"""),"https://link.springer.com/journal/11695")</f>
        <v>https://link.springer.com/journal/11695</v>
      </c>
      <c r="I1702" s="1" t="str">
        <f ca="1">IFERROR(__xludf.DUMMYFUNCTION("""COMPUTED_VALUE"""),"Springer")</f>
        <v>Springer</v>
      </c>
      <c r="J1702" s="1">
        <f ca="1">IFERROR(__xludf.DUMMYFUNCTION("""COMPUTED_VALUE"""),2000)</f>
        <v>2000</v>
      </c>
      <c r="K1702" s="1" t="str">
        <f ca="1">IFERROR(__xludf.DUMMYFUNCTION("""COMPUTED_VALUE"""),"Medicine")</f>
        <v>Medicine</v>
      </c>
      <c r="L1702" s="1" t="str">
        <f ca="1">IFERROR(__xludf.DUMMYFUNCTION("""COMPUTED_VALUE"""),"〇")</f>
        <v>〇</v>
      </c>
      <c r="M1702" s="1" t="str">
        <f ca="1">IFERROR(__xludf.DUMMYFUNCTION("""COMPUTED_VALUE"""),"〇")</f>
        <v>〇</v>
      </c>
      <c r="N1702" s="1" t="str">
        <f ca="1">IFERROR(__xludf.DUMMYFUNCTION("""COMPUTED_VALUE"""),"TO7")</f>
        <v>TO7</v>
      </c>
      <c r="O1702" s="1"/>
      <c r="P1702" s="1"/>
    </row>
    <row r="1703" spans="1:16" ht="14.25" customHeight="1" x14ac:dyDescent="0.25">
      <c r="A1703" s="1"/>
      <c r="B1703" s="1">
        <f ca="1"/>
        <v>1691</v>
      </c>
      <c r="C1703" s="1">
        <f ca="1">IFERROR(__xludf.DUMMYFUNCTION("""COMPUTED_VALUE"""),2023)</f>
        <v>2023</v>
      </c>
      <c r="D1703" s="1">
        <f ca="1">IFERROR(__xludf.DUMMYFUNCTION("""COMPUTED_VALUE"""),41542)</f>
        <v>41542</v>
      </c>
      <c r="E1703" s="1" t="str">
        <f ca="1">IFERROR(__xludf.DUMMYFUNCTION("""COMPUTED_VALUE"""),"Occupational Health Science")</f>
        <v>Occupational Health Science</v>
      </c>
      <c r="F1703" s="1" t="str">
        <f ca="1">IFERROR(__xludf.DUMMYFUNCTION("""COMPUTED_VALUE"""),"2367-0142")</f>
        <v>2367-0142</v>
      </c>
      <c r="G1703" s="1" t="str">
        <f ca="1">IFERROR(__xludf.DUMMYFUNCTION("""COMPUTED_VALUE"""),"2367-0134")</f>
        <v>2367-0134</v>
      </c>
      <c r="H1703" s="27" t="str">
        <f ca="1">IFERROR(__xludf.DUMMYFUNCTION("""COMPUTED_VALUE"""),"https://link.springer.com/journal/41542")</f>
        <v>https://link.springer.com/journal/41542</v>
      </c>
      <c r="I1703" s="1" t="str">
        <f ca="1">IFERROR(__xludf.DUMMYFUNCTION("""COMPUTED_VALUE"""),"Springer")</f>
        <v>Springer</v>
      </c>
      <c r="J1703" s="1">
        <f ca="1">IFERROR(__xludf.DUMMYFUNCTION("""COMPUTED_VALUE"""),2017)</f>
        <v>2017</v>
      </c>
      <c r="K1703" s="1" t="str">
        <f ca="1">IFERROR(__xludf.DUMMYFUNCTION("""COMPUTED_VALUE"""),"Behavioral Science and Psychology")</f>
        <v>Behavioral Science and Psychology</v>
      </c>
      <c r="L1703" s="1" t="str">
        <f ca="1">IFERROR(__xludf.DUMMYFUNCTION("""COMPUTED_VALUE"""),"〇")</f>
        <v>〇</v>
      </c>
      <c r="M1703" s="1"/>
      <c r="N1703" s="1" t="str">
        <f ca="1">IFERROR(__xludf.DUMMYFUNCTION("""COMPUTED_VALUE"""),"SNS17")</f>
        <v>SNS17</v>
      </c>
      <c r="O1703" s="1"/>
      <c r="P1703" s="1"/>
    </row>
    <row r="1704" spans="1:16" ht="14.25" customHeight="1" x14ac:dyDescent="0.25">
      <c r="A1704" s="1"/>
      <c r="B1704" s="1">
        <f ca="1"/>
        <v>1692</v>
      </c>
      <c r="C1704" s="1">
        <f ca="1">IFERROR(__xludf.DUMMYFUNCTION("""COMPUTED_VALUE"""),2023)</f>
        <v>2023</v>
      </c>
      <c r="D1704" s="1">
        <f ca="1">IFERROR(__xludf.DUMMYFUNCTION("""COMPUTED_VALUE"""),10236)</f>
        <v>10236</v>
      </c>
      <c r="E1704" s="1" t="str">
        <f ca="1">IFERROR(__xludf.DUMMYFUNCTION("""COMPUTED_VALUE"""),"Ocean Dynamics")</f>
        <v>Ocean Dynamics</v>
      </c>
      <c r="F1704" s="1" t="str">
        <f ca="1">IFERROR(__xludf.DUMMYFUNCTION("""COMPUTED_VALUE"""),"1616-7228")</f>
        <v>1616-7228</v>
      </c>
      <c r="G1704" s="1" t="str">
        <f ca="1">IFERROR(__xludf.DUMMYFUNCTION("""COMPUTED_VALUE"""),"1616-7341")</f>
        <v>1616-7341</v>
      </c>
      <c r="H1704" s="27" t="str">
        <f ca="1">IFERROR(__xludf.DUMMYFUNCTION("""COMPUTED_VALUE"""),"https://link.springer.com/journal/10236")</f>
        <v>https://link.springer.com/journal/10236</v>
      </c>
      <c r="I1704" s="1" t="str">
        <f ca="1">IFERROR(__xludf.DUMMYFUNCTION("""COMPUTED_VALUE"""),"Springer")</f>
        <v>Springer</v>
      </c>
      <c r="J1704" s="1">
        <f ca="1">IFERROR(__xludf.DUMMYFUNCTION("""COMPUTED_VALUE"""),2000)</f>
        <v>2000</v>
      </c>
      <c r="K1704" s="1" t="str">
        <f ca="1">IFERROR(__xludf.DUMMYFUNCTION("""COMPUTED_VALUE"""),"Earth and Environmental Science")</f>
        <v>Earth and Environmental Science</v>
      </c>
      <c r="L1704" s="1" t="str">
        <f ca="1">IFERROR(__xludf.DUMMYFUNCTION("""COMPUTED_VALUE"""),"〇")</f>
        <v>〇</v>
      </c>
      <c r="M1704" s="1" t="str">
        <f ca="1">IFERROR(__xludf.DUMMYFUNCTION("""COMPUTED_VALUE"""),"〇")</f>
        <v>〇</v>
      </c>
      <c r="N1704" s="1"/>
      <c r="O1704" s="1"/>
      <c r="P1704" s="1"/>
    </row>
    <row r="1705" spans="1:16" ht="14.25" customHeight="1" x14ac:dyDescent="0.25">
      <c r="A1705" s="1"/>
      <c r="B1705" s="1">
        <f ca="1"/>
        <v>1693</v>
      </c>
      <c r="C1705" s="1">
        <f ca="1">IFERROR(__xludf.DUMMYFUNCTION("""COMPUTED_VALUE"""),2023)</f>
        <v>2023</v>
      </c>
      <c r="D1705" s="1">
        <f ca="1">IFERROR(__xludf.DUMMYFUNCTION("""COMPUTED_VALUE"""),12601)</f>
        <v>12601</v>
      </c>
      <c r="E1705" s="1" t="str">
        <f ca="1">IFERROR(__xludf.DUMMYFUNCTION("""COMPUTED_VALUE"""),"Ocean Science Journal")</f>
        <v>Ocean Science Journal</v>
      </c>
      <c r="F1705" s="1" t="str">
        <f ca="1">IFERROR(__xludf.DUMMYFUNCTION("""COMPUTED_VALUE"""),"2005-7172")</f>
        <v>2005-7172</v>
      </c>
      <c r="G1705" s="1" t="str">
        <f ca="1">IFERROR(__xludf.DUMMYFUNCTION("""COMPUTED_VALUE"""),"1738-5261")</f>
        <v>1738-5261</v>
      </c>
      <c r="H1705" s="27" t="str">
        <f ca="1">IFERROR(__xludf.DUMMYFUNCTION("""COMPUTED_VALUE"""),"https://link.springer.com/journal/12601")</f>
        <v>https://link.springer.com/journal/12601</v>
      </c>
      <c r="I1705" s="1" t="str">
        <f ca="1">IFERROR(__xludf.DUMMYFUNCTION("""COMPUTED_VALUE"""),"Korea Institute of Ocean Science &amp; Technology and The Korean Society of Oceanography, co-published with Springer")</f>
        <v>Korea Institute of Ocean Science &amp; Technology and The Korean Society of Oceanography, co-published with Springer</v>
      </c>
      <c r="J1705" s="1">
        <f ca="1">IFERROR(__xludf.DUMMYFUNCTION("""COMPUTED_VALUE"""),2005)</f>
        <v>2005</v>
      </c>
      <c r="K1705" s="1" t="str">
        <f ca="1">IFERROR(__xludf.DUMMYFUNCTION("""COMPUTED_VALUE"""),"Earth and Environmental Science")</f>
        <v>Earth and Environmental Science</v>
      </c>
      <c r="L1705" s="1" t="str">
        <f ca="1">IFERROR(__xludf.DUMMYFUNCTION("""COMPUTED_VALUE"""),"〇")</f>
        <v>〇</v>
      </c>
      <c r="M1705" s="1"/>
      <c r="N1705" s="1" t="str">
        <f ca="1">IFERROR(__xludf.DUMMYFUNCTION("""COMPUTED_VALUE"""),"TO9")</f>
        <v>TO9</v>
      </c>
      <c r="O1705" s="1"/>
      <c r="P1705" s="1"/>
    </row>
    <row r="1706" spans="1:16" ht="14.25" customHeight="1" x14ac:dyDescent="0.25">
      <c r="A1706" s="1"/>
      <c r="B1706" s="1">
        <f ca="1"/>
        <v>1694</v>
      </c>
      <c r="C1706" s="1">
        <f ca="1">IFERROR(__xludf.DUMMYFUNCTION("""COMPUTED_VALUE"""),2023)</f>
        <v>2023</v>
      </c>
      <c r="D1706" s="1">
        <f ca="1">IFERROR(__xludf.DUMMYFUNCTION("""COMPUTED_VALUE"""),11491)</f>
        <v>11491</v>
      </c>
      <c r="E1706" s="1" t="str">
        <f ca="1">IFERROR(__xludf.DUMMYFUNCTION("""COMPUTED_VALUE"""),"Oceanology")</f>
        <v>Oceanology</v>
      </c>
      <c r="F1706" s="1" t="str">
        <f ca="1">IFERROR(__xludf.DUMMYFUNCTION("""COMPUTED_VALUE"""),"1531-8508")</f>
        <v>1531-8508</v>
      </c>
      <c r="G1706" s="1" t="str">
        <f ca="1">IFERROR(__xludf.DUMMYFUNCTION("""COMPUTED_VALUE"""),"0001-4370")</f>
        <v>0001-4370</v>
      </c>
      <c r="H1706" s="27" t="str">
        <f ca="1">IFERROR(__xludf.DUMMYFUNCTION("""COMPUTED_VALUE"""),"https://link.springer.com/journal/11491")</f>
        <v>https://link.springer.com/journal/11491</v>
      </c>
      <c r="I1706" s="1" t="str">
        <f ca="1">IFERROR(__xludf.DUMMYFUNCTION("""COMPUTED_VALUE"""),"Pleiades Publishing")</f>
        <v>Pleiades Publishing</v>
      </c>
      <c r="J1706" s="1">
        <f ca="1">IFERROR(__xludf.DUMMYFUNCTION("""COMPUTED_VALUE"""),2006)</f>
        <v>2006</v>
      </c>
      <c r="K1706" s="1" t="str">
        <f ca="1">IFERROR(__xludf.DUMMYFUNCTION("""COMPUTED_VALUE"""),"Earth and Environmental Science")</f>
        <v>Earth and Environmental Science</v>
      </c>
      <c r="L1706" s="1" t="str">
        <f ca="1">IFERROR(__xludf.DUMMYFUNCTION("""COMPUTED_VALUE"""),"〇")</f>
        <v>〇</v>
      </c>
      <c r="M1706" s="1" t="str">
        <f ca="1">IFERROR(__xludf.DUMMYFUNCTION("""COMPUTED_VALUE"""),"〇")</f>
        <v>〇</v>
      </c>
      <c r="N1706" s="1"/>
      <c r="O1706" s="1"/>
      <c r="P1706" s="1"/>
    </row>
    <row r="1707" spans="1:16" ht="14.25" customHeight="1" x14ac:dyDescent="0.25">
      <c r="A1707" s="1"/>
      <c r="B1707" s="1">
        <f ca="1"/>
        <v>1695</v>
      </c>
      <c r="C1707" s="1">
        <f ca="1">IFERROR(__xludf.DUMMYFUNCTION("""COMPUTED_VALUE"""),2023)</f>
        <v>2023</v>
      </c>
      <c r="D1707" s="1">
        <f ca="1">IFERROR(__xludf.DUMMYFUNCTION("""COMPUTED_VALUE"""),10266)</f>
        <v>10266</v>
      </c>
      <c r="E1707" s="1" t="str">
        <f ca="1">IFERROR(__xludf.DUMMYFUNCTION("""COMPUTED_VALUE"""),"Odontology")</f>
        <v>Odontology</v>
      </c>
      <c r="F1707" s="1" t="str">
        <f ca="1">IFERROR(__xludf.DUMMYFUNCTION("""COMPUTED_VALUE"""),"1618-1255")</f>
        <v>1618-1255</v>
      </c>
      <c r="G1707" s="1" t="str">
        <f ca="1">IFERROR(__xludf.DUMMYFUNCTION("""COMPUTED_VALUE"""),"1618-1247")</f>
        <v>1618-1247</v>
      </c>
      <c r="H1707" s="27" t="str">
        <f ca="1">IFERROR(__xludf.DUMMYFUNCTION("""COMPUTED_VALUE"""),"https://link.springer.com/journal/10266")</f>
        <v>https://link.springer.com/journal/10266</v>
      </c>
      <c r="I1707" s="1" t="str">
        <f ca="1">IFERROR(__xludf.DUMMYFUNCTION("""COMPUTED_VALUE"""),"Springer")</f>
        <v>Springer</v>
      </c>
      <c r="J1707" s="1">
        <f ca="1">IFERROR(__xludf.DUMMYFUNCTION("""COMPUTED_VALUE"""),2000)</f>
        <v>2000</v>
      </c>
      <c r="K1707" s="1" t="str">
        <f ca="1">IFERROR(__xludf.DUMMYFUNCTION("""COMPUTED_VALUE"""),"Medicine")</f>
        <v>Medicine</v>
      </c>
      <c r="L1707" s="1" t="str">
        <f ca="1">IFERROR(__xludf.DUMMYFUNCTION("""COMPUTED_VALUE"""),"〇")</f>
        <v>〇</v>
      </c>
      <c r="M1707" s="1" t="str">
        <f ca="1">IFERROR(__xludf.DUMMYFUNCTION("""COMPUTED_VALUE"""),"〇")</f>
        <v>〇</v>
      </c>
      <c r="N1707" s="1"/>
      <c r="O1707" s="1"/>
      <c r="P1707" s="1"/>
    </row>
    <row r="1708" spans="1:16" ht="14.25" customHeight="1" x14ac:dyDescent="0.25">
      <c r="A1708" s="1"/>
      <c r="B1708" s="1">
        <f ca="1"/>
        <v>1696</v>
      </c>
      <c r="C1708" s="1">
        <f ca="1">IFERROR(__xludf.DUMMYFUNCTION("""COMPUTED_VALUE"""),2023)</f>
        <v>2023</v>
      </c>
      <c r="D1708" s="1">
        <f ca="1">IFERROR(__xludf.DUMMYFUNCTION("""COMPUTED_VALUE"""),442)</f>
        <v>442</v>
      </c>
      <c r="E1708" s="1" t="str">
        <f ca="1">IFERROR(__xludf.DUMMYFUNCTION("""COMPUTED_VALUE"""),"Oecologia")</f>
        <v>Oecologia</v>
      </c>
      <c r="F1708" s="1" t="str">
        <f ca="1">IFERROR(__xludf.DUMMYFUNCTION("""COMPUTED_VALUE"""),"1432-1939")</f>
        <v>1432-1939</v>
      </c>
      <c r="G1708" s="1" t="str">
        <f ca="1">IFERROR(__xludf.DUMMYFUNCTION("""COMPUTED_VALUE"""),"0029-8549")</f>
        <v>0029-8549</v>
      </c>
      <c r="H1708" s="27" t="str">
        <f ca="1">IFERROR(__xludf.DUMMYFUNCTION("""COMPUTED_VALUE"""),"https://link.springer.com/journal/442")</f>
        <v>https://link.springer.com/journal/442</v>
      </c>
      <c r="I1708" s="1" t="str">
        <f ca="1">IFERROR(__xludf.DUMMYFUNCTION("""COMPUTED_VALUE"""),"Springer")</f>
        <v>Springer</v>
      </c>
      <c r="J1708" s="1">
        <f ca="1">IFERROR(__xludf.DUMMYFUNCTION("""COMPUTED_VALUE"""),2000)</f>
        <v>2000</v>
      </c>
      <c r="K1708" s="1" t="str">
        <f ca="1">IFERROR(__xludf.DUMMYFUNCTION("""COMPUTED_VALUE"""),"Biomedical and Life Sciences")</f>
        <v>Biomedical and Life Sciences</v>
      </c>
      <c r="L1708" s="1" t="str">
        <f ca="1">IFERROR(__xludf.DUMMYFUNCTION("""COMPUTED_VALUE"""),"〇")</f>
        <v>〇</v>
      </c>
      <c r="M1708" s="1" t="str">
        <f ca="1">IFERROR(__xludf.DUMMYFUNCTION("""COMPUTED_VALUE"""),"〇")</f>
        <v>〇</v>
      </c>
      <c r="N1708" s="1"/>
      <c r="O1708" s="1"/>
      <c r="P1708" s="1"/>
    </row>
    <row r="1709" spans="1:16" ht="14.25" customHeight="1" x14ac:dyDescent="0.25">
      <c r="A1709" s="1"/>
      <c r="B1709" s="1">
        <f ca="1"/>
        <v>1697</v>
      </c>
      <c r="C1709" s="1">
        <f ca="1">IFERROR(__xludf.DUMMYFUNCTION("""COMPUTED_VALUE"""),2023)</f>
        <v>2023</v>
      </c>
      <c r="D1709" s="1">
        <f ca="1">IFERROR(__xludf.DUMMYFUNCTION("""COMPUTED_VALUE"""),11079)</f>
        <v>11079</v>
      </c>
      <c r="E1709" s="1" t="str">
        <f ca="1">IFERROR(__xludf.DUMMYFUNCTION("""COMPUTED_VALUE"""),"Open Economies Review")</f>
        <v>Open Economies Review</v>
      </c>
      <c r="F1709" s="1" t="str">
        <f ca="1">IFERROR(__xludf.DUMMYFUNCTION("""COMPUTED_VALUE"""),"1573-708X")</f>
        <v>1573-708X</v>
      </c>
      <c r="G1709" s="1" t="str">
        <f ca="1">IFERROR(__xludf.DUMMYFUNCTION("""COMPUTED_VALUE"""),"0923-7992")</f>
        <v>0923-7992</v>
      </c>
      <c r="H1709" s="27" t="str">
        <f ca="1">IFERROR(__xludf.DUMMYFUNCTION("""COMPUTED_VALUE"""),"https://link.springer.com/journal/11079")</f>
        <v>https://link.springer.com/journal/11079</v>
      </c>
      <c r="I1709" s="1" t="str">
        <f ca="1">IFERROR(__xludf.DUMMYFUNCTION("""COMPUTED_VALUE"""),"Springer")</f>
        <v>Springer</v>
      </c>
      <c r="J1709" s="1">
        <f ca="1">IFERROR(__xludf.DUMMYFUNCTION("""COMPUTED_VALUE"""),2000)</f>
        <v>2000</v>
      </c>
      <c r="K1709" s="1" t="str">
        <f ca="1">IFERROR(__xludf.DUMMYFUNCTION("""COMPUTED_VALUE"""),"Economics and Finance")</f>
        <v>Economics and Finance</v>
      </c>
      <c r="L1709" s="1" t="str">
        <f ca="1">IFERROR(__xludf.DUMMYFUNCTION("""COMPUTED_VALUE"""),"〇")</f>
        <v>〇</v>
      </c>
      <c r="M1709" s="1" t="str">
        <f ca="1">IFERROR(__xludf.DUMMYFUNCTION("""COMPUTED_VALUE"""),"〇")</f>
        <v>〇</v>
      </c>
      <c r="N1709" s="1"/>
      <c r="O1709" s="1"/>
      <c r="P1709" s="1"/>
    </row>
    <row r="1710" spans="1:16" ht="14.25" customHeight="1" x14ac:dyDescent="0.25">
      <c r="A1710" s="1"/>
      <c r="B1710" s="1">
        <f ca="1"/>
        <v>1698</v>
      </c>
      <c r="C1710" s="1">
        <f ca="1">IFERROR(__xludf.DUMMYFUNCTION("""COMPUTED_VALUE"""),2023)</f>
        <v>2023</v>
      </c>
      <c r="D1710" s="1">
        <f ca="1">IFERROR(__xludf.DUMMYFUNCTION("""COMPUTED_VALUE"""),12351)</f>
        <v>12351</v>
      </c>
      <c r="E1710" s="1" t="str">
        <f ca="1">IFERROR(__xludf.DUMMYFUNCTION("""COMPUTED_VALUE"""),"Operational Research")</f>
        <v>Operational Research</v>
      </c>
      <c r="F1710" s="1" t="str">
        <f ca="1">IFERROR(__xludf.DUMMYFUNCTION("""COMPUTED_VALUE"""),"1866-1505")</f>
        <v>1866-1505</v>
      </c>
      <c r="G1710" s="1"/>
      <c r="H1710" s="27" t="str">
        <f ca="1">IFERROR(__xludf.DUMMYFUNCTION("""COMPUTED_VALUE"""),"https://link.springer.com/journal/12351")</f>
        <v>https://link.springer.com/journal/12351</v>
      </c>
      <c r="I1710" s="1" t="str">
        <f ca="1">IFERROR(__xludf.DUMMYFUNCTION("""COMPUTED_VALUE"""),"Springer")</f>
        <v>Springer</v>
      </c>
      <c r="J1710" s="1">
        <f ca="1">IFERROR(__xludf.DUMMYFUNCTION("""COMPUTED_VALUE"""),2001)</f>
        <v>2001</v>
      </c>
      <c r="K1710" s="1" t="str">
        <f ca="1">IFERROR(__xludf.DUMMYFUNCTION("""COMPUTED_VALUE"""),"Business and Management")</f>
        <v>Business and Management</v>
      </c>
      <c r="L1710" s="1"/>
      <c r="M1710" s="1" t="str">
        <f ca="1">IFERROR(__xludf.DUMMYFUNCTION("""COMPUTED_VALUE"""),"〇")</f>
        <v>〇</v>
      </c>
      <c r="N1710" s="1" t="str">
        <f ca="1">IFERROR(__xludf.DUMMYFUNCTION("""COMPUTED_VALUE"""),"TO8")</f>
        <v>TO8</v>
      </c>
      <c r="O1710" s="1"/>
      <c r="P1710" s="1"/>
    </row>
    <row r="1711" spans="1:16" ht="14.25" customHeight="1" x14ac:dyDescent="0.25">
      <c r="A1711" s="1"/>
      <c r="B1711" s="1">
        <f ca="1"/>
        <v>1699</v>
      </c>
      <c r="C1711" s="1">
        <f ca="1">IFERROR(__xludf.DUMMYFUNCTION("""COMPUTED_VALUE"""),2023)</f>
        <v>2023</v>
      </c>
      <c r="D1711" s="1">
        <f ca="1">IFERROR(__xludf.DUMMYFUNCTION("""COMPUTED_VALUE"""),12063)</f>
        <v>12063</v>
      </c>
      <c r="E1711" s="1" t="str">
        <f ca="1">IFERROR(__xludf.DUMMYFUNCTION("""COMPUTED_VALUE"""),"Operations Management Research")</f>
        <v>Operations Management Research</v>
      </c>
      <c r="F1711" s="1" t="str">
        <f ca="1">IFERROR(__xludf.DUMMYFUNCTION("""COMPUTED_VALUE"""),"1936-9743")</f>
        <v>1936-9743</v>
      </c>
      <c r="G1711" s="1"/>
      <c r="H1711" s="27" t="str">
        <f ca="1">IFERROR(__xludf.DUMMYFUNCTION("""COMPUTED_VALUE"""),"https://link.springer.com/journal/12063")</f>
        <v>https://link.springer.com/journal/12063</v>
      </c>
      <c r="I1711" s="1" t="str">
        <f ca="1">IFERROR(__xludf.DUMMYFUNCTION("""COMPUTED_VALUE"""),"Springer")</f>
        <v>Springer</v>
      </c>
      <c r="J1711" s="1">
        <f ca="1">IFERROR(__xludf.DUMMYFUNCTION("""COMPUTED_VALUE"""),2008)</f>
        <v>2008</v>
      </c>
      <c r="K1711" s="1" t="str">
        <f ca="1">IFERROR(__xludf.DUMMYFUNCTION("""COMPUTED_VALUE"""),"Business and Management")</f>
        <v>Business and Management</v>
      </c>
      <c r="L1711" s="1"/>
      <c r="M1711" s="1" t="str">
        <f ca="1">IFERROR(__xludf.DUMMYFUNCTION("""COMPUTED_VALUE"""),"〇")</f>
        <v>〇</v>
      </c>
      <c r="N1711" s="1" t="str">
        <f ca="1">IFERROR(__xludf.DUMMYFUNCTION("""COMPUTED_VALUE"""),"SNS8")</f>
        <v>SNS8</v>
      </c>
      <c r="O1711" s="1"/>
      <c r="P1711" s="1"/>
    </row>
    <row r="1712" spans="1:16" ht="14.25" customHeight="1" x14ac:dyDescent="0.25">
      <c r="A1712" s="1"/>
      <c r="B1712" s="1">
        <f ca="1"/>
        <v>1700</v>
      </c>
      <c r="C1712" s="1">
        <f ca="1">IFERROR(__xludf.DUMMYFUNCTION("""COMPUTED_VALUE"""),2023)</f>
        <v>2023</v>
      </c>
      <c r="D1712" s="1">
        <f ca="1">IFERROR(__xludf.DUMMYFUNCTION("""COMPUTED_VALUE"""),43069)</f>
        <v>43069</v>
      </c>
      <c r="E1712" s="1" t="str">
        <f ca="1">IFERROR(__xludf.DUMMYFUNCTION("""COMPUTED_VALUE"""),"Operations Research Forum")</f>
        <v>Operations Research Forum</v>
      </c>
      <c r="F1712" s="1" t="str">
        <f ca="1">IFERROR(__xludf.DUMMYFUNCTION("""COMPUTED_VALUE"""),"2662-2556")</f>
        <v>2662-2556</v>
      </c>
      <c r="G1712" s="1"/>
      <c r="H1712" s="27" t="str">
        <f ca="1">IFERROR(__xludf.DUMMYFUNCTION("""COMPUTED_VALUE"""),"https://link.springer.com/journal/43069")</f>
        <v>https://link.springer.com/journal/43069</v>
      </c>
      <c r="I1712" s="1" t="str">
        <f ca="1">IFERROR(__xludf.DUMMYFUNCTION("""COMPUTED_VALUE"""),"Springer Nature")</f>
        <v>Springer Nature</v>
      </c>
      <c r="J1712" s="1">
        <f ca="1">IFERROR(__xludf.DUMMYFUNCTION("""COMPUTED_VALUE"""),2020)</f>
        <v>2020</v>
      </c>
      <c r="K1712" s="1" t="str">
        <f ca="1">IFERROR(__xludf.DUMMYFUNCTION("""COMPUTED_VALUE"""),"Business and Management")</f>
        <v>Business and Management</v>
      </c>
      <c r="L1712" s="1"/>
      <c r="M1712" s="1" t="str">
        <f ca="1">IFERROR(__xludf.DUMMYFUNCTION("""COMPUTED_VALUE"""),"〇")</f>
        <v>〇</v>
      </c>
      <c r="N1712" s="1" t="str">
        <f ca="1">IFERROR(__xludf.DUMMYFUNCTION("""COMPUTED_VALUE"""),"SNS20")</f>
        <v>SNS20</v>
      </c>
      <c r="O1712" s="1"/>
      <c r="P1712" s="1"/>
    </row>
    <row r="1713" spans="1:16" ht="14.25" customHeight="1" x14ac:dyDescent="0.25">
      <c r="A1713" s="1"/>
      <c r="B1713" s="1">
        <f ca="1"/>
        <v>1701</v>
      </c>
      <c r="C1713" s="1">
        <f ca="1">IFERROR(__xludf.DUMMYFUNCTION("""COMPUTED_VALUE"""),2023)</f>
        <v>2023</v>
      </c>
      <c r="D1713" s="1">
        <f ca="1">IFERROR(__xludf.DUMMYFUNCTION("""COMPUTED_VALUE"""),64)</f>
        <v>64</v>
      </c>
      <c r="E1713" s="1" t="str">
        <f ca="1">IFERROR(__xludf.DUMMYFUNCTION("""COMPUTED_VALUE"""),"Operative Orthopädie und Traumatologie")</f>
        <v>Operative Orthopädie und Traumatologie</v>
      </c>
      <c r="F1713" s="1" t="str">
        <f ca="1">IFERROR(__xludf.DUMMYFUNCTION("""COMPUTED_VALUE"""),"1439-0981")</f>
        <v>1439-0981</v>
      </c>
      <c r="G1713" s="1" t="str">
        <f ca="1">IFERROR(__xludf.DUMMYFUNCTION("""COMPUTED_VALUE"""),"0934-6694")</f>
        <v>0934-6694</v>
      </c>
      <c r="H1713" s="27" t="str">
        <f ca="1">IFERROR(__xludf.DUMMYFUNCTION("""COMPUTED_VALUE"""),"https://link.springer.com/journal/64")</f>
        <v>https://link.springer.com/journal/64</v>
      </c>
      <c r="I1713" s="1" t="str">
        <f ca="1">IFERROR(__xludf.DUMMYFUNCTION("""COMPUTED_VALUE"""),"SpringerMedizin")</f>
        <v>SpringerMedizin</v>
      </c>
      <c r="J1713" s="1">
        <f ca="1">IFERROR(__xludf.DUMMYFUNCTION("""COMPUTED_VALUE"""),2000)</f>
        <v>2000</v>
      </c>
      <c r="K1713" s="1" t="str">
        <f ca="1">IFERROR(__xludf.DUMMYFUNCTION("""COMPUTED_VALUE"""),"Medicine")</f>
        <v>Medicine</v>
      </c>
      <c r="L1713" s="1" t="str">
        <f ca="1">IFERROR(__xludf.DUMMYFUNCTION("""COMPUTED_VALUE"""),"〇")</f>
        <v>〇</v>
      </c>
      <c r="M1713" s="1" t="str">
        <f ca="1">IFERROR(__xludf.DUMMYFUNCTION("""COMPUTED_VALUE"""),"〇")</f>
        <v>〇</v>
      </c>
      <c r="N1713" s="1"/>
      <c r="O1713" s="1"/>
      <c r="P1713" s="1"/>
    </row>
    <row r="1714" spans="1:16" ht="14.25" customHeight="1" x14ac:dyDescent="0.25">
      <c r="A1714" s="1"/>
      <c r="B1714" s="1">
        <f ca="1"/>
        <v>1702</v>
      </c>
      <c r="C1714" s="1">
        <f ca="1">IFERROR(__xludf.DUMMYFUNCTION("""COMPUTED_VALUE"""),2023)</f>
        <v>2023</v>
      </c>
      <c r="D1714" s="1">
        <f ca="1">IFERROR(__xludf.DUMMYFUNCTION("""COMPUTED_VALUE"""),12597)</f>
        <v>12597</v>
      </c>
      <c r="E1714" s="1" t="str">
        <f ca="1">IFERROR(__xludf.DUMMYFUNCTION("""COMPUTED_VALUE"""),"OPSEARCH")</f>
        <v>OPSEARCH</v>
      </c>
      <c r="F1714" s="1" t="str">
        <f ca="1">IFERROR(__xludf.DUMMYFUNCTION("""COMPUTED_VALUE"""),"0975-0320")</f>
        <v>0975-0320</v>
      </c>
      <c r="G1714" s="1" t="str">
        <f ca="1">IFERROR(__xludf.DUMMYFUNCTION("""COMPUTED_VALUE"""),"0030-3887")</f>
        <v>0030-3887</v>
      </c>
      <c r="H1714" s="27" t="str">
        <f ca="1">IFERROR(__xludf.DUMMYFUNCTION("""COMPUTED_VALUE"""),"https://link.springer.com/journal/12597")</f>
        <v>https://link.springer.com/journal/12597</v>
      </c>
      <c r="I1714" s="1" t="str">
        <f ca="1">IFERROR(__xludf.DUMMYFUNCTION("""COMPUTED_VALUE"""),"Springer")</f>
        <v>Springer</v>
      </c>
      <c r="J1714" s="1">
        <f ca="1">IFERROR(__xludf.DUMMYFUNCTION("""COMPUTED_VALUE"""),2000)</f>
        <v>2000</v>
      </c>
      <c r="K1714" s="1" t="str">
        <f ca="1">IFERROR(__xludf.DUMMYFUNCTION("""COMPUTED_VALUE"""),"Business and Management")</f>
        <v>Business and Management</v>
      </c>
      <c r="L1714" s="1" t="str">
        <f ca="1">IFERROR(__xludf.DUMMYFUNCTION("""COMPUTED_VALUE"""),"〇")</f>
        <v>〇</v>
      </c>
      <c r="M1714" s="1"/>
      <c r="N1714" s="1" t="str">
        <f ca="1">IFERROR(__xludf.DUMMYFUNCTION("""COMPUTED_VALUE"""),"TO9")</f>
        <v>TO9</v>
      </c>
      <c r="O1714" s="1"/>
      <c r="P1714" s="1"/>
    </row>
    <row r="1715" spans="1:16" ht="14.25" customHeight="1" x14ac:dyDescent="0.25">
      <c r="A1715" s="1"/>
      <c r="B1715" s="1">
        <f ca="1"/>
        <v>1703</v>
      </c>
      <c r="C1715" s="1">
        <f ca="1">IFERROR(__xludf.DUMMYFUNCTION("""COMPUTED_VALUE"""),2023)</f>
        <v>2023</v>
      </c>
      <c r="D1715" s="1">
        <f ca="1">IFERROR(__xludf.DUMMYFUNCTION("""COMPUTED_VALUE"""),11082)</f>
        <v>11082</v>
      </c>
      <c r="E1715" s="1" t="str">
        <f ca="1">IFERROR(__xludf.DUMMYFUNCTION("""COMPUTED_VALUE"""),"Optical and Quantum Electronics")</f>
        <v>Optical and Quantum Electronics</v>
      </c>
      <c r="F1715" s="1" t="str">
        <f ca="1">IFERROR(__xludf.DUMMYFUNCTION("""COMPUTED_VALUE"""),"1572-817X")</f>
        <v>1572-817X</v>
      </c>
      <c r="G1715" s="1" t="str">
        <f ca="1">IFERROR(__xludf.DUMMYFUNCTION("""COMPUTED_VALUE"""),"0306-8919")</f>
        <v>0306-8919</v>
      </c>
      <c r="H1715" s="27" t="str">
        <f ca="1">IFERROR(__xludf.DUMMYFUNCTION("""COMPUTED_VALUE"""),"https://link.springer.com/journal/11082")</f>
        <v>https://link.springer.com/journal/11082</v>
      </c>
      <c r="I1715" s="1" t="str">
        <f ca="1">IFERROR(__xludf.DUMMYFUNCTION("""COMPUTED_VALUE"""),"Springer")</f>
        <v>Springer</v>
      </c>
      <c r="J1715" s="1">
        <f ca="1">IFERROR(__xludf.DUMMYFUNCTION("""COMPUTED_VALUE"""),2000)</f>
        <v>2000</v>
      </c>
      <c r="K1715" s="1" t="str">
        <f ca="1">IFERROR(__xludf.DUMMYFUNCTION("""COMPUTED_VALUE"""),"Physics and Astronomy")</f>
        <v>Physics and Astronomy</v>
      </c>
      <c r="L1715" s="1" t="str">
        <f ca="1">IFERROR(__xludf.DUMMYFUNCTION("""COMPUTED_VALUE"""),"〇")</f>
        <v>〇</v>
      </c>
      <c r="M1715" s="1" t="str">
        <f ca="1">IFERROR(__xludf.DUMMYFUNCTION("""COMPUTED_VALUE"""),"〇")</f>
        <v>〇</v>
      </c>
      <c r="N1715" s="1"/>
      <c r="O1715" s="1"/>
      <c r="P1715" s="1"/>
    </row>
    <row r="1716" spans="1:16" ht="14.25" customHeight="1" x14ac:dyDescent="0.25">
      <c r="A1716" s="1"/>
      <c r="B1716" s="1">
        <f ca="1"/>
        <v>1704</v>
      </c>
      <c r="C1716" s="1">
        <f ca="1">IFERROR(__xludf.DUMMYFUNCTION("""COMPUTED_VALUE"""),2023)</f>
        <v>2023</v>
      </c>
      <c r="D1716" s="1">
        <f ca="1">IFERROR(__xludf.DUMMYFUNCTION("""COMPUTED_VALUE"""),12005)</f>
        <v>12005</v>
      </c>
      <c r="E1716" s="1" t="str">
        <f ca="1">IFERROR(__xludf.DUMMYFUNCTION("""COMPUTED_VALUE"""),"Optical Memory and Neural Networks")</f>
        <v>Optical Memory and Neural Networks</v>
      </c>
      <c r="F1716" s="1" t="str">
        <f ca="1">IFERROR(__xludf.DUMMYFUNCTION("""COMPUTED_VALUE"""),"1934-7898")</f>
        <v>1934-7898</v>
      </c>
      <c r="G1716" s="1" t="str">
        <f ca="1">IFERROR(__xludf.DUMMYFUNCTION("""COMPUTED_VALUE"""),"1060-992X")</f>
        <v>1060-992X</v>
      </c>
      <c r="H1716" s="27" t="str">
        <f ca="1">IFERROR(__xludf.DUMMYFUNCTION("""COMPUTED_VALUE"""),"https://link.springer.com/journal/12005")</f>
        <v>https://link.springer.com/journal/12005</v>
      </c>
      <c r="I1716" s="1" t="str">
        <f ca="1">IFERROR(__xludf.DUMMYFUNCTION("""COMPUTED_VALUE"""),"Pleiades Publishing")</f>
        <v>Pleiades Publishing</v>
      </c>
      <c r="J1716" s="1">
        <f ca="1">IFERROR(__xludf.DUMMYFUNCTION("""COMPUTED_VALUE"""),2007)</f>
        <v>2007</v>
      </c>
      <c r="K1716" s="1" t="str">
        <f ca="1">IFERROR(__xludf.DUMMYFUNCTION("""COMPUTED_VALUE"""),"Computer Science")</f>
        <v>Computer Science</v>
      </c>
      <c r="L1716" s="1" t="str">
        <f ca="1">IFERROR(__xludf.DUMMYFUNCTION("""COMPUTED_VALUE"""),"〇")</f>
        <v>〇</v>
      </c>
      <c r="M1716" s="1" t="str">
        <f ca="1">IFERROR(__xludf.DUMMYFUNCTION("""COMPUTED_VALUE"""),"〇")</f>
        <v>〇</v>
      </c>
      <c r="N1716" s="1" t="str">
        <f ca="1">IFERROR(__xludf.DUMMYFUNCTION("""COMPUTED_VALUE"""),"TO7")</f>
        <v>TO7</v>
      </c>
      <c r="O1716" s="1"/>
      <c r="P1716" s="1"/>
    </row>
    <row r="1717" spans="1:16" ht="14.25" customHeight="1" x14ac:dyDescent="0.25">
      <c r="A1717" s="1"/>
      <c r="B1717" s="1">
        <f ca="1"/>
        <v>1705</v>
      </c>
      <c r="C1717" s="1">
        <f ca="1">IFERROR(__xludf.DUMMYFUNCTION("""COMPUTED_VALUE"""),2023)</f>
        <v>2023</v>
      </c>
      <c r="D1717" s="1">
        <f ca="1">IFERROR(__xludf.DUMMYFUNCTION("""COMPUTED_VALUE"""),10043)</f>
        <v>10043</v>
      </c>
      <c r="E1717" s="1" t="str">
        <f ca="1">IFERROR(__xludf.DUMMYFUNCTION("""COMPUTED_VALUE"""),"Optical Review")</f>
        <v>Optical Review</v>
      </c>
      <c r="F1717" s="1" t="str">
        <f ca="1">IFERROR(__xludf.DUMMYFUNCTION("""COMPUTED_VALUE"""),"1349-9432")</f>
        <v>1349-9432</v>
      </c>
      <c r="G1717" s="1"/>
      <c r="H1717" s="27" t="str">
        <f ca="1">IFERROR(__xludf.DUMMYFUNCTION("""COMPUTED_VALUE"""),"https://link.springer.com/journal/10043")</f>
        <v>https://link.springer.com/journal/10043</v>
      </c>
      <c r="I1717" s="1" t="str">
        <f ca="1">IFERROR(__xludf.DUMMYFUNCTION("""COMPUTED_VALUE"""),"Springer")</f>
        <v>Springer</v>
      </c>
      <c r="J1717" s="1">
        <f ca="1">IFERROR(__xludf.DUMMYFUNCTION("""COMPUTED_VALUE"""),2000)</f>
        <v>2000</v>
      </c>
      <c r="K1717" s="1" t="str">
        <f ca="1">IFERROR(__xludf.DUMMYFUNCTION("""COMPUTED_VALUE"""),"Physics and Astronomy")</f>
        <v>Physics and Astronomy</v>
      </c>
      <c r="L1717" s="1"/>
      <c r="M1717" s="1" t="str">
        <f ca="1">IFERROR(__xludf.DUMMYFUNCTION("""COMPUTED_VALUE"""),"〇")</f>
        <v>〇</v>
      </c>
      <c r="N1717" s="1"/>
      <c r="O1717" s="1"/>
      <c r="P1717" s="1"/>
    </row>
    <row r="1718" spans="1:16" ht="14.25" customHeight="1" x14ac:dyDescent="0.25">
      <c r="A1718" s="1"/>
      <c r="B1718" s="1">
        <f ca="1"/>
        <v>1706</v>
      </c>
      <c r="C1718" s="1">
        <f ca="1">IFERROR(__xludf.DUMMYFUNCTION("""COMPUTED_VALUE"""),2023)</f>
        <v>2023</v>
      </c>
      <c r="D1718" s="1">
        <f ca="1">IFERROR(__xludf.DUMMYFUNCTION("""COMPUTED_VALUE"""),11449)</f>
        <v>11449</v>
      </c>
      <c r="E1718" s="1" t="str">
        <f ca="1">IFERROR(__xludf.DUMMYFUNCTION("""COMPUTED_VALUE"""),"Optics and Spectroscopy")</f>
        <v>Optics and Spectroscopy</v>
      </c>
      <c r="F1718" s="1" t="str">
        <f ca="1">IFERROR(__xludf.DUMMYFUNCTION("""COMPUTED_VALUE"""),"1562-6911")</f>
        <v>1562-6911</v>
      </c>
      <c r="G1718" s="1" t="str">
        <f ca="1">IFERROR(__xludf.DUMMYFUNCTION("""COMPUTED_VALUE"""),"0030-400X")</f>
        <v>0030-400X</v>
      </c>
      <c r="H1718" s="27" t="str">
        <f ca="1">IFERROR(__xludf.DUMMYFUNCTION("""COMPUTED_VALUE"""),"https://link.springer.com/journal/11449")</f>
        <v>https://link.springer.com/journal/11449</v>
      </c>
      <c r="I1718" s="1" t="str">
        <f ca="1">IFERROR(__xludf.DUMMYFUNCTION("""COMPUTED_VALUE"""),"Pleiades Publishing")</f>
        <v>Pleiades Publishing</v>
      </c>
      <c r="J1718" s="1">
        <f ca="1">IFERROR(__xludf.DUMMYFUNCTION("""COMPUTED_VALUE"""),2000)</f>
        <v>2000</v>
      </c>
      <c r="K1718" s="1" t="str">
        <f ca="1">IFERROR(__xludf.DUMMYFUNCTION("""COMPUTED_VALUE"""),"Physics and Astronomy")</f>
        <v>Physics and Astronomy</v>
      </c>
      <c r="L1718" s="1" t="str">
        <f ca="1">IFERROR(__xludf.DUMMYFUNCTION("""COMPUTED_VALUE"""),"〇")</f>
        <v>〇</v>
      </c>
      <c r="M1718" s="1" t="str">
        <f ca="1">IFERROR(__xludf.DUMMYFUNCTION("""COMPUTED_VALUE"""),"〇")</f>
        <v>〇</v>
      </c>
      <c r="N1718" s="1"/>
      <c r="O1718" s="1"/>
      <c r="P1718" s="1"/>
    </row>
    <row r="1719" spans="1:16" ht="14.25" customHeight="1" x14ac:dyDescent="0.25">
      <c r="A1719" s="1"/>
      <c r="B1719" s="1">
        <f ca="1"/>
        <v>1707</v>
      </c>
      <c r="C1719" s="1">
        <f ca="1">IFERROR(__xludf.DUMMYFUNCTION("""COMPUTED_VALUE"""),2023)</f>
        <v>2023</v>
      </c>
      <c r="D1719" s="1">
        <f ca="1">IFERROR(__xludf.DUMMYFUNCTION("""COMPUTED_VALUE"""),11081)</f>
        <v>11081</v>
      </c>
      <c r="E1719" s="1" t="str">
        <f ca="1">IFERROR(__xludf.DUMMYFUNCTION("""COMPUTED_VALUE"""),"Optimization and Engineering")</f>
        <v>Optimization and Engineering</v>
      </c>
      <c r="F1719" s="1" t="str">
        <f ca="1">IFERROR(__xludf.DUMMYFUNCTION("""COMPUTED_VALUE"""),"1573-2924")</f>
        <v>1573-2924</v>
      </c>
      <c r="G1719" s="1" t="str">
        <f ca="1">IFERROR(__xludf.DUMMYFUNCTION("""COMPUTED_VALUE"""),"1389-4420")</f>
        <v>1389-4420</v>
      </c>
      <c r="H1719" s="27" t="str">
        <f ca="1">IFERROR(__xludf.DUMMYFUNCTION("""COMPUTED_VALUE"""),"https://link.springer.com/journal/11081")</f>
        <v>https://link.springer.com/journal/11081</v>
      </c>
      <c r="I1719" s="1" t="str">
        <f ca="1">IFERROR(__xludf.DUMMYFUNCTION("""COMPUTED_VALUE"""),"Springer")</f>
        <v>Springer</v>
      </c>
      <c r="J1719" s="1">
        <f ca="1">IFERROR(__xludf.DUMMYFUNCTION("""COMPUTED_VALUE"""),2000)</f>
        <v>2000</v>
      </c>
      <c r="K1719" s="1" t="str">
        <f ca="1">IFERROR(__xludf.DUMMYFUNCTION("""COMPUTED_VALUE"""),"Mathematics and Statistics")</f>
        <v>Mathematics and Statistics</v>
      </c>
      <c r="L1719" s="1" t="str">
        <f ca="1">IFERROR(__xludf.DUMMYFUNCTION("""COMPUTED_VALUE"""),"〇")</f>
        <v>〇</v>
      </c>
      <c r="M1719" s="1" t="str">
        <f ca="1">IFERROR(__xludf.DUMMYFUNCTION("""COMPUTED_VALUE"""),"〇")</f>
        <v>〇</v>
      </c>
      <c r="N1719" s="1"/>
      <c r="O1719" s="1"/>
      <c r="P1719" s="1"/>
    </row>
    <row r="1720" spans="1:16" ht="14.25" customHeight="1" x14ac:dyDescent="0.25">
      <c r="A1720" s="1"/>
      <c r="B1720" s="1">
        <f ca="1"/>
        <v>1708</v>
      </c>
      <c r="C1720" s="1">
        <f ca="1">IFERROR(__xludf.DUMMYFUNCTION("""COMPUTED_VALUE"""),2023)</f>
        <v>2023</v>
      </c>
      <c r="D1720" s="1">
        <f ca="1">IFERROR(__xludf.DUMMYFUNCTION("""COMPUTED_VALUE"""),11590)</f>
        <v>11590</v>
      </c>
      <c r="E1720" s="1" t="str">
        <f ca="1">IFERROR(__xludf.DUMMYFUNCTION("""COMPUTED_VALUE"""),"Optimization Letters")</f>
        <v>Optimization Letters</v>
      </c>
      <c r="F1720" s="1" t="str">
        <f ca="1">IFERROR(__xludf.DUMMYFUNCTION("""COMPUTED_VALUE"""),"1862-4480")</f>
        <v>1862-4480</v>
      </c>
      <c r="G1720" s="1" t="str">
        <f ca="1">IFERROR(__xludf.DUMMYFUNCTION("""COMPUTED_VALUE"""),"1862-4472")</f>
        <v>1862-4472</v>
      </c>
      <c r="H1720" s="27" t="str">
        <f ca="1">IFERROR(__xludf.DUMMYFUNCTION("""COMPUTED_VALUE"""),"https://link.springer.com/journal/11590")</f>
        <v>https://link.springer.com/journal/11590</v>
      </c>
      <c r="I1720" s="1" t="str">
        <f ca="1">IFERROR(__xludf.DUMMYFUNCTION("""COMPUTED_VALUE"""),"Springer")</f>
        <v>Springer</v>
      </c>
      <c r="J1720" s="1">
        <f ca="1">IFERROR(__xludf.DUMMYFUNCTION("""COMPUTED_VALUE"""),2007)</f>
        <v>2007</v>
      </c>
      <c r="K1720" s="1" t="str">
        <f ca="1">IFERROR(__xludf.DUMMYFUNCTION("""COMPUTED_VALUE"""),"Mathematics and Statistics")</f>
        <v>Mathematics and Statistics</v>
      </c>
      <c r="L1720" s="1" t="str">
        <f ca="1">IFERROR(__xludf.DUMMYFUNCTION("""COMPUTED_VALUE"""),"〇")</f>
        <v>〇</v>
      </c>
      <c r="M1720" s="1" t="str">
        <f ca="1">IFERROR(__xludf.DUMMYFUNCTION("""COMPUTED_VALUE"""),"〇")</f>
        <v>〇</v>
      </c>
      <c r="N1720" s="1" t="str">
        <f ca="1">IFERROR(__xludf.DUMMYFUNCTION("""COMPUTED_VALUE"""),"SNS7")</f>
        <v>SNS7</v>
      </c>
      <c r="O1720" s="1"/>
      <c r="P1720" s="1"/>
    </row>
    <row r="1721" spans="1:16" ht="14.25" customHeight="1" x14ac:dyDescent="0.25">
      <c r="A1721" s="1"/>
      <c r="B1721" s="1">
        <f ca="1"/>
        <v>1709</v>
      </c>
      <c r="C1721" s="1">
        <f ca="1">IFERROR(__xludf.DUMMYFUNCTION("""COMPUTED_VALUE"""),2023)</f>
        <v>2023</v>
      </c>
      <c r="D1721" s="1">
        <f ca="1">IFERROR(__xludf.DUMMYFUNCTION("""COMPUTED_VALUE"""),11801)</f>
        <v>11801</v>
      </c>
      <c r="E1721" s="1" t="str">
        <f ca="1">IFERROR(__xludf.DUMMYFUNCTION("""COMPUTED_VALUE"""),"Optoelectronics Letters")</f>
        <v>Optoelectronics Letters</v>
      </c>
      <c r="F1721" s="1" t="str">
        <f ca="1">IFERROR(__xludf.DUMMYFUNCTION("""COMPUTED_VALUE"""),"1993-5013")</f>
        <v>1993-5013</v>
      </c>
      <c r="G1721" s="1" t="str">
        <f ca="1">IFERROR(__xludf.DUMMYFUNCTION("""COMPUTED_VALUE"""),"1673-1905")</f>
        <v>1673-1905</v>
      </c>
      <c r="H1721" s="27" t="str">
        <f ca="1">IFERROR(__xludf.DUMMYFUNCTION("""COMPUTED_VALUE"""),"https://link.springer.com/journal/11801")</f>
        <v>https://link.springer.com/journal/11801</v>
      </c>
      <c r="I1721" s="1" t="str">
        <f ca="1">IFERROR(__xludf.DUMMYFUNCTION("""COMPUTED_VALUE"""),"Tianjin University of Technology, co-published with Springer")</f>
        <v>Tianjin University of Technology, co-published with Springer</v>
      </c>
      <c r="J1721" s="1">
        <f ca="1">IFERROR(__xludf.DUMMYFUNCTION("""COMPUTED_VALUE"""),2005)</f>
        <v>2005</v>
      </c>
      <c r="K1721" s="1" t="str">
        <f ca="1">IFERROR(__xludf.DUMMYFUNCTION("""COMPUTED_VALUE"""),"Physics and Astronomy")</f>
        <v>Physics and Astronomy</v>
      </c>
      <c r="L1721" s="1" t="str">
        <f ca="1">IFERROR(__xludf.DUMMYFUNCTION("""COMPUTED_VALUE"""),"〇")</f>
        <v>〇</v>
      </c>
      <c r="M1721" s="1" t="str">
        <f ca="1">IFERROR(__xludf.DUMMYFUNCTION("""COMPUTED_VALUE"""),"〇")</f>
        <v>〇</v>
      </c>
      <c r="N1721" s="1" t="str">
        <f ca="1">IFERROR(__xludf.DUMMYFUNCTION("""COMPUTED_VALUE"""),"TO7")</f>
        <v>TO7</v>
      </c>
      <c r="O1721" s="1"/>
      <c r="P1721" s="1"/>
    </row>
    <row r="1722" spans="1:16" ht="14.25" customHeight="1" x14ac:dyDescent="0.25">
      <c r="A1722" s="1"/>
      <c r="B1722" s="1">
        <f ca="1"/>
        <v>1710</v>
      </c>
      <c r="C1722" s="1">
        <f ca="1">IFERROR(__xludf.DUMMYFUNCTION("""COMPUTED_VALUE"""),2023)</f>
        <v>2023</v>
      </c>
      <c r="D1722" s="1">
        <f ca="1">IFERROR(__xludf.DUMMYFUNCTION("""COMPUTED_VALUE"""),11974)</f>
        <v>11974</v>
      </c>
      <c r="E1722" s="1" t="str">
        <f ca="1">IFERROR(__xludf.DUMMYFUNCTION("""COMPUTED_VALUE"""),"Optoelectronics, Instrumentation and Data Processing")</f>
        <v>Optoelectronics, Instrumentation and Data Processing</v>
      </c>
      <c r="F1722" s="1" t="str">
        <f ca="1">IFERROR(__xludf.DUMMYFUNCTION("""COMPUTED_VALUE"""),"1934-7944")</f>
        <v>1934-7944</v>
      </c>
      <c r="G1722" s="1" t="str">
        <f ca="1">IFERROR(__xludf.DUMMYFUNCTION("""COMPUTED_VALUE"""),"8756-6990")</f>
        <v>8756-6990</v>
      </c>
      <c r="H1722" s="27" t="str">
        <f ca="1">IFERROR(__xludf.DUMMYFUNCTION("""COMPUTED_VALUE"""),"https://link.springer.com/journal/11974")</f>
        <v>https://link.springer.com/journal/11974</v>
      </c>
      <c r="I1722" s="1" t="str">
        <f ca="1">IFERROR(__xludf.DUMMYFUNCTION("""COMPUTED_VALUE"""),"Pleiades Publishing")</f>
        <v>Pleiades Publishing</v>
      </c>
      <c r="J1722" s="1">
        <f ca="1">IFERROR(__xludf.DUMMYFUNCTION("""COMPUTED_VALUE"""),2007)</f>
        <v>2007</v>
      </c>
      <c r="K1722" s="1" t="str">
        <f ca="1">IFERROR(__xludf.DUMMYFUNCTION("""COMPUTED_VALUE"""),"Physics and Astronomy")</f>
        <v>Physics and Astronomy</v>
      </c>
      <c r="L1722" s="1" t="str">
        <f ca="1">IFERROR(__xludf.DUMMYFUNCTION("""COMPUTED_VALUE"""),"〇")</f>
        <v>〇</v>
      </c>
      <c r="M1722" s="1" t="str">
        <f ca="1">IFERROR(__xludf.DUMMYFUNCTION("""COMPUTED_VALUE"""),"〇")</f>
        <v>〇</v>
      </c>
      <c r="N1722" s="1" t="str">
        <f ca="1">IFERROR(__xludf.DUMMYFUNCTION("""COMPUTED_VALUE"""),"TO7")</f>
        <v>TO7</v>
      </c>
      <c r="O1722" s="1"/>
      <c r="P1722" s="1"/>
    </row>
    <row r="1723" spans="1:16" ht="14.25" customHeight="1" x14ac:dyDescent="0.25">
      <c r="A1723" s="1"/>
      <c r="B1723" s="1">
        <f ca="1"/>
        <v>1711</v>
      </c>
      <c r="C1723" s="1">
        <f ca="1">IFERROR(__xludf.DUMMYFUNCTION("""COMPUTED_VALUE"""),2023)</f>
        <v>2023</v>
      </c>
      <c r="D1723" s="1">
        <f ca="1">IFERROR(__xludf.DUMMYFUNCTION("""COMPUTED_VALUE"""),291)</f>
        <v>291</v>
      </c>
      <c r="E1723" s="1" t="str">
        <f ca="1">IFERROR(__xludf.DUMMYFUNCTION("""COMPUTED_VALUE"""),"OR Spectrum")</f>
        <v>OR Spectrum</v>
      </c>
      <c r="F1723" s="1" t="str">
        <f ca="1">IFERROR(__xludf.DUMMYFUNCTION("""COMPUTED_VALUE"""),"1436-6304")</f>
        <v>1436-6304</v>
      </c>
      <c r="G1723" s="1" t="str">
        <f ca="1">IFERROR(__xludf.DUMMYFUNCTION("""COMPUTED_VALUE"""),"0171-6468")</f>
        <v>0171-6468</v>
      </c>
      <c r="H1723" s="27" t="str">
        <f ca="1">IFERROR(__xludf.DUMMYFUNCTION("""COMPUTED_VALUE"""),"https://link.springer.com/journal/291")</f>
        <v>https://link.springer.com/journal/291</v>
      </c>
      <c r="I1723" s="1" t="str">
        <f ca="1">IFERROR(__xludf.DUMMYFUNCTION("""COMPUTED_VALUE"""),"Springer")</f>
        <v>Springer</v>
      </c>
      <c r="J1723" s="1">
        <f ca="1">IFERROR(__xludf.DUMMYFUNCTION("""COMPUTED_VALUE"""),2000)</f>
        <v>2000</v>
      </c>
      <c r="K1723" s="1" t="str">
        <f ca="1">IFERROR(__xludf.DUMMYFUNCTION("""COMPUTED_VALUE"""),"Business and Management")</f>
        <v>Business and Management</v>
      </c>
      <c r="L1723" s="1" t="str">
        <f ca="1">IFERROR(__xludf.DUMMYFUNCTION("""COMPUTED_VALUE"""),"〇")</f>
        <v>〇</v>
      </c>
      <c r="M1723" s="1" t="str">
        <f ca="1">IFERROR(__xludf.DUMMYFUNCTION("""COMPUTED_VALUE"""),"〇")</f>
        <v>〇</v>
      </c>
      <c r="N1723" s="1"/>
      <c r="O1723" s="1"/>
      <c r="P1723" s="1"/>
    </row>
    <row r="1724" spans="1:16" ht="14.25" customHeight="1" x14ac:dyDescent="0.25">
      <c r="A1724" s="1"/>
      <c r="B1724" s="1">
        <f ca="1"/>
        <v>1712</v>
      </c>
      <c r="C1724" s="1">
        <f ca="1">IFERROR(__xludf.DUMMYFUNCTION("""COMPUTED_VALUE"""),2023)</f>
        <v>2023</v>
      </c>
      <c r="D1724" s="1">
        <f ca="1">IFERROR(__xludf.DUMMYFUNCTION("""COMPUTED_VALUE"""),10006)</f>
        <v>10006</v>
      </c>
      <c r="E1724" s="1" t="str">
        <f ca="1">IFERROR(__xludf.DUMMYFUNCTION("""COMPUTED_VALUE"""),"Oral and Maxillofacial Surgery")</f>
        <v>Oral and Maxillofacial Surgery</v>
      </c>
      <c r="F1724" s="1" t="str">
        <f ca="1">IFERROR(__xludf.DUMMYFUNCTION("""COMPUTED_VALUE"""),"1865-1569")</f>
        <v>1865-1569</v>
      </c>
      <c r="G1724" s="1"/>
      <c r="H1724" s="27" t="str">
        <f ca="1">IFERROR(__xludf.DUMMYFUNCTION("""COMPUTED_VALUE"""),"https://link.springer.com/journal/10006")</f>
        <v>https://link.springer.com/journal/10006</v>
      </c>
      <c r="I1724" s="1" t="str">
        <f ca="1">IFERROR(__xludf.DUMMYFUNCTION("""COMPUTED_VALUE"""),"Springer")</f>
        <v>Springer</v>
      </c>
      <c r="J1724" s="1">
        <f ca="1">IFERROR(__xludf.DUMMYFUNCTION("""COMPUTED_VALUE"""),2000)</f>
        <v>2000</v>
      </c>
      <c r="K1724" s="1" t="str">
        <f ca="1">IFERROR(__xludf.DUMMYFUNCTION("""COMPUTED_VALUE"""),"Medicine")</f>
        <v>Medicine</v>
      </c>
      <c r="L1724" s="1"/>
      <c r="M1724" s="1" t="str">
        <f ca="1">IFERROR(__xludf.DUMMYFUNCTION("""COMPUTED_VALUE"""),"〇")</f>
        <v>〇</v>
      </c>
      <c r="N1724" s="1"/>
      <c r="O1724" s="1"/>
      <c r="P1724" s="1"/>
    </row>
    <row r="1725" spans="1:16" ht="14.25" customHeight="1" x14ac:dyDescent="0.25">
      <c r="A1725" s="1"/>
      <c r="B1725" s="1">
        <f ca="1"/>
        <v>1713</v>
      </c>
      <c r="C1725" s="1">
        <f ca="1">IFERROR(__xludf.DUMMYFUNCTION("""COMPUTED_VALUE"""),2023)</f>
        <v>2023</v>
      </c>
      <c r="D1725" s="1">
        <f ca="1">IFERROR(__xludf.DUMMYFUNCTION("""COMPUTED_VALUE"""),11282)</f>
        <v>11282</v>
      </c>
      <c r="E1725" s="1" t="str">
        <f ca="1">IFERROR(__xludf.DUMMYFUNCTION("""COMPUTED_VALUE"""),"Oral Radiology")</f>
        <v>Oral Radiology</v>
      </c>
      <c r="F1725" s="1" t="str">
        <f ca="1">IFERROR(__xludf.DUMMYFUNCTION("""COMPUTED_VALUE"""),"1613-9674")</f>
        <v>1613-9674</v>
      </c>
      <c r="G1725" s="1" t="str">
        <f ca="1">IFERROR(__xludf.DUMMYFUNCTION("""COMPUTED_VALUE"""),"0911-6028")</f>
        <v>0911-6028</v>
      </c>
      <c r="H1725" s="27" t="str">
        <f ca="1">IFERROR(__xludf.DUMMYFUNCTION("""COMPUTED_VALUE"""),"https://link.springer.com/journal/11282")</f>
        <v>https://link.springer.com/journal/11282</v>
      </c>
      <c r="I1725" s="1" t="str">
        <f ca="1">IFERROR(__xludf.DUMMYFUNCTION("""COMPUTED_VALUE"""),"Springer")</f>
        <v>Springer</v>
      </c>
      <c r="J1725" s="1">
        <f ca="1">IFERROR(__xludf.DUMMYFUNCTION("""COMPUTED_VALUE"""),2000)</f>
        <v>2000</v>
      </c>
      <c r="K1725" s="1" t="str">
        <f ca="1">IFERROR(__xludf.DUMMYFUNCTION("""COMPUTED_VALUE"""),"Medicine")</f>
        <v>Medicine</v>
      </c>
      <c r="L1725" s="1" t="str">
        <f ca="1">IFERROR(__xludf.DUMMYFUNCTION("""COMPUTED_VALUE"""),"〇")</f>
        <v>〇</v>
      </c>
      <c r="M1725" s="1" t="str">
        <f ca="1">IFERROR(__xludf.DUMMYFUNCTION("""COMPUTED_VALUE"""),"〇")</f>
        <v>〇</v>
      </c>
      <c r="N1725" s="1"/>
      <c r="O1725" s="1"/>
      <c r="P1725" s="1"/>
    </row>
    <row r="1726" spans="1:16" ht="14.25" customHeight="1" x14ac:dyDescent="0.25">
      <c r="A1726" s="1"/>
      <c r="B1726" s="1">
        <f ca="1"/>
        <v>1714</v>
      </c>
      <c r="C1726" s="1">
        <f ca="1">IFERROR(__xludf.DUMMYFUNCTION("""COMPUTED_VALUE"""),2023)</f>
        <v>2023</v>
      </c>
      <c r="D1726" s="1">
        <f ca="1">IFERROR(__xludf.DUMMYFUNCTION("""COMPUTED_VALUE"""),11083)</f>
        <v>11083</v>
      </c>
      <c r="E1726" s="1" t="str">
        <f ca="1">IFERROR(__xludf.DUMMYFUNCTION("""COMPUTED_VALUE"""),"Order")</f>
        <v>Order</v>
      </c>
      <c r="F1726" s="1" t="str">
        <f ca="1">IFERROR(__xludf.DUMMYFUNCTION("""COMPUTED_VALUE"""),"1572-9273")</f>
        <v>1572-9273</v>
      </c>
      <c r="G1726" s="1" t="str">
        <f ca="1">IFERROR(__xludf.DUMMYFUNCTION("""COMPUTED_VALUE"""),"0167-8094")</f>
        <v>0167-8094</v>
      </c>
      <c r="H1726" s="27" t="str">
        <f ca="1">IFERROR(__xludf.DUMMYFUNCTION("""COMPUTED_VALUE"""),"https://link.springer.com/journal/11083")</f>
        <v>https://link.springer.com/journal/11083</v>
      </c>
      <c r="I1726" s="1" t="str">
        <f ca="1">IFERROR(__xludf.DUMMYFUNCTION("""COMPUTED_VALUE"""),"Springer")</f>
        <v>Springer</v>
      </c>
      <c r="J1726" s="1">
        <f ca="1">IFERROR(__xludf.DUMMYFUNCTION("""COMPUTED_VALUE"""),2000)</f>
        <v>2000</v>
      </c>
      <c r="K1726" s="1" t="str">
        <f ca="1">IFERROR(__xludf.DUMMYFUNCTION("""COMPUTED_VALUE"""),"Mathematics and Statistics")</f>
        <v>Mathematics and Statistics</v>
      </c>
      <c r="L1726" s="1" t="str">
        <f ca="1">IFERROR(__xludf.DUMMYFUNCTION("""COMPUTED_VALUE"""),"〇")</f>
        <v>〇</v>
      </c>
      <c r="M1726" s="1" t="str">
        <f ca="1">IFERROR(__xludf.DUMMYFUNCTION("""COMPUTED_VALUE"""),"〇")</f>
        <v>〇</v>
      </c>
      <c r="N1726" s="1"/>
      <c r="O1726" s="1"/>
      <c r="P1726" s="1"/>
    </row>
    <row r="1727" spans="1:16" ht="14.25" customHeight="1" x14ac:dyDescent="0.25">
      <c r="A1727" s="1"/>
      <c r="B1727" s="1">
        <f ca="1"/>
        <v>1715</v>
      </c>
      <c r="C1727" s="1">
        <f ca="1">IFERROR(__xludf.DUMMYFUNCTION("""COMPUTED_VALUE"""),2023)</f>
        <v>2023</v>
      </c>
      <c r="D1727" s="1">
        <f ca="1">IFERROR(__xludf.DUMMYFUNCTION("""COMPUTED_VALUE"""),13165)</f>
        <v>13165</v>
      </c>
      <c r="E1727" s="1" t="str">
        <f ca="1">IFERROR(__xludf.DUMMYFUNCTION("""COMPUTED_VALUE"""),"Organic Agriculture")</f>
        <v>Organic Agriculture</v>
      </c>
      <c r="F1727" s="1" t="str">
        <f ca="1">IFERROR(__xludf.DUMMYFUNCTION("""COMPUTED_VALUE"""),"1879-4246")</f>
        <v>1879-4246</v>
      </c>
      <c r="G1727" s="1" t="str">
        <f ca="1">IFERROR(__xludf.DUMMYFUNCTION("""COMPUTED_VALUE"""),"1879-4238")</f>
        <v>1879-4238</v>
      </c>
      <c r="H1727" s="27" t="str">
        <f ca="1">IFERROR(__xludf.DUMMYFUNCTION("""COMPUTED_VALUE"""),"https://link.springer.com/journal/13165")</f>
        <v>https://link.springer.com/journal/13165</v>
      </c>
      <c r="I1727" s="1" t="str">
        <f ca="1">IFERROR(__xludf.DUMMYFUNCTION("""COMPUTED_VALUE"""),"Springer")</f>
        <v>Springer</v>
      </c>
      <c r="J1727" s="1">
        <f ca="1">IFERROR(__xludf.DUMMYFUNCTION("""COMPUTED_VALUE"""),2011)</f>
        <v>2011</v>
      </c>
      <c r="K1727" s="1" t="str">
        <f ca="1">IFERROR(__xludf.DUMMYFUNCTION("""COMPUTED_VALUE"""),"Biomedical and Life Sciences")</f>
        <v>Biomedical and Life Sciences</v>
      </c>
      <c r="L1727" s="1" t="str">
        <f ca="1">IFERROR(__xludf.DUMMYFUNCTION("""COMPUTED_VALUE"""),"〇")</f>
        <v>〇</v>
      </c>
      <c r="M1727" s="1"/>
      <c r="N1727" s="1" t="str">
        <f ca="1">IFERROR(__xludf.DUMMYFUNCTION("""COMPUTED_VALUE"""),"SNS11")</f>
        <v>SNS11</v>
      </c>
      <c r="O1727" s="1"/>
      <c r="P1727" s="1"/>
    </row>
    <row r="1728" spans="1:16" ht="14.25" customHeight="1" x14ac:dyDescent="0.25">
      <c r="A1728" s="1"/>
      <c r="B1728" s="1">
        <f ca="1"/>
        <v>1716</v>
      </c>
      <c r="C1728" s="1">
        <f ca="1">IFERROR(__xludf.DUMMYFUNCTION("""COMPUTED_VALUE"""),2023)</f>
        <v>2023</v>
      </c>
      <c r="D1728" s="1">
        <f ca="1">IFERROR(__xludf.DUMMYFUNCTION("""COMPUTED_VALUE"""),11613)</f>
        <v>11613</v>
      </c>
      <c r="E1728" s="1" t="str">
        <f ca="1">IFERROR(__xludf.DUMMYFUNCTION("""COMPUTED_VALUE"""),"Organisationsberatung, Supervision, Coaching")</f>
        <v>Organisationsberatung, Supervision, Coaching</v>
      </c>
      <c r="F1728" s="1" t="str">
        <f ca="1">IFERROR(__xludf.DUMMYFUNCTION("""COMPUTED_VALUE"""),"1862-2577")</f>
        <v>1862-2577</v>
      </c>
      <c r="G1728" s="1" t="str">
        <f ca="1">IFERROR(__xludf.DUMMYFUNCTION("""COMPUTED_VALUE"""),"1618-808X")</f>
        <v>1618-808X</v>
      </c>
      <c r="H1728" s="27" t="str">
        <f ca="1">IFERROR(__xludf.DUMMYFUNCTION("""COMPUTED_VALUE"""),"https://link.springer.com/journal/11613")</f>
        <v>https://link.springer.com/journal/11613</v>
      </c>
      <c r="I1728" s="1" t="str">
        <f ca="1">IFERROR(__xludf.DUMMYFUNCTION("""COMPUTED_VALUE"""),"Springer")</f>
        <v>Springer</v>
      </c>
      <c r="J1728" s="1">
        <f ca="1">IFERROR(__xludf.DUMMYFUNCTION("""COMPUTED_VALUE"""),2000)</f>
        <v>2000</v>
      </c>
      <c r="K1728" s="1" t="str">
        <f ca="1">IFERROR(__xludf.DUMMYFUNCTION("""COMPUTED_VALUE"""),"Behavioral Science and Psychology")</f>
        <v>Behavioral Science and Psychology</v>
      </c>
      <c r="L1728" s="1" t="str">
        <f ca="1">IFERROR(__xludf.DUMMYFUNCTION("""COMPUTED_VALUE"""),"〇")</f>
        <v>〇</v>
      </c>
      <c r="M1728" s="1" t="str">
        <f ca="1">IFERROR(__xludf.DUMMYFUNCTION("""COMPUTED_VALUE"""),"〇")</f>
        <v>〇</v>
      </c>
      <c r="N1728" s="1" t="str">
        <f ca="1">IFERROR(__xludf.DUMMYFUNCTION("""COMPUTED_VALUE"""),"SNS7")</f>
        <v>SNS7</v>
      </c>
      <c r="O1728" s="1"/>
      <c r="P1728" s="1"/>
    </row>
    <row r="1729" spans="1:16" ht="14.25" customHeight="1" x14ac:dyDescent="0.25">
      <c r="A1729" s="1"/>
      <c r="B1729" s="1">
        <f ca="1"/>
        <v>1717</v>
      </c>
      <c r="C1729" s="1">
        <f ca="1">IFERROR(__xludf.DUMMYFUNCTION("""COMPUTED_VALUE"""),2023)</f>
        <v>2023</v>
      </c>
      <c r="D1729" s="1">
        <f ca="1">IFERROR(__xludf.DUMMYFUNCTION("""COMPUTED_VALUE"""),13127)</f>
        <v>13127</v>
      </c>
      <c r="E1729" s="1" t="str">
        <f ca="1">IFERROR(__xludf.DUMMYFUNCTION("""COMPUTED_VALUE"""),"Organisms Diversity &amp; Evolution")</f>
        <v>Organisms Diversity &amp; Evolution</v>
      </c>
      <c r="F1729" s="1" t="str">
        <f ca="1">IFERROR(__xludf.DUMMYFUNCTION("""COMPUTED_VALUE"""),"1618-1077")</f>
        <v>1618-1077</v>
      </c>
      <c r="G1729" s="1" t="str">
        <f ca="1">IFERROR(__xludf.DUMMYFUNCTION("""COMPUTED_VALUE"""),"1439-6092")</f>
        <v>1439-6092</v>
      </c>
      <c r="H1729" s="27" t="str">
        <f ca="1">IFERROR(__xludf.DUMMYFUNCTION("""COMPUTED_VALUE"""),"https://link.springer.com/journal/13127")</f>
        <v>https://link.springer.com/journal/13127</v>
      </c>
      <c r="I1729" s="1" t="str">
        <f ca="1">IFERROR(__xludf.DUMMYFUNCTION("""COMPUTED_VALUE"""),"Springer")</f>
        <v>Springer</v>
      </c>
      <c r="J1729" s="1">
        <f ca="1">IFERROR(__xludf.DUMMYFUNCTION("""COMPUTED_VALUE"""),2010)</f>
        <v>2010</v>
      </c>
      <c r="K1729" s="1" t="str">
        <f ca="1">IFERROR(__xludf.DUMMYFUNCTION("""COMPUTED_VALUE"""),"Biomedical and Life Sciences")</f>
        <v>Biomedical and Life Sciences</v>
      </c>
      <c r="L1729" s="1" t="str">
        <f ca="1">IFERROR(__xludf.DUMMYFUNCTION("""COMPUTED_VALUE"""),"〇")</f>
        <v>〇</v>
      </c>
      <c r="M1729" s="1"/>
      <c r="N1729" s="1" t="str">
        <f ca="1">IFERROR(__xludf.DUMMYFUNCTION("""COMPUTED_VALUE"""),"TO10")</f>
        <v>TO10</v>
      </c>
      <c r="O1729" s="1"/>
      <c r="P1729" s="1"/>
    </row>
    <row r="1730" spans="1:16" ht="14.25" customHeight="1" x14ac:dyDescent="0.25">
      <c r="A1730" s="1"/>
      <c r="B1730" s="1">
        <f ca="1"/>
        <v>1718</v>
      </c>
      <c r="C1730" s="1">
        <f ca="1">IFERROR(__xludf.DUMMYFUNCTION("""COMPUTED_VALUE"""),2023)</f>
        <v>2023</v>
      </c>
      <c r="D1730" s="1">
        <f ca="1">IFERROR(__xludf.DUMMYFUNCTION("""COMPUTED_VALUE"""),11084)</f>
        <v>11084</v>
      </c>
      <c r="E1730" s="1" t="str">
        <f ca="1">IFERROR(__xludf.DUMMYFUNCTION("""COMPUTED_VALUE"""),"Origins of Life and Evolution of Biospheres")</f>
        <v>Origins of Life and Evolution of Biospheres</v>
      </c>
      <c r="F1730" s="1" t="str">
        <f ca="1">IFERROR(__xludf.DUMMYFUNCTION("""COMPUTED_VALUE"""),"1573-0875")</f>
        <v>1573-0875</v>
      </c>
      <c r="G1730" s="1" t="str">
        <f ca="1">IFERROR(__xludf.DUMMYFUNCTION("""COMPUTED_VALUE"""),"0169-6149")</f>
        <v>0169-6149</v>
      </c>
      <c r="H1730" s="27" t="str">
        <f ca="1">IFERROR(__xludf.DUMMYFUNCTION("""COMPUTED_VALUE"""),"https://link.springer.com/journal/11084")</f>
        <v>https://link.springer.com/journal/11084</v>
      </c>
      <c r="I1730" s="1" t="str">
        <f ca="1">IFERROR(__xludf.DUMMYFUNCTION("""COMPUTED_VALUE"""),"Springer")</f>
        <v>Springer</v>
      </c>
      <c r="J1730" s="1">
        <f ca="1">IFERROR(__xludf.DUMMYFUNCTION("""COMPUTED_VALUE"""),2000)</f>
        <v>2000</v>
      </c>
      <c r="K1730" s="1" t="str">
        <f ca="1">IFERROR(__xludf.DUMMYFUNCTION("""COMPUTED_VALUE"""),"Biomedical and Life Sciences")</f>
        <v>Biomedical and Life Sciences</v>
      </c>
      <c r="L1730" s="1" t="str">
        <f ca="1">IFERROR(__xludf.DUMMYFUNCTION("""COMPUTED_VALUE"""),"〇")</f>
        <v>〇</v>
      </c>
      <c r="M1730" s="1" t="str">
        <f ca="1">IFERROR(__xludf.DUMMYFUNCTION("""COMPUTED_VALUE"""),"〇")</f>
        <v>〇</v>
      </c>
      <c r="N1730" s="1"/>
      <c r="O1730" s="1"/>
      <c r="P1730" s="1"/>
    </row>
    <row r="1731" spans="1:16" ht="14.25" customHeight="1" x14ac:dyDescent="0.25">
      <c r="A1731" s="1"/>
      <c r="B1731" s="1">
        <f ca="1"/>
        <v>1719</v>
      </c>
      <c r="C1731" s="1">
        <f ca="1">IFERROR(__xludf.DUMMYFUNCTION("""COMPUTED_VALUE"""),2023)</f>
        <v>2023</v>
      </c>
      <c r="D1731" s="1">
        <f ca="1">IFERROR(__xludf.DUMMYFUNCTION("""COMPUTED_VALUE"""),43388)</f>
        <v>43388</v>
      </c>
      <c r="E1731" s="1" t="str">
        <f ca="1">IFERROR(__xludf.DUMMYFUNCTION("""COMPUTED_VALUE"""),"Ornithology Research")</f>
        <v>Ornithology Research</v>
      </c>
      <c r="F1731" s="1" t="str">
        <f ca="1">IFERROR(__xludf.DUMMYFUNCTION("""COMPUTED_VALUE"""),"2662-673X")</f>
        <v>2662-673X</v>
      </c>
      <c r="G1731" s="1"/>
      <c r="H1731" s="27" t="str">
        <f ca="1">IFERROR(__xludf.DUMMYFUNCTION("""COMPUTED_VALUE"""),"https://link.springer.com/journal/43388")</f>
        <v>https://link.springer.com/journal/43388</v>
      </c>
      <c r="I1731" s="1" t="str">
        <f ca="1">IFERROR(__xludf.DUMMYFUNCTION("""COMPUTED_VALUE"""),"Springer")</f>
        <v>Springer</v>
      </c>
      <c r="J1731" s="1">
        <f ca="1">IFERROR(__xludf.DUMMYFUNCTION("""COMPUTED_VALUE"""),2014)</f>
        <v>2014</v>
      </c>
      <c r="K1731" s="1" t="str">
        <f ca="1">IFERROR(__xludf.DUMMYFUNCTION("""COMPUTED_VALUE"""),"Biomedical and Life Sciences")</f>
        <v>Biomedical and Life Sciences</v>
      </c>
      <c r="L1731" s="1"/>
      <c r="M1731" s="1"/>
      <c r="N1731" s="1" t="str">
        <f ca="1">IFERROR(__xludf.DUMMYFUNCTION("""COMPUTED_VALUE"""),"TO20")</f>
        <v>TO20</v>
      </c>
      <c r="O1731" s="1"/>
      <c r="P1731" s="1"/>
    </row>
    <row r="1732" spans="1:16" ht="14.25" customHeight="1" x14ac:dyDescent="0.25">
      <c r="A1732" s="1"/>
      <c r="B1732" s="1">
        <f ca="1"/>
        <v>1720</v>
      </c>
      <c r="C1732" s="1">
        <f ca="1">IFERROR(__xludf.DUMMYFUNCTION("""COMPUTED_VALUE"""),2023)</f>
        <v>2023</v>
      </c>
      <c r="D1732" s="1">
        <f ca="1">IFERROR(__xludf.DUMMYFUNCTION("""COMPUTED_VALUE"""),15002)</f>
        <v>15002</v>
      </c>
      <c r="E1732" s="1" t="str">
        <f ca="1">IFERROR(__xludf.DUMMYFUNCTION("""COMPUTED_VALUE"""),"Orthopädie &amp; Rheuma")</f>
        <v>Orthopädie &amp; Rheuma</v>
      </c>
      <c r="F1732" s="1" t="str">
        <f ca="1">IFERROR(__xludf.DUMMYFUNCTION("""COMPUTED_VALUE"""),"2196-5684")</f>
        <v>2196-5684</v>
      </c>
      <c r="G1732" s="1" t="str">
        <f ca="1">IFERROR(__xludf.DUMMYFUNCTION("""COMPUTED_VALUE"""),"1435-0017")</f>
        <v>1435-0017</v>
      </c>
      <c r="H1732" s="27" t="str">
        <f ca="1">IFERROR(__xludf.DUMMYFUNCTION("""COMPUTED_VALUE"""),"https://link.springer.com/journal/15002")</f>
        <v>https://link.springer.com/journal/15002</v>
      </c>
      <c r="I1732" s="1" t="str">
        <f ca="1">IFERROR(__xludf.DUMMYFUNCTION("""COMPUTED_VALUE"""),"SpringerMedizin")</f>
        <v>SpringerMedizin</v>
      </c>
      <c r="J1732" s="1">
        <f ca="1">IFERROR(__xludf.DUMMYFUNCTION("""COMPUTED_VALUE"""),2012)</f>
        <v>2012</v>
      </c>
      <c r="K1732" s="1" t="str">
        <f ca="1">IFERROR(__xludf.DUMMYFUNCTION("""COMPUTED_VALUE"""),"Medicine")</f>
        <v>Medicine</v>
      </c>
      <c r="L1732" s="1" t="str">
        <f ca="1">IFERROR(__xludf.DUMMYFUNCTION("""COMPUTED_VALUE"""),"〇")</f>
        <v>〇</v>
      </c>
      <c r="M1732" s="1"/>
      <c r="N1732" s="1"/>
      <c r="O1732" s="1"/>
      <c r="P1732" s="1"/>
    </row>
    <row r="1733" spans="1:16" ht="14.25" customHeight="1" x14ac:dyDescent="0.25">
      <c r="A1733" s="1"/>
      <c r="B1733" s="1">
        <f ca="1"/>
        <v>1721</v>
      </c>
      <c r="C1733" s="1">
        <f ca="1">IFERROR(__xludf.DUMMYFUNCTION("""COMPUTED_VALUE"""),2023)</f>
        <v>2023</v>
      </c>
      <c r="D1733" s="1">
        <f ca="1">IFERROR(__xludf.DUMMYFUNCTION("""COMPUTED_VALUE"""),198)</f>
        <v>198</v>
      </c>
      <c r="E1733" s="1" t="str">
        <f ca="1">IFERROR(__xludf.DUMMYFUNCTION("""COMPUTED_VALUE"""),"Osteoporosis International")</f>
        <v>Osteoporosis International</v>
      </c>
      <c r="F1733" s="1" t="str">
        <f ca="1">IFERROR(__xludf.DUMMYFUNCTION("""COMPUTED_VALUE"""),"1433-2965")</f>
        <v>1433-2965</v>
      </c>
      <c r="G1733" s="1" t="str">
        <f ca="1">IFERROR(__xludf.DUMMYFUNCTION("""COMPUTED_VALUE"""),"0937-941X")</f>
        <v>0937-941X</v>
      </c>
      <c r="H1733" s="27" t="str">
        <f ca="1">IFERROR(__xludf.DUMMYFUNCTION("""COMPUTED_VALUE"""),"https://link.springer.com/journal/198")</f>
        <v>https://link.springer.com/journal/198</v>
      </c>
      <c r="I1733" s="1" t="str">
        <f ca="1">IFERROR(__xludf.DUMMYFUNCTION("""COMPUTED_VALUE"""),"Springer")</f>
        <v>Springer</v>
      </c>
      <c r="J1733" s="1">
        <f ca="1">IFERROR(__xludf.DUMMYFUNCTION("""COMPUTED_VALUE"""),2000)</f>
        <v>2000</v>
      </c>
      <c r="K1733" s="1" t="str">
        <f ca="1">IFERROR(__xludf.DUMMYFUNCTION("""COMPUTED_VALUE"""),"Medicine")</f>
        <v>Medicine</v>
      </c>
      <c r="L1733" s="1" t="str">
        <f ca="1">IFERROR(__xludf.DUMMYFUNCTION("""COMPUTED_VALUE"""),"〇")</f>
        <v>〇</v>
      </c>
      <c r="M1733" s="1" t="str">
        <f ca="1">IFERROR(__xludf.DUMMYFUNCTION("""COMPUTED_VALUE"""),"〇")</f>
        <v>〇</v>
      </c>
      <c r="N1733" s="1"/>
      <c r="O1733" s="1"/>
      <c r="P1733" s="1"/>
    </row>
    <row r="1734" spans="1:16" ht="14.25" customHeight="1" x14ac:dyDescent="0.25">
      <c r="A1734" s="1"/>
      <c r="B1734" s="1">
        <f ca="1"/>
        <v>1722</v>
      </c>
      <c r="C1734" s="1">
        <f ca="1">IFERROR(__xludf.DUMMYFUNCTION("""COMPUTED_VALUE"""),2023)</f>
        <v>2023</v>
      </c>
      <c r="D1734" s="1">
        <f ca="1">IFERROR(__xludf.DUMMYFUNCTION("""COMPUTED_VALUE"""),506)</f>
        <v>506</v>
      </c>
      <c r="E1734" s="1" t="str">
        <f ca="1">IFERROR(__xludf.DUMMYFUNCTION("""COMPUTED_VALUE"""),"Österreichische Wasser- und Abfallwirtschaft")</f>
        <v>Österreichische Wasser- und Abfallwirtschaft</v>
      </c>
      <c r="F1734" s="1" t="str">
        <f ca="1">IFERROR(__xludf.DUMMYFUNCTION("""COMPUTED_VALUE"""),"1613-7566")</f>
        <v>1613-7566</v>
      </c>
      <c r="G1734" s="1" t="str">
        <f ca="1">IFERROR(__xludf.DUMMYFUNCTION("""COMPUTED_VALUE"""),"0945-358X")</f>
        <v>0945-358X</v>
      </c>
      <c r="H1734" s="27" t="str">
        <f ca="1">IFERROR(__xludf.DUMMYFUNCTION("""COMPUTED_VALUE"""),"https://link.springer.com/journal/506")</f>
        <v>https://link.springer.com/journal/506</v>
      </c>
      <c r="I1734" s="1" t="str">
        <f ca="1">IFERROR(__xludf.DUMMYFUNCTION("""COMPUTED_VALUE"""),"Springer")</f>
        <v>Springer</v>
      </c>
      <c r="J1734" s="1">
        <f ca="1">IFERROR(__xludf.DUMMYFUNCTION("""COMPUTED_VALUE"""),2005)</f>
        <v>2005</v>
      </c>
      <c r="K1734" s="1" t="str">
        <f ca="1">IFERROR(__xludf.DUMMYFUNCTION("""COMPUTED_VALUE"""),"Engineering")</f>
        <v>Engineering</v>
      </c>
      <c r="L1734" s="1" t="str">
        <f ca="1">IFERROR(__xludf.DUMMYFUNCTION("""COMPUTED_VALUE"""),"〇")</f>
        <v>〇</v>
      </c>
      <c r="M1734" s="1" t="str">
        <f ca="1">IFERROR(__xludf.DUMMYFUNCTION("""COMPUTED_VALUE"""),"〇")</f>
        <v>〇</v>
      </c>
      <c r="N1734" s="1"/>
      <c r="O1734" s="1"/>
      <c r="P1734" s="1"/>
    </row>
    <row r="1735" spans="1:16" ht="14.25" customHeight="1" x14ac:dyDescent="0.25">
      <c r="A1735" s="1"/>
      <c r="B1735" s="1">
        <f ca="1"/>
        <v>1723</v>
      </c>
      <c r="C1735" s="1">
        <f ca="1">IFERROR(__xludf.DUMMYFUNCTION("""COMPUTED_VALUE"""),2023)</f>
        <v>2023</v>
      </c>
      <c r="D1735" s="1">
        <f ca="1">IFERROR(__xludf.DUMMYFUNCTION("""COMPUTED_VALUE"""),11614)</f>
        <v>11614</v>
      </c>
      <c r="E1735" s="1" t="str">
        <f ca="1">IFERROR(__xludf.DUMMYFUNCTION("""COMPUTED_VALUE"""),"Österreichische Zeitschrift für Soziologie")</f>
        <v>Österreichische Zeitschrift für Soziologie</v>
      </c>
      <c r="F1735" s="1" t="str">
        <f ca="1">IFERROR(__xludf.DUMMYFUNCTION("""COMPUTED_VALUE"""),"1862-2585")</f>
        <v>1862-2585</v>
      </c>
      <c r="G1735" s="1" t="str">
        <f ca="1">IFERROR(__xludf.DUMMYFUNCTION("""COMPUTED_VALUE"""),"1011-0070")</f>
        <v>1011-0070</v>
      </c>
      <c r="H1735" s="27" t="str">
        <f ca="1">IFERROR(__xludf.DUMMYFUNCTION("""COMPUTED_VALUE"""),"https://link.springer.com/journal/11614")</f>
        <v>https://link.springer.com/journal/11614</v>
      </c>
      <c r="I1735" s="1" t="str">
        <f ca="1">IFERROR(__xludf.DUMMYFUNCTION("""COMPUTED_VALUE"""),"Springer VS")</f>
        <v>Springer VS</v>
      </c>
      <c r="J1735" s="1">
        <f ca="1">IFERROR(__xludf.DUMMYFUNCTION("""COMPUTED_VALUE"""),2001)</f>
        <v>2001</v>
      </c>
      <c r="K1735" s="1" t="str">
        <f ca="1">IFERROR(__xludf.DUMMYFUNCTION("""COMPUTED_VALUE"""),"Social Sciences")</f>
        <v>Social Sciences</v>
      </c>
      <c r="L1735" s="1" t="str">
        <f ca="1">IFERROR(__xludf.DUMMYFUNCTION("""COMPUTED_VALUE"""),"〇")</f>
        <v>〇</v>
      </c>
      <c r="M1735" s="1" t="str">
        <f ca="1">IFERROR(__xludf.DUMMYFUNCTION("""COMPUTED_VALUE"""),"〇")</f>
        <v>〇</v>
      </c>
      <c r="N1735" s="1" t="str">
        <f ca="1">IFERROR(__xludf.DUMMYFUNCTION("""COMPUTED_VALUE"""),"SNS7")</f>
        <v>SNS7</v>
      </c>
      <c r="O1735" s="1"/>
      <c r="P1735" s="1"/>
    </row>
    <row r="1736" spans="1:16" ht="14.25" customHeight="1" x14ac:dyDescent="0.25">
      <c r="A1736" s="1"/>
      <c r="B1736" s="1">
        <f ca="1"/>
        <v>1724</v>
      </c>
      <c r="C1736" s="1">
        <f ca="1">IFERROR(__xludf.DUMMYFUNCTION("""COMPUTED_VALUE"""),2023)</f>
        <v>2023</v>
      </c>
      <c r="D1736" s="1">
        <f ca="1">IFERROR(__xludf.DUMMYFUNCTION("""COMPUTED_VALUE"""),11085)</f>
        <v>11085</v>
      </c>
      <c r="E1736" s="1" t="str">
        <f ca="1">IFERROR(__xludf.DUMMYFUNCTION("""COMPUTED_VALUE"""),"High Temperature Corrosion of Materials")</f>
        <v>High Temperature Corrosion of Materials</v>
      </c>
      <c r="F1736" s="1" t="str">
        <f ca="1">IFERROR(__xludf.DUMMYFUNCTION("""COMPUTED_VALUE"""),"1573-4889")</f>
        <v>1573-4889</v>
      </c>
      <c r="G1736" s="1" t="str">
        <f ca="1">IFERROR(__xludf.DUMMYFUNCTION("""COMPUTED_VALUE"""),"0030-770X")</f>
        <v>0030-770X</v>
      </c>
      <c r="H1736" s="27" t="str">
        <f ca="1">IFERROR(__xludf.DUMMYFUNCTION("""COMPUTED_VALUE"""),"https://link.springer.com/journal/11085")</f>
        <v>https://link.springer.com/journal/11085</v>
      </c>
      <c r="I1736" s="1" t="str">
        <f ca="1">IFERROR(__xludf.DUMMYFUNCTION("""COMPUTED_VALUE"""),"Springer")</f>
        <v>Springer</v>
      </c>
      <c r="J1736" s="1">
        <f ca="1">IFERROR(__xludf.DUMMYFUNCTION("""COMPUTED_VALUE"""),2000)</f>
        <v>2000</v>
      </c>
      <c r="K1736" s="1" t="str">
        <f ca="1">IFERROR(__xludf.DUMMYFUNCTION("""COMPUTED_VALUE"""),"Chemistry and Materials Science")</f>
        <v>Chemistry and Materials Science</v>
      </c>
      <c r="L1736" s="1" t="str">
        <f ca="1">IFERROR(__xludf.DUMMYFUNCTION("""COMPUTED_VALUE"""),"〇")</f>
        <v>〇</v>
      </c>
      <c r="M1736" s="1" t="str">
        <f ca="1">IFERROR(__xludf.DUMMYFUNCTION("""COMPUTED_VALUE"""),"〇")</f>
        <v>〇</v>
      </c>
      <c r="N1736" s="1"/>
      <c r="O1736" s="1"/>
      <c r="P1736" s="1"/>
    </row>
    <row r="1737" spans="1:16" ht="14.25" customHeight="1" x14ac:dyDescent="0.25">
      <c r="A1737" s="1"/>
      <c r="B1737" s="1">
        <f ca="1"/>
        <v>1725</v>
      </c>
      <c r="C1737" s="1">
        <f ca="1">IFERROR(__xludf.DUMMYFUNCTION("""COMPUTED_VALUE"""),2023)</f>
        <v>2023</v>
      </c>
      <c r="D1737" s="1">
        <f ca="1">IFERROR(__xludf.DUMMYFUNCTION("""COMPUTED_VALUE"""),10333)</f>
        <v>10333</v>
      </c>
      <c r="E1737" s="1" t="str">
        <f ca="1">IFERROR(__xludf.DUMMYFUNCTION("""COMPUTED_VALUE"""),"Paddy and Water Environment")</f>
        <v>Paddy and Water Environment</v>
      </c>
      <c r="F1737" s="1" t="str">
        <f ca="1">IFERROR(__xludf.DUMMYFUNCTION("""COMPUTED_VALUE"""),"1611-2504")</f>
        <v>1611-2504</v>
      </c>
      <c r="G1737" s="1" t="str">
        <f ca="1">IFERROR(__xludf.DUMMYFUNCTION("""COMPUTED_VALUE"""),"1611-2490")</f>
        <v>1611-2490</v>
      </c>
      <c r="H1737" s="27" t="str">
        <f ca="1">IFERROR(__xludf.DUMMYFUNCTION("""COMPUTED_VALUE"""),"https://link.springer.com/journal/10333")</f>
        <v>https://link.springer.com/journal/10333</v>
      </c>
      <c r="I1737" s="1" t="str">
        <f ca="1">IFERROR(__xludf.DUMMYFUNCTION("""COMPUTED_VALUE"""),"Springer")</f>
        <v>Springer</v>
      </c>
      <c r="J1737" s="1">
        <f ca="1">IFERROR(__xludf.DUMMYFUNCTION("""COMPUTED_VALUE"""),2003)</f>
        <v>2003</v>
      </c>
      <c r="K1737" s="1" t="str">
        <f ca="1">IFERROR(__xludf.DUMMYFUNCTION("""COMPUTED_VALUE"""),"Biomedical and Life Sciences")</f>
        <v>Biomedical and Life Sciences</v>
      </c>
      <c r="L1737" s="1" t="str">
        <f ca="1">IFERROR(__xludf.DUMMYFUNCTION("""COMPUTED_VALUE"""),"〇")</f>
        <v>〇</v>
      </c>
      <c r="M1737" s="1" t="str">
        <f ca="1">IFERROR(__xludf.DUMMYFUNCTION("""COMPUTED_VALUE"""),"〇")</f>
        <v>〇</v>
      </c>
      <c r="N1737" s="1"/>
      <c r="O1737" s="1"/>
      <c r="P1737" s="1"/>
    </row>
    <row r="1738" spans="1:16" ht="14.25" customHeight="1" x14ac:dyDescent="0.25">
      <c r="A1738" s="1"/>
      <c r="B1738" s="1">
        <f ca="1"/>
        <v>1726</v>
      </c>
      <c r="C1738" s="1">
        <f ca="1">IFERROR(__xludf.DUMMYFUNCTION("""COMPUTED_VALUE"""),2023)</f>
        <v>2023</v>
      </c>
      <c r="D1738" s="1">
        <f ca="1">IFERROR(__xludf.DUMMYFUNCTION("""COMPUTED_VALUE"""),15014)</f>
        <v>15014</v>
      </c>
      <c r="E1738" s="1" t="str">
        <f ca="1">IFERROR(__xludf.DUMMYFUNCTION("""COMPUTED_VALUE"""),"Pädiatrie")</f>
        <v>Pädiatrie</v>
      </c>
      <c r="F1738" s="1" t="str">
        <f ca="1">IFERROR(__xludf.DUMMYFUNCTION("""COMPUTED_VALUE"""),"2196-6443")</f>
        <v>2196-6443</v>
      </c>
      <c r="G1738" s="1" t="str">
        <f ca="1">IFERROR(__xludf.DUMMYFUNCTION("""COMPUTED_VALUE"""),"1867-2132")</f>
        <v>1867-2132</v>
      </c>
      <c r="H1738" s="27" t="str">
        <f ca="1">IFERROR(__xludf.DUMMYFUNCTION("""COMPUTED_VALUE"""),"https://link.springer.com/journal/15014")</f>
        <v>https://link.springer.com/journal/15014</v>
      </c>
      <c r="I1738" s="1" t="str">
        <f ca="1">IFERROR(__xludf.DUMMYFUNCTION("""COMPUTED_VALUE"""),"SpringerMedizin")</f>
        <v>SpringerMedizin</v>
      </c>
      <c r="J1738" s="1">
        <f ca="1">IFERROR(__xludf.DUMMYFUNCTION("""COMPUTED_VALUE"""),2009)</f>
        <v>2009</v>
      </c>
      <c r="K1738" s="1" t="str">
        <f ca="1">IFERROR(__xludf.DUMMYFUNCTION("""COMPUTED_VALUE"""),"Medicine")</f>
        <v>Medicine</v>
      </c>
      <c r="L1738" s="1" t="str">
        <f ca="1">IFERROR(__xludf.DUMMYFUNCTION("""COMPUTED_VALUE"""),"〇")</f>
        <v>〇</v>
      </c>
      <c r="M1738" s="1"/>
      <c r="N1738" s="1"/>
      <c r="O1738" s="1"/>
      <c r="P1738" s="1"/>
    </row>
    <row r="1739" spans="1:16" ht="14.25" customHeight="1" x14ac:dyDescent="0.25">
      <c r="A1739" s="1"/>
      <c r="B1739" s="1">
        <f ca="1"/>
        <v>1727</v>
      </c>
      <c r="C1739" s="1">
        <f ca="1">IFERROR(__xludf.DUMMYFUNCTION("""COMPUTED_VALUE"""),2023)</f>
        <v>2023</v>
      </c>
      <c r="D1739" s="1">
        <f ca="1">IFERROR(__xludf.DUMMYFUNCTION("""COMPUTED_VALUE"""),608)</f>
        <v>608</v>
      </c>
      <c r="E1739" s="1" t="str">
        <f ca="1">IFERROR(__xludf.DUMMYFUNCTION("""COMPUTED_VALUE"""),"Pädiatrie &amp; Pädologie")</f>
        <v>Pädiatrie &amp; Pädologie</v>
      </c>
      <c r="F1739" s="1" t="str">
        <f ca="1">IFERROR(__xludf.DUMMYFUNCTION("""COMPUTED_VALUE"""),"1613-7558")</f>
        <v>1613-7558</v>
      </c>
      <c r="G1739" s="1" t="str">
        <f ca="1">IFERROR(__xludf.DUMMYFUNCTION("""COMPUTED_VALUE"""),"0030-9338")</f>
        <v>0030-9338</v>
      </c>
      <c r="H1739" s="27" t="str">
        <f ca="1">IFERROR(__xludf.DUMMYFUNCTION("""COMPUTED_VALUE"""),"https://link.springer.com/journal/608")</f>
        <v>https://link.springer.com/journal/608</v>
      </c>
      <c r="I1739" s="1" t="str">
        <f ca="1">IFERROR(__xludf.DUMMYFUNCTION("""COMPUTED_VALUE"""),"SpringerMedizin")</f>
        <v>SpringerMedizin</v>
      </c>
      <c r="J1739" s="1">
        <f ca="1">IFERROR(__xludf.DUMMYFUNCTION("""COMPUTED_VALUE"""),2007)</f>
        <v>2007</v>
      </c>
      <c r="K1739" s="1" t="str">
        <f ca="1">IFERROR(__xludf.DUMMYFUNCTION("""COMPUTED_VALUE"""),"Medicine")</f>
        <v>Medicine</v>
      </c>
      <c r="L1739" s="1" t="str">
        <f ca="1">IFERROR(__xludf.DUMMYFUNCTION("""COMPUTED_VALUE"""),"〇")</f>
        <v>〇</v>
      </c>
      <c r="M1739" s="1" t="str">
        <f ca="1">IFERROR(__xludf.DUMMYFUNCTION("""COMPUTED_VALUE"""),"〇")</f>
        <v>〇</v>
      </c>
      <c r="N1739" s="1"/>
      <c r="O1739" s="1"/>
      <c r="P1739" s="1"/>
    </row>
    <row r="1740" spans="1:16" ht="14.25" customHeight="1" x14ac:dyDescent="0.25">
      <c r="A1740" s="1"/>
      <c r="B1740" s="1">
        <f ca="1"/>
        <v>1728</v>
      </c>
      <c r="C1740" s="1">
        <f ca="1">IFERROR(__xludf.DUMMYFUNCTION("""COMPUTED_VALUE"""),2023)</f>
        <v>2023</v>
      </c>
      <c r="D1740" s="1">
        <f ca="1">IFERROR(__xludf.DUMMYFUNCTION("""COMPUTED_VALUE"""),12607)</f>
        <v>12607</v>
      </c>
      <c r="E1740" s="1" t="str">
        <f ca="1">IFERROR(__xludf.DUMMYFUNCTION("""COMPUTED_VALUE"""),"p-Adic Numbers, Ultrametric Analysis and Applications")</f>
        <v>p-Adic Numbers, Ultrametric Analysis and Applications</v>
      </c>
      <c r="F1740" s="1" t="str">
        <f ca="1">IFERROR(__xludf.DUMMYFUNCTION("""COMPUTED_VALUE"""),"2070-0474")</f>
        <v>2070-0474</v>
      </c>
      <c r="G1740" s="1" t="str">
        <f ca="1">IFERROR(__xludf.DUMMYFUNCTION("""COMPUTED_VALUE"""),"2070-0466")</f>
        <v>2070-0466</v>
      </c>
      <c r="H1740" s="27" t="str">
        <f ca="1">IFERROR(__xludf.DUMMYFUNCTION("""COMPUTED_VALUE"""),"https://link.springer.com/journal/12607")</f>
        <v>https://link.springer.com/journal/12607</v>
      </c>
      <c r="I1740" s="1" t="str">
        <f ca="1">IFERROR(__xludf.DUMMYFUNCTION("""COMPUTED_VALUE"""),"Pleiades Publishing")</f>
        <v>Pleiades Publishing</v>
      </c>
      <c r="J1740" s="1">
        <f ca="1">IFERROR(__xludf.DUMMYFUNCTION("""COMPUTED_VALUE"""),2009)</f>
        <v>2009</v>
      </c>
      <c r="K1740" s="1" t="str">
        <f ca="1">IFERROR(__xludf.DUMMYFUNCTION("""COMPUTED_VALUE"""),"Mathematics and Statistics")</f>
        <v>Mathematics and Statistics</v>
      </c>
      <c r="L1740" s="1" t="str">
        <f ca="1">IFERROR(__xludf.DUMMYFUNCTION("""COMPUTED_VALUE"""),"〇")</f>
        <v>〇</v>
      </c>
      <c r="M1740" s="1" t="str">
        <f ca="1">IFERROR(__xludf.DUMMYFUNCTION("""COMPUTED_VALUE"""),"〇")</f>
        <v>〇</v>
      </c>
      <c r="N1740" s="1" t="str">
        <f ca="1">IFERROR(__xludf.DUMMYFUNCTION("""COMPUTED_VALUE"""),"SNS9")</f>
        <v>SNS9</v>
      </c>
      <c r="O1740" s="1"/>
      <c r="P1740" s="1"/>
    </row>
    <row r="1741" spans="1:16" ht="14.25" customHeight="1" x14ac:dyDescent="0.25">
      <c r="A1741" s="1"/>
      <c r="B1741" s="1">
        <f ca="1"/>
        <v>1729</v>
      </c>
      <c r="C1741" s="1">
        <f ca="1">IFERROR(__xludf.DUMMYFUNCTION("""COMPUTED_VALUE"""),2023)</f>
        <v>2023</v>
      </c>
      <c r="D1741" s="1">
        <f ca="1">IFERROR(__xludf.DUMMYFUNCTION("""COMPUTED_VALUE"""),12549)</f>
        <v>12549</v>
      </c>
      <c r="E1741" s="1" t="str">
        <f ca="1">IFERROR(__xludf.DUMMYFUNCTION("""COMPUTED_VALUE"""),"Palaeobiodiversity and Palaeoenvironments")</f>
        <v>Palaeobiodiversity and Palaeoenvironments</v>
      </c>
      <c r="F1741" s="1" t="str">
        <f ca="1">IFERROR(__xludf.DUMMYFUNCTION("""COMPUTED_VALUE"""),"1867-1608")</f>
        <v>1867-1608</v>
      </c>
      <c r="G1741" s="1" t="str">
        <f ca="1">IFERROR(__xludf.DUMMYFUNCTION("""COMPUTED_VALUE"""),"1867-1594")</f>
        <v>1867-1594</v>
      </c>
      <c r="H1741" s="27" t="str">
        <f ca="1">IFERROR(__xludf.DUMMYFUNCTION("""COMPUTED_VALUE"""),"https://link.springer.com/journal/12549")</f>
        <v>https://link.springer.com/journal/12549</v>
      </c>
      <c r="I1741" s="1" t="str">
        <f ca="1">IFERROR(__xludf.DUMMYFUNCTION("""COMPUTED_VALUE"""),"Springer")</f>
        <v>Springer</v>
      </c>
      <c r="J1741" s="1">
        <f ca="1">IFERROR(__xludf.DUMMYFUNCTION("""COMPUTED_VALUE"""),2000)</f>
        <v>2000</v>
      </c>
      <c r="K1741" s="1" t="str">
        <f ca="1">IFERROR(__xludf.DUMMYFUNCTION("""COMPUTED_VALUE"""),"Earth and Environmental Science")</f>
        <v>Earth and Environmental Science</v>
      </c>
      <c r="L1741" s="1" t="str">
        <f ca="1">IFERROR(__xludf.DUMMYFUNCTION("""COMPUTED_VALUE"""),"〇")</f>
        <v>〇</v>
      </c>
      <c r="M1741" s="1"/>
      <c r="N1741" s="1" t="str">
        <f ca="1">IFERROR(__xludf.DUMMYFUNCTION("""COMPUTED_VALUE"""),"TO9")</f>
        <v>TO9</v>
      </c>
      <c r="O1741" s="1"/>
      <c r="P1741" s="1"/>
    </row>
    <row r="1742" spans="1:16" ht="14.25" customHeight="1" x14ac:dyDescent="0.25">
      <c r="A1742" s="1"/>
      <c r="B1742" s="1">
        <f ca="1"/>
        <v>1730</v>
      </c>
      <c r="C1742" s="1">
        <f ca="1">IFERROR(__xludf.DUMMYFUNCTION("""COMPUTED_VALUE"""),2023)</f>
        <v>2023</v>
      </c>
      <c r="D1742" s="1">
        <f ca="1">IFERROR(__xludf.DUMMYFUNCTION("""COMPUTED_VALUE"""),11492)</f>
        <v>11492</v>
      </c>
      <c r="E1742" s="1" t="str">
        <f ca="1">IFERROR(__xludf.DUMMYFUNCTION("""COMPUTED_VALUE"""),"Paleontological Journal")</f>
        <v>Paleontological Journal</v>
      </c>
      <c r="F1742" s="1" t="str">
        <f ca="1">IFERROR(__xludf.DUMMYFUNCTION("""COMPUTED_VALUE"""),"1555-6174")</f>
        <v>1555-6174</v>
      </c>
      <c r="G1742" s="1" t="str">
        <f ca="1">IFERROR(__xludf.DUMMYFUNCTION("""COMPUTED_VALUE"""),"0031-0301")</f>
        <v>0031-0301</v>
      </c>
      <c r="H1742" s="27" t="str">
        <f ca="1">IFERROR(__xludf.DUMMYFUNCTION("""COMPUTED_VALUE"""),"https://link.springer.com/journal/11492")</f>
        <v>https://link.springer.com/journal/11492</v>
      </c>
      <c r="I1742" s="1" t="str">
        <f ca="1">IFERROR(__xludf.DUMMYFUNCTION("""COMPUTED_VALUE"""),"Pleiades Publishing")</f>
        <v>Pleiades Publishing</v>
      </c>
      <c r="J1742" s="1">
        <f ca="1">IFERROR(__xludf.DUMMYFUNCTION("""COMPUTED_VALUE"""),2006)</f>
        <v>2006</v>
      </c>
      <c r="K1742" s="1" t="str">
        <f ca="1">IFERROR(__xludf.DUMMYFUNCTION("""COMPUTED_VALUE"""),"Earth and Environmental Science")</f>
        <v>Earth and Environmental Science</v>
      </c>
      <c r="L1742" s="1" t="str">
        <f ca="1">IFERROR(__xludf.DUMMYFUNCTION("""COMPUTED_VALUE"""),"〇")</f>
        <v>〇</v>
      </c>
      <c r="M1742" s="1" t="str">
        <f ca="1">IFERROR(__xludf.DUMMYFUNCTION("""COMPUTED_VALUE"""),"〇")</f>
        <v>〇</v>
      </c>
      <c r="N1742" s="1"/>
      <c r="O1742" s="1"/>
      <c r="P1742" s="1"/>
    </row>
    <row r="1743" spans="1:16" ht="14.25" customHeight="1" x14ac:dyDescent="0.25">
      <c r="A1743" s="1"/>
      <c r="B1743" s="1">
        <f ca="1"/>
        <v>1731</v>
      </c>
      <c r="C1743" s="1">
        <f ca="1">IFERROR(__xludf.DUMMYFUNCTION("""COMPUTED_VALUE"""),2023)</f>
        <v>2023</v>
      </c>
      <c r="D1743" s="1">
        <f ca="1">IFERROR(__xludf.DUMMYFUNCTION("""COMPUTED_VALUE"""),12542)</f>
        <v>12542</v>
      </c>
      <c r="E1743" s="1" t="str">
        <f ca="1">IFERROR(__xludf.DUMMYFUNCTION("""COMPUTED_VALUE"""),"PalZ")</f>
        <v>PalZ</v>
      </c>
      <c r="F1743" s="1" t="str">
        <f ca="1">IFERROR(__xludf.DUMMYFUNCTION("""COMPUTED_VALUE"""),"1867-6812")</f>
        <v>1867-6812</v>
      </c>
      <c r="G1743" s="1" t="str">
        <f ca="1">IFERROR(__xludf.DUMMYFUNCTION("""COMPUTED_VALUE"""),"0031-0220")</f>
        <v>0031-0220</v>
      </c>
      <c r="H1743" s="27" t="str">
        <f ca="1">IFERROR(__xludf.DUMMYFUNCTION("""COMPUTED_VALUE"""),"https://link.springer.com/journal/12542")</f>
        <v>https://link.springer.com/journal/12542</v>
      </c>
      <c r="I1743" s="1" t="str">
        <f ca="1">IFERROR(__xludf.DUMMYFUNCTION("""COMPUTED_VALUE"""),"Springer")</f>
        <v>Springer</v>
      </c>
      <c r="J1743" s="1">
        <f ca="1">IFERROR(__xludf.DUMMYFUNCTION("""COMPUTED_VALUE"""),2000)</f>
        <v>2000</v>
      </c>
      <c r="K1743" s="1" t="str">
        <f ca="1">IFERROR(__xludf.DUMMYFUNCTION("""COMPUTED_VALUE"""),"Earth and Environmental Science")</f>
        <v>Earth and Environmental Science</v>
      </c>
      <c r="L1743" s="1" t="str">
        <f ca="1">IFERROR(__xludf.DUMMYFUNCTION("""COMPUTED_VALUE"""),"〇")</f>
        <v>〇</v>
      </c>
      <c r="M1743" s="1"/>
      <c r="N1743" s="1" t="str">
        <f ca="1">IFERROR(__xludf.DUMMYFUNCTION("""COMPUTED_VALUE"""),"TO9")</f>
        <v>TO9</v>
      </c>
      <c r="O1743" s="1"/>
      <c r="P1743" s="1"/>
    </row>
    <row r="1744" spans="1:16" ht="14.25" customHeight="1" x14ac:dyDescent="0.25">
      <c r="A1744" s="1"/>
      <c r="B1744" s="1">
        <f ca="1"/>
        <v>1732</v>
      </c>
      <c r="C1744" s="1">
        <f ca="1">IFERROR(__xludf.DUMMYFUNCTION("""COMPUTED_VALUE"""),2023)</f>
        <v>2023</v>
      </c>
      <c r="D1744" s="1">
        <f ca="1">IFERROR(__xludf.DUMMYFUNCTION("""COMPUTED_VALUE"""),436)</f>
        <v>436</v>
      </c>
      <c r="E1744" s="1" t="str">
        <f ca="1">IFERROR(__xludf.DUMMYFUNCTION("""COMPUTED_VALUE"""),"Parasitology Research")</f>
        <v>Parasitology Research</v>
      </c>
      <c r="F1744" s="1" t="str">
        <f ca="1">IFERROR(__xludf.DUMMYFUNCTION("""COMPUTED_VALUE"""),"1432-1955")</f>
        <v>1432-1955</v>
      </c>
      <c r="G1744" s="1" t="str">
        <f ca="1">IFERROR(__xludf.DUMMYFUNCTION("""COMPUTED_VALUE"""),"0932-0113")</f>
        <v>0932-0113</v>
      </c>
      <c r="H1744" s="27" t="str">
        <f ca="1">IFERROR(__xludf.DUMMYFUNCTION("""COMPUTED_VALUE"""),"https://link.springer.com/journal/436")</f>
        <v>https://link.springer.com/journal/436</v>
      </c>
      <c r="I1744" s="1" t="str">
        <f ca="1">IFERROR(__xludf.DUMMYFUNCTION("""COMPUTED_VALUE"""),"Springer")</f>
        <v>Springer</v>
      </c>
      <c r="J1744" s="1">
        <f ca="1">IFERROR(__xludf.DUMMYFUNCTION("""COMPUTED_VALUE"""),2000)</f>
        <v>2000</v>
      </c>
      <c r="K1744" s="1" t="str">
        <f ca="1">IFERROR(__xludf.DUMMYFUNCTION("""COMPUTED_VALUE"""),"Biomedical and Life Sciences")</f>
        <v>Biomedical and Life Sciences</v>
      </c>
      <c r="L1744" s="1" t="str">
        <f ca="1">IFERROR(__xludf.DUMMYFUNCTION("""COMPUTED_VALUE"""),"〇")</f>
        <v>〇</v>
      </c>
      <c r="M1744" s="1" t="str">
        <f ca="1">IFERROR(__xludf.DUMMYFUNCTION("""COMPUTED_VALUE"""),"〇")</f>
        <v>〇</v>
      </c>
      <c r="N1744" s="1"/>
      <c r="O1744" s="1"/>
      <c r="P1744" s="1"/>
    </row>
    <row r="1745" spans="1:16" ht="14.25" customHeight="1" x14ac:dyDescent="0.25">
      <c r="A1745" s="1"/>
      <c r="B1745" s="1">
        <f ca="1"/>
        <v>1733</v>
      </c>
      <c r="C1745" s="1">
        <f ca="1">IFERROR(__xludf.DUMMYFUNCTION("""COMPUTED_VALUE"""),2023)</f>
        <v>2023</v>
      </c>
      <c r="D1745" s="1">
        <f ca="1">IFERROR(__xludf.DUMMYFUNCTION("""COMPUTED_VALUE"""),42985)</f>
        <v>42985</v>
      </c>
      <c r="E1745" s="1" t="str">
        <f ca="1">IFERROR(__xludf.DUMMYFUNCTION("""COMPUTED_VALUE"""),"Partial Differential Equations and Applications")</f>
        <v>Partial Differential Equations and Applications</v>
      </c>
      <c r="F1745" s="1" t="str">
        <f ca="1">IFERROR(__xludf.DUMMYFUNCTION("""COMPUTED_VALUE"""),"2662-2971")</f>
        <v>2662-2971</v>
      </c>
      <c r="G1745" s="1" t="str">
        <f ca="1">IFERROR(__xludf.DUMMYFUNCTION("""COMPUTED_VALUE"""),"2662-2963")</f>
        <v>2662-2963</v>
      </c>
      <c r="H1745" s="27" t="str">
        <f ca="1">IFERROR(__xludf.DUMMYFUNCTION("""COMPUTED_VALUE"""),"https://link.springer.com/journal/42985")</f>
        <v>https://link.springer.com/journal/42985</v>
      </c>
      <c r="I1745" s="1" t="str">
        <f ca="1">IFERROR(__xludf.DUMMYFUNCTION("""COMPUTED_VALUE"""),"Springer Nature")</f>
        <v>Springer Nature</v>
      </c>
      <c r="J1745" s="1">
        <f ca="1">IFERROR(__xludf.DUMMYFUNCTION("""COMPUTED_VALUE"""),2020)</f>
        <v>2020</v>
      </c>
      <c r="K1745" s="1" t="str">
        <f ca="1">IFERROR(__xludf.DUMMYFUNCTION("""COMPUTED_VALUE"""),"Mathematics and Statistics")</f>
        <v>Mathematics and Statistics</v>
      </c>
      <c r="L1745" s="1" t="str">
        <f ca="1">IFERROR(__xludf.DUMMYFUNCTION("""COMPUTED_VALUE"""),"〇")</f>
        <v>〇</v>
      </c>
      <c r="M1745" s="1" t="str">
        <f ca="1">IFERROR(__xludf.DUMMYFUNCTION("""COMPUTED_VALUE"""),"〇")</f>
        <v>〇</v>
      </c>
      <c r="N1745" s="1" t="str">
        <f ca="1">IFERROR(__xludf.DUMMYFUNCTION("""COMPUTED_VALUE"""),"SNS20")</f>
        <v>SNS20</v>
      </c>
      <c r="O1745" s="1"/>
      <c r="P1745" s="1"/>
    </row>
    <row r="1746" spans="1:16" ht="14.25" customHeight="1" x14ac:dyDescent="0.25">
      <c r="A1746" s="1"/>
      <c r="B1746" s="1">
        <f ca="1"/>
        <v>1734</v>
      </c>
      <c r="C1746" s="1">
        <f ca="1">IFERROR(__xludf.DUMMYFUNCTION("""COMPUTED_VALUE"""),2023)</f>
        <v>2023</v>
      </c>
      <c r="D1746" s="1">
        <f ca="1">IFERROR(__xludf.DUMMYFUNCTION("""COMPUTED_VALUE"""),11089)</f>
        <v>11089</v>
      </c>
      <c r="E1746" s="1" t="str">
        <f ca="1">IFERROR(__xludf.DUMMYFUNCTION("""COMPUTED_VALUE"""),"Pastoral Psychology")</f>
        <v>Pastoral Psychology</v>
      </c>
      <c r="F1746" s="1" t="str">
        <f ca="1">IFERROR(__xludf.DUMMYFUNCTION("""COMPUTED_VALUE"""),"1573-6679")</f>
        <v>1573-6679</v>
      </c>
      <c r="G1746" s="1" t="str">
        <f ca="1">IFERROR(__xludf.DUMMYFUNCTION("""COMPUTED_VALUE"""),"0031-2789")</f>
        <v>0031-2789</v>
      </c>
      <c r="H1746" s="27" t="str">
        <f ca="1">IFERROR(__xludf.DUMMYFUNCTION("""COMPUTED_VALUE"""),"https://link.springer.com/journal/11089")</f>
        <v>https://link.springer.com/journal/11089</v>
      </c>
      <c r="I1746" s="1" t="str">
        <f ca="1">IFERROR(__xludf.DUMMYFUNCTION("""COMPUTED_VALUE"""),"Springer")</f>
        <v>Springer</v>
      </c>
      <c r="J1746" s="1">
        <f ca="1">IFERROR(__xludf.DUMMYFUNCTION("""COMPUTED_VALUE"""),2000)</f>
        <v>2000</v>
      </c>
      <c r="K1746" s="1" t="str">
        <f ca="1">IFERROR(__xludf.DUMMYFUNCTION("""COMPUTED_VALUE"""),"Behavioral Science and Psychology")</f>
        <v>Behavioral Science and Psychology</v>
      </c>
      <c r="L1746" s="1" t="str">
        <f ca="1">IFERROR(__xludf.DUMMYFUNCTION("""COMPUTED_VALUE"""),"〇")</f>
        <v>〇</v>
      </c>
      <c r="M1746" s="1" t="str">
        <f ca="1">IFERROR(__xludf.DUMMYFUNCTION("""COMPUTED_VALUE"""),"〇")</f>
        <v>〇</v>
      </c>
      <c r="N1746" s="1"/>
      <c r="O1746" s="1"/>
      <c r="P1746" s="1"/>
    </row>
    <row r="1747" spans="1:16" ht="14.25" customHeight="1" x14ac:dyDescent="0.25">
      <c r="A1747" s="1"/>
      <c r="B1747" s="1">
        <f ca="1"/>
        <v>1735</v>
      </c>
      <c r="C1747" s="1">
        <f ca="1">IFERROR(__xludf.DUMMYFUNCTION("""COMPUTED_VALUE"""),2023)</f>
        <v>2023</v>
      </c>
      <c r="D1747" s="1">
        <f ca="1">IFERROR(__xludf.DUMMYFUNCTION("""COMPUTED_VALUE"""),10044)</f>
        <v>10044</v>
      </c>
      <c r="E1747" s="1" t="str">
        <f ca="1">IFERROR(__xludf.DUMMYFUNCTION("""COMPUTED_VALUE"""),"Pattern Analysis and Applications")</f>
        <v>Pattern Analysis and Applications</v>
      </c>
      <c r="F1747" s="1" t="str">
        <f ca="1">IFERROR(__xludf.DUMMYFUNCTION("""COMPUTED_VALUE"""),"1433-755X")</f>
        <v>1433-755X</v>
      </c>
      <c r="G1747" s="1" t="str">
        <f ca="1">IFERROR(__xludf.DUMMYFUNCTION("""COMPUTED_VALUE"""),"1433-7541")</f>
        <v>1433-7541</v>
      </c>
      <c r="H1747" s="27" t="str">
        <f ca="1">IFERROR(__xludf.DUMMYFUNCTION("""COMPUTED_VALUE"""),"https://link.springer.com/journal/10044")</f>
        <v>https://link.springer.com/journal/10044</v>
      </c>
      <c r="I1747" s="1" t="str">
        <f ca="1">IFERROR(__xludf.DUMMYFUNCTION("""COMPUTED_VALUE"""),"Springer")</f>
        <v>Springer</v>
      </c>
      <c r="J1747" s="1">
        <f ca="1">IFERROR(__xludf.DUMMYFUNCTION("""COMPUTED_VALUE"""),2000)</f>
        <v>2000</v>
      </c>
      <c r="K1747" s="1" t="str">
        <f ca="1">IFERROR(__xludf.DUMMYFUNCTION("""COMPUTED_VALUE"""),"Computer Science")</f>
        <v>Computer Science</v>
      </c>
      <c r="L1747" s="1" t="str">
        <f ca="1">IFERROR(__xludf.DUMMYFUNCTION("""COMPUTED_VALUE"""),"〇")</f>
        <v>〇</v>
      </c>
      <c r="M1747" s="1" t="str">
        <f ca="1">IFERROR(__xludf.DUMMYFUNCTION("""COMPUTED_VALUE"""),"〇")</f>
        <v>〇</v>
      </c>
      <c r="N1747" s="1"/>
      <c r="O1747" s="1"/>
      <c r="P1747" s="1"/>
    </row>
    <row r="1748" spans="1:16" ht="14.25" customHeight="1" x14ac:dyDescent="0.25">
      <c r="A1748" s="1"/>
      <c r="B1748" s="1">
        <f ca="1"/>
        <v>1736</v>
      </c>
      <c r="C1748" s="1">
        <f ca="1">IFERROR(__xludf.DUMMYFUNCTION("""COMPUTED_VALUE"""),2023)</f>
        <v>2023</v>
      </c>
      <c r="D1748" s="1">
        <f ca="1">IFERROR(__xludf.DUMMYFUNCTION("""COMPUTED_VALUE"""),11493)</f>
        <v>11493</v>
      </c>
      <c r="E1748" s="1" t="str">
        <f ca="1">IFERROR(__xludf.DUMMYFUNCTION("""COMPUTED_VALUE"""),"Pattern Recognition and Image Analysis")</f>
        <v>Pattern Recognition and Image Analysis</v>
      </c>
      <c r="F1748" s="1" t="str">
        <f ca="1">IFERROR(__xludf.DUMMYFUNCTION("""COMPUTED_VALUE"""),"1555-6212")</f>
        <v>1555-6212</v>
      </c>
      <c r="G1748" s="1" t="str">
        <f ca="1">IFERROR(__xludf.DUMMYFUNCTION("""COMPUTED_VALUE"""),"1054-6618")</f>
        <v>1054-6618</v>
      </c>
      <c r="H1748" s="27" t="str">
        <f ca="1">IFERROR(__xludf.DUMMYFUNCTION("""COMPUTED_VALUE"""),"https://link.springer.com/journal/11493")</f>
        <v>https://link.springer.com/journal/11493</v>
      </c>
      <c r="I1748" s="1" t="str">
        <f ca="1">IFERROR(__xludf.DUMMYFUNCTION("""COMPUTED_VALUE"""),"Pleiades Publishing")</f>
        <v>Pleiades Publishing</v>
      </c>
      <c r="J1748" s="1">
        <f ca="1">IFERROR(__xludf.DUMMYFUNCTION("""COMPUTED_VALUE"""),2006)</f>
        <v>2006</v>
      </c>
      <c r="K1748" s="1" t="str">
        <f ca="1">IFERROR(__xludf.DUMMYFUNCTION("""COMPUTED_VALUE"""),"Computer Science")</f>
        <v>Computer Science</v>
      </c>
      <c r="L1748" s="1" t="str">
        <f ca="1">IFERROR(__xludf.DUMMYFUNCTION("""COMPUTED_VALUE"""),"〇")</f>
        <v>〇</v>
      </c>
      <c r="M1748" s="1" t="str">
        <f ca="1">IFERROR(__xludf.DUMMYFUNCTION("""COMPUTED_VALUE"""),"〇")</f>
        <v>〇</v>
      </c>
      <c r="N1748" s="1"/>
      <c r="O1748" s="1"/>
      <c r="P1748" s="1"/>
    </row>
    <row r="1749" spans="1:16" ht="14.25" customHeight="1" x14ac:dyDescent="0.25">
      <c r="A1749" s="1"/>
      <c r="B1749" s="1">
        <f ca="1"/>
        <v>1737</v>
      </c>
      <c r="C1749" s="1">
        <f ca="1">IFERROR(__xludf.DUMMYFUNCTION("""COMPUTED_VALUE"""),2023)</f>
        <v>2023</v>
      </c>
      <c r="D1749" s="1">
        <f ca="1">IFERROR(__xludf.DUMMYFUNCTION("""COMPUTED_VALUE"""),246)</f>
        <v>246</v>
      </c>
      <c r="E1749" s="1" t="str">
        <f ca="1">IFERROR(__xludf.DUMMYFUNCTION("""COMPUTED_VALUE"""),"Pediatric Cardiology")</f>
        <v>Pediatric Cardiology</v>
      </c>
      <c r="F1749" s="1" t="str">
        <f ca="1">IFERROR(__xludf.DUMMYFUNCTION("""COMPUTED_VALUE"""),"1432-1971")</f>
        <v>1432-1971</v>
      </c>
      <c r="G1749" s="1" t="str">
        <f ca="1">IFERROR(__xludf.DUMMYFUNCTION("""COMPUTED_VALUE"""),"0172-0643")</f>
        <v>0172-0643</v>
      </c>
      <c r="H1749" s="27" t="str">
        <f ca="1">IFERROR(__xludf.DUMMYFUNCTION("""COMPUTED_VALUE"""),"https://link.springer.com/journal/246")</f>
        <v>https://link.springer.com/journal/246</v>
      </c>
      <c r="I1749" s="1" t="str">
        <f ca="1">IFERROR(__xludf.DUMMYFUNCTION("""COMPUTED_VALUE"""),"Springer")</f>
        <v>Springer</v>
      </c>
      <c r="J1749" s="1">
        <f ca="1">IFERROR(__xludf.DUMMYFUNCTION("""COMPUTED_VALUE"""),2000)</f>
        <v>2000</v>
      </c>
      <c r="K1749" s="1" t="str">
        <f ca="1">IFERROR(__xludf.DUMMYFUNCTION("""COMPUTED_VALUE"""),"Medicine")</f>
        <v>Medicine</v>
      </c>
      <c r="L1749" s="1" t="str">
        <f ca="1">IFERROR(__xludf.DUMMYFUNCTION("""COMPUTED_VALUE"""),"〇")</f>
        <v>〇</v>
      </c>
      <c r="M1749" s="1" t="str">
        <f ca="1">IFERROR(__xludf.DUMMYFUNCTION("""COMPUTED_VALUE"""),"〇")</f>
        <v>〇</v>
      </c>
      <c r="N1749" s="1"/>
      <c r="O1749" s="1"/>
      <c r="P1749" s="1"/>
    </row>
    <row r="1750" spans="1:16" ht="14.25" customHeight="1" x14ac:dyDescent="0.25">
      <c r="A1750" s="1"/>
      <c r="B1750" s="1">
        <f ca="1"/>
        <v>1738</v>
      </c>
      <c r="C1750" s="1">
        <f ca="1">IFERROR(__xludf.DUMMYFUNCTION("""COMPUTED_VALUE"""),2023)</f>
        <v>2023</v>
      </c>
      <c r="D1750" s="1">
        <f ca="1">IFERROR(__xludf.DUMMYFUNCTION("""COMPUTED_VALUE"""),467)</f>
        <v>467</v>
      </c>
      <c r="E1750" s="1" t="str">
        <f ca="1">IFERROR(__xludf.DUMMYFUNCTION("""COMPUTED_VALUE"""),"Pediatric Nephrology")</f>
        <v>Pediatric Nephrology</v>
      </c>
      <c r="F1750" s="1" t="str">
        <f ca="1">IFERROR(__xludf.DUMMYFUNCTION("""COMPUTED_VALUE"""),"1432-198X")</f>
        <v>1432-198X</v>
      </c>
      <c r="G1750" s="1" t="str">
        <f ca="1">IFERROR(__xludf.DUMMYFUNCTION("""COMPUTED_VALUE"""),"0931-041X")</f>
        <v>0931-041X</v>
      </c>
      <c r="H1750" s="27" t="str">
        <f ca="1">IFERROR(__xludf.DUMMYFUNCTION("""COMPUTED_VALUE"""),"https://link.springer.com/journal/467")</f>
        <v>https://link.springer.com/journal/467</v>
      </c>
      <c r="I1750" s="1" t="str">
        <f ca="1">IFERROR(__xludf.DUMMYFUNCTION("""COMPUTED_VALUE"""),"Springer")</f>
        <v>Springer</v>
      </c>
      <c r="J1750" s="1">
        <f ca="1">IFERROR(__xludf.DUMMYFUNCTION("""COMPUTED_VALUE"""),2000)</f>
        <v>2000</v>
      </c>
      <c r="K1750" s="1" t="str">
        <f ca="1">IFERROR(__xludf.DUMMYFUNCTION("""COMPUTED_VALUE"""),"Medicine")</f>
        <v>Medicine</v>
      </c>
      <c r="L1750" s="1" t="str">
        <f ca="1">IFERROR(__xludf.DUMMYFUNCTION("""COMPUTED_VALUE"""),"〇")</f>
        <v>〇</v>
      </c>
      <c r="M1750" s="1" t="str">
        <f ca="1">IFERROR(__xludf.DUMMYFUNCTION("""COMPUTED_VALUE"""),"〇")</f>
        <v>〇</v>
      </c>
      <c r="N1750" s="1"/>
      <c r="O1750" s="1"/>
      <c r="P1750" s="1"/>
    </row>
    <row r="1751" spans="1:16" ht="14.25" customHeight="1" x14ac:dyDescent="0.25">
      <c r="A1751" s="1"/>
      <c r="B1751" s="1">
        <f ca="1"/>
        <v>1739</v>
      </c>
      <c r="C1751" s="1">
        <f ca="1">IFERROR(__xludf.DUMMYFUNCTION("""COMPUTED_VALUE"""),2023)</f>
        <v>2023</v>
      </c>
      <c r="D1751" s="1">
        <f ca="1">IFERROR(__xludf.DUMMYFUNCTION("""COMPUTED_VALUE"""),247)</f>
        <v>247</v>
      </c>
      <c r="E1751" s="1" t="str">
        <f ca="1">IFERROR(__xludf.DUMMYFUNCTION("""COMPUTED_VALUE"""),"Pediatric Radiology")</f>
        <v>Pediatric Radiology</v>
      </c>
      <c r="F1751" s="1" t="str">
        <f ca="1">IFERROR(__xludf.DUMMYFUNCTION("""COMPUTED_VALUE"""),"1432-1998")</f>
        <v>1432-1998</v>
      </c>
      <c r="G1751" s="1"/>
      <c r="H1751" s="27" t="str">
        <f ca="1">IFERROR(__xludf.DUMMYFUNCTION("""COMPUTED_VALUE"""),"https://link.springer.com/journal/247")</f>
        <v>https://link.springer.com/journal/247</v>
      </c>
      <c r="I1751" s="1" t="str">
        <f ca="1">IFERROR(__xludf.DUMMYFUNCTION("""COMPUTED_VALUE"""),"Springer")</f>
        <v>Springer</v>
      </c>
      <c r="J1751" s="1">
        <f ca="1">IFERROR(__xludf.DUMMYFUNCTION("""COMPUTED_VALUE"""),2000)</f>
        <v>2000</v>
      </c>
      <c r="K1751" s="1" t="str">
        <f ca="1">IFERROR(__xludf.DUMMYFUNCTION("""COMPUTED_VALUE"""),"Medicine")</f>
        <v>Medicine</v>
      </c>
      <c r="L1751" s="1"/>
      <c r="M1751" s="1" t="str">
        <f ca="1">IFERROR(__xludf.DUMMYFUNCTION("""COMPUTED_VALUE"""),"〇")</f>
        <v>〇</v>
      </c>
      <c r="N1751" s="1"/>
      <c r="O1751" s="1"/>
      <c r="P1751" s="1"/>
    </row>
    <row r="1752" spans="1:16" ht="14.25" customHeight="1" x14ac:dyDescent="0.25">
      <c r="A1752" s="1"/>
      <c r="B1752" s="1">
        <f ca="1"/>
        <v>1740</v>
      </c>
      <c r="C1752" s="1">
        <f ca="1">IFERROR(__xludf.DUMMYFUNCTION("""COMPUTED_VALUE"""),2023)</f>
        <v>2023</v>
      </c>
      <c r="D1752" s="1">
        <f ca="1">IFERROR(__xludf.DUMMYFUNCTION("""COMPUTED_VALUE"""),383)</f>
        <v>383</v>
      </c>
      <c r="E1752" s="1" t="str">
        <f ca="1">IFERROR(__xludf.DUMMYFUNCTION("""COMPUTED_VALUE"""),"Pediatric Surgery International")</f>
        <v>Pediatric Surgery International</v>
      </c>
      <c r="F1752" s="1" t="str">
        <f ca="1">IFERROR(__xludf.DUMMYFUNCTION("""COMPUTED_VALUE"""),"1437-9813")</f>
        <v>1437-9813</v>
      </c>
      <c r="G1752" s="1"/>
      <c r="H1752" s="27" t="str">
        <f ca="1">IFERROR(__xludf.DUMMYFUNCTION("""COMPUTED_VALUE"""),"https://link.springer.com/journal/383")</f>
        <v>https://link.springer.com/journal/383</v>
      </c>
      <c r="I1752" s="1" t="str">
        <f ca="1">IFERROR(__xludf.DUMMYFUNCTION("""COMPUTED_VALUE"""),"Springer")</f>
        <v>Springer</v>
      </c>
      <c r="J1752" s="1">
        <f ca="1">IFERROR(__xludf.DUMMYFUNCTION("""COMPUTED_VALUE"""),2000)</f>
        <v>2000</v>
      </c>
      <c r="K1752" s="1" t="str">
        <f ca="1">IFERROR(__xludf.DUMMYFUNCTION("""COMPUTED_VALUE"""),"Medicine")</f>
        <v>Medicine</v>
      </c>
      <c r="L1752" s="1"/>
      <c r="M1752" s="1" t="str">
        <f ca="1">IFERROR(__xludf.DUMMYFUNCTION("""COMPUTED_VALUE"""),"〇")</f>
        <v>〇</v>
      </c>
      <c r="N1752" s="1"/>
      <c r="O1752" s="1"/>
      <c r="P1752" s="1"/>
    </row>
    <row r="1753" spans="1:16" ht="14.25" customHeight="1" x14ac:dyDescent="0.25">
      <c r="A1753" s="1"/>
      <c r="B1753" s="1">
        <f ca="1"/>
        <v>1741</v>
      </c>
      <c r="C1753" s="1">
        <f ca="1">IFERROR(__xludf.DUMMYFUNCTION("""COMPUTED_VALUE"""),2023)</f>
        <v>2023</v>
      </c>
      <c r="D1753" s="1">
        <f ca="1">IFERROR(__xludf.DUMMYFUNCTION("""COMPUTED_VALUE"""),12083)</f>
        <v>12083</v>
      </c>
      <c r="E1753" s="1" t="str">
        <f ca="1">IFERROR(__xludf.DUMMYFUNCTION("""COMPUTED_VALUE"""),"Peer-to-Peer Networking and Applications")</f>
        <v>Peer-to-Peer Networking and Applications</v>
      </c>
      <c r="F1753" s="1" t="str">
        <f ca="1">IFERROR(__xludf.DUMMYFUNCTION("""COMPUTED_VALUE"""),"1936-6450")</f>
        <v>1936-6450</v>
      </c>
      <c r="G1753" s="1"/>
      <c r="H1753" s="27" t="str">
        <f ca="1">IFERROR(__xludf.DUMMYFUNCTION("""COMPUTED_VALUE"""),"https://link.springer.com/journal/12083")</f>
        <v>https://link.springer.com/journal/12083</v>
      </c>
      <c r="I1753" s="1" t="str">
        <f ca="1">IFERROR(__xludf.DUMMYFUNCTION("""COMPUTED_VALUE"""),"Springer")</f>
        <v>Springer</v>
      </c>
      <c r="J1753" s="1">
        <f ca="1">IFERROR(__xludf.DUMMYFUNCTION("""COMPUTED_VALUE"""),2008)</f>
        <v>2008</v>
      </c>
      <c r="K1753" s="1" t="str">
        <f ca="1">IFERROR(__xludf.DUMMYFUNCTION("""COMPUTED_VALUE"""),"Engineering")</f>
        <v>Engineering</v>
      </c>
      <c r="L1753" s="1"/>
      <c r="M1753" s="1" t="str">
        <f ca="1">IFERROR(__xludf.DUMMYFUNCTION("""COMPUTED_VALUE"""),"〇")</f>
        <v>〇</v>
      </c>
      <c r="N1753" s="1" t="str">
        <f ca="1">IFERROR(__xludf.DUMMYFUNCTION("""COMPUTED_VALUE"""),"SNS8")</f>
        <v>SNS8</v>
      </c>
      <c r="O1753" s="1"/>
      <c r="P1753" s="1"/>
    </row>
    <row r="1754" spans="1:16" ht="14.25" customHeight="1" x14ac:dyDescent="0.25">
      <c r="A1754" s="1"/>
      <c r="B1754" s="1">
        <f ca="1"/>
        <v>1742</v>
      </c>
      <c r="C1754" s="1">
        <f ca="1">IFERROR(__xludf.DUMMYFUNCTION("""COMPUTED_VALUE"""),2023)</f>
        <v>2023</v>
      </c>
      <c r="D1754" s="1">
        <f ca="1">IFERROR(__xludf.DUMMYFUNCTION("""COMPUTED_VALUE"""),42543)</f>
        <v>42543</v>
      </c>
      <c r="E1754" s="1" t="str">
        <f ca="1">IFERROR(__xludf.DUMMYFUNCTION("""COMPUTED_VALUE"""),"Peking Mathematical Journal")</f>
        <v>Peking Mathematical Journal</v>
      </c>
      <c r="F1754" s="1" t="str">
        <f ca="1">IFERROR(__xludf.DUMMYFUNCTION("""COMPUTED_VALUE"""),"2524-7182")</f>
        <v>2524-7182</v>
      </c>
      <c r="G1754" s="1" t="str">
        <f ca="1">IFERROR(__xludf.DUMMYFUNCTION("""COMPUTED_VALUE"""),"2096-6075")</f>
        <v>2096-6075</v>
      </c>
      <c r="H1754" s="27" t="str">
        <f ca="1">IFERROR(__xludf.DUMMYFUNCTION("""COMPUTED_VALUE"""),"https://link.springer.com/journal/42543")</f>
        <v>https://link.springer.com/journal/42543</v>
      </c>
      <c r="I1754" s="1" t="str">
        <f ca="1">IFERROR(__xludf.DUMMYFUNCTION("""COMPUTED_VALUE"""),"Springer")</f>
        <v>Springer</v>
      </c>
      <c r="J1754" s="1">
        <f ca="1">IFERROR(__xludf.DUMMYFUNCTION("""COMPUTED_VALUE"""),2018)</f>
        <v>2018</v>
      </c>
      <c r="K1754" s="1" t="str">
        <f ca="1">IFERROR(__xludf.DUMMYFUNCTION("""COMPUTED_VALUE"""),"Mathematics and Statistics")</f>
        <v>Mathematics and Statistics</v>
      </c>
      <c r="L1754" s="1" t="str">
        <f ca="1">IFERROR(__xludf.DUMMYFUNCTION("""COMPUTED_VALUE"""),"〇")</f>
        <v>〇</v>
      </c>
      <c r="M1754" s="1"/>
      <c r="N1754" s="1" t="str">
        <f ca="1">IFERROR(__xludf.DUMMYFUNCTION("""COMPUTED_VALUE"""),"SNS18")</f>
        <v>SNS18</v>
      </c>
      <c r="O1754" s="1"/>
      <c r="P1754" s="1"/>
    </row>
    <row r="1755" spans="1:16" ht="14.25" customHeight="1" x14ac:dyDescent="0.25">
      <c r="A1755" s="1"/>
      <c r="B1755" s="1">
        <f ca="1"/>
        <v>1743</v>
      </c>
      <c r="C1755" s="1">
        <f ca="1">IFERROR(__xludf.DUMMYFUNCTION("""COMPUTED_VALUE"""),2023)</f>
        <v>2023</v>
      </c>
      <c r="D1755" s="1">
        <f ca="1">IFERROR(__xludf.DUMMYFUNCTION("""COMPUTED_VALUE"""),10998)</f>
        <v>10998</v>
      </c>
      <c r="E1755" s="1" t="str">
        <f ca="1">IFERROR(__xludf.DUMMYFUNCTION("""COMPUTED_VALUE"""),"Periodica Mathematica Hungarica")</f>
        <v>Periodica Mathematica Hungarica</v>
      </c>
      <c r="F1755" s="1" t="str">
        <f ca="1">IFERROR(__xludf.DUMMYFUNCTION("""COMPUTED_VALUE"""),"1588-2829")</f>
        <v>1588-2829</v>
      </c>
      <c r="G1755" s="1" t="str">
        <f ca="1">IFERROR(__xludf.DUMMYFUNCTION("""COMPUTED_VALUE"""),"0031-5303")</f>
        <v>0031-5303</v>
      </c>
      <c r="H1755" s="27" t="str">
        <f ca="1">IFERROR(__xludf.DUMMYFUNCTION("""COMPUTED_VALUE"""),"https://link.springer.com/journal/10998")</f>
        <v>https://link.springer.com/journal/10998</v>
      </c>
      <c r="I1755" s="1" t="str">
        <f ca="1">IFERROR(__xludf.DUMMYFUNCTION("""COMPUTED_VALUE"""),"Akadémiai Kiadó, co-published with Springer")</f>
        <v>Akadémiai Kiadó, co-published with Springer</v>
      </c>
      <c r="J1755" s="1">
        <f ca="1">IFERROR(__xludf.DUMMYFUNCTION("""COMPUTED_VALUE"""),2000)</f>
        <v>2000</v>
      </c>
      <c r="K1755" s="1" t="str">
        <f ca="1">IFERROR(__xludf.DUMMYFUNCTION("""COMPUTED_VALUE"""),"Mathematics and Statistics")</f>
        <v>Mathematics and Statistics</v>
      </c>
      <c r="L1755" s="1" t="str">
        <f ca="1">IFERROR(__xludf.DUMMYFUNCTION("""COMPUTED_VALUE"""),"〇")</f>
        <v>〇</v>
      </c>
      <c r="M1755" s="1" t="str">
        <f ca="1">IFERROR(__xludf.DUMMYFUNCTION("""COMPUTED_VALUE"""),"〇")</f>
        <v>〇</v>
      </c>
      <c r="N1755" s="1"/>
      <c r="O1755" s="1"/>
      <c r="P1755" s="1"/>
    </row>
    <row r="1756" spans="1:16" ht="14.25" customHeight="1" x14ac:dyDescent="0.25">
      <c r="A1756" s="1"/>
      <c r="B1756" s="1">
        <f ca="1"/>
        <v>1744</v>
      </c>
      <c r="C1756" s="1">
        <f ca="1">IFERROR(__xludf.DUMMYFUNCTION("""COMPUTED_VALUE"""),2023)</f>
        <v>2023</v>
      </c>
      <c r="D1756" s="1">
        <f ca="1">IFERROR(__xludf.DUMMYFUNCTION("""COMPUTED_VALUE"""),779)</f>
        <v>779</v>
      </c>
      <c r="E1756" s="1" t="str">
        <f ca="1">IFERROR(__xludf.DUMMYFUNCTION("""COMPUTED_VALUE"""),"Personal and Ubiquitous Computing")</f>
        <v>Personal and Ubiquitous Computing</v>
      </c>
      <c r="F1756" s="1" t="str">
        <f ca="1">IFERROR(__xludf.DUMMYFUNCTION("""COMPUTED_VALUE"""),"1617-4917")</f>
        <v>1617-4917</v>
      </c>
      <c r="G1756" s="1" t="str">
        <f ca="1">IFERROR(__xludf.DUMMYFUNCTION("""COMPUTED_VALUE"""),"1617-4909")</f>
        <v>1617-4909</v>
      </c>
      <c r="H1756" s="27" t="str">
        <f ca="1">IFERROR(__xludf.DUMMYFUNCTION("""COMPUTED_VALUE"""),"https://link.springer.com/journal/779")</f>
        <v>https://link.springer.com/journal/779</v>
      </c>
      <c r="I1756" s="1" t="str">
        <f ca="1">IFERROR(__xludf.DUMMYFUNCTION("""COMPUTED_VALUE"""),"Springer")</f>
        <v>Springer</v>
      </c>
      <c r="J1756" s="1">
        <f ca="1">IFERROR(__xludf.DUMMYFUNCTION("""COMPUTED_VALUE"""),2000)</f>
        <v>2000</v>
      </c>
      <c r="K1756" s="1" t="str">
        <f ca="1">IFERROR(__xludf.DUMMYFUNCTION("""COMPUTED_VALUE"""),"Computer Science")</f>
        <v>Computer Science</v>
      </c>
      <c r="L1756" s="1" t="str">
        <f ca="1">IFERROR(__xludf.DUMMYFUNCTION("""COMPUTED_VALUE"""),"〇")</f>
        <v>〇</v>
      </c>
      <c r="M1756" s="1" t="str">
        <f ca="1">IFERROR(__xludf.DUMMYFUNCTION("""COMPUTED_VALUE"""),"〇")</f>
        <v>〇</v>
      </c>
      <c r="N1756" s="1"/>
      <c r="O1756" s="1"/>
      <c r="P1756" s="1"/>
    </row>
    <row r="1757" spans="1:16" ht="14.25" customHeight="1" x14ac:dyDescent="0.25">
      <c r="A1757" s="1"/>
      <c r="B1757" s="1">
        <f ca="1"/>
        <v>1745</v>
      </c>
      <c r="C1757" s="1">
        <f ca="1">IFERROR(__xludf.DUMMYFUNCTION("""COMPUTED_VALUE"""),2023)</f>
        <v>2023</v>
      </c>
      <c r="D1757" s="1">
        <f ca="1">IFERROR(__xludf.DUMMYFUNCTION("""COMPUTED_VALUE"""),40614)</f>
        <v>40614</v>
      </c>
      <c r="E1757" s="1" t="str">
        <f ca="1">IFERROR(__xludf.DUMMYFUNCTION("""COMPUTED_VALUE"""),"Perspectives on Behavior Science")</f>
        <v>Perspectives on Behavior Science</v>
      </c>
      <c r="F1757" s="1" t="str">
        <f ca="1">IFERROR(__xludf.DUMMYFUNCTION("""COMPUTED_VALUE"""),"2520-8977")</f>
        <v>2520-8977</v>
      </c>
      <c r="G1757" s="1" t="str">
        <f ca="1">IFERROR(__xludf.DUMMYFUNCTION("""COMPUTED_VALUE"""),"2520-8969")</f>
        <v>2520-8969</v>
      </c>
      <c r="H1757" s="27" t="str">
        <f ca="1">IFERROR(__xludf.DUMMYFUNCTION("""COMPUTED_VALUE"""),"https://link.springer.com/journal/40614")</f>
        <v>https://link.springer.com/journal/40614</v>
      </c>
      <c r="I1757" s="1" t="str">
        <f ca="1">IFERROR(__xludf.DUMMYFUNCTION("""COMPUTED_VALUE"""),"Springer")</f>
        <v>Springer</v>
      </c>
      <c r="J1757" s="1">
        <f ca="1">IFERROR(__xludf.DUMMYFUNCTION("""COMPUTED_VALUE"""),2000)</f>
        <v>2000</v>
      </c>
      <c r="K1757" s="1" t="str">
        <f ca="1">IFERROR(__xludf.DUMMYFUNCTION("""COMPUTED_VALUE"""),"Behavioral Science and Psychology")</f>
        <v>Behavioral Science and Psychology</v>
      </c>
      <c r="L1757" s="1" t="str">
        <f ca="1">IFERROR(__xludf.DUMMYFUNCTION("""COMPUTED_VALUE"""),"〇")</f>
        <v>〇</v>
      </c>
      <c r="M1757" s="1"/>
      <c r="N1757" s="1" t="str">
        <f ca="1">IFERROR(__xludf.DUMMYFUNCTION("""COMPUTED_VALUE"""),"TO14")</f>
        <v>TO14</v>
      </c>
      <c r="O1757" s="1"/>
      <c r="P1757" s="1"/>
    </row>
    <row r="1758" spans="1:16" ht="14.25" customHeight="1" x14ac:dyDescent="0.25">
      <c r="A1758" s="1"/>
      <c r="B1758" s="1">
        <f ca="1"/>
        <v>1746</v>
      </c>
      <c r="C1758" s="1">
        <f ca="1">IFERROR(__xludf.DUMMYFUNCTION("""COMPUTED_VALUE"""),2023)</f>
        <v>2023</v>
      </c>
      <c r="D1758" s="1">
        <f ca="1">IFERROR(__xludf.DUMMYFUNCTION("""COMPUTED_VALUE"""),11494)</f>
        <v>11494</v>
      </c>
      <c r="E1758" s="1" t="str">
        <f ca="1">IFERROR(__xludf.DUMMYFUNCTION("""COMPUTED_VALUE"""),"Petroleum Chemistry")</f>
        <v>Petroleum Chemistry</v>
      </c>
      <c r="F1758" s="1" t="str">
        <f ca="1">IFERROR(__xludf.DUMMYFUNCTION("""COMPUTED_VALUE"""),"1555-6239")</f>
        <v>1555-6239</v>
      </c>
      <c r="G1758" s="1" t="str">
        <f ca="1">IFERROR(__xludf.DUMMYFUNCTION("""COMPUTED_VALUE"""),"0965-5441")</f>
        <v>0965-5441</v>
      </c>
      <c r="H1758" s="27" t="str">
        <f ca="1">IFERROR(__xludf.DUMMYFUNCTION("""COMPUTED_VALUE"""),"https://link.springer.com/journal/11494")</f>
        <v>https://link.springer.com/journal/11494</v>
      </c>
      <c r="I1758" s="1" t="str">
        <f ca="1">IFERROR(__xludf.DUMMYFUNCTION("""COMPUTED_VALUE"""),"Pleiades Publishing")</f>
        <v>Pleiades Publishing</v>
      </c>
      <c r="J1758" s="1">
        <f ca="1">IFERROR(__xludf.DUMMYFUNCTION("""COMPUTED_VALUE"""),2006)</f>
        <v>2006</v>
      </c>
      <c r="K1758" s="1" t="str">
        <f ca="1">IFERROR(__xludf.DUMMYFUNCTION("""COMPUTED_VALUE"""),"Chemistry and Materials Science")</f>
        <v>Chemistry and Materials Science</v>
      </c>
      <c r="L1758" s="1" t="str">
        <f ca="1">IFERROR(__xludf.DUMMYFUNCTION("""COMPUTED_VALUE"""),"〇")</f>
        <v>〇</v>
      </c>
      <c r="M1758" s="1" t="str">
        <f ca="1">IFERROR(__xludf.DUMMYFUNCTION("""COMPUTED_VALUE"""),"〇")</f>
        <v>〇</v>
      </c>
      <c r="N1758" s="1"/>
      <c r="O1758" s="1"/>
      <c r="P1758" s="1"/>
    </row>
    <row r="1759" spans="1:16" ht="14.25" customHeight="1" x14ac:dyDescent="0.25">
      <c r="A1759" s="1"/>
      <c r="B1759" s="1">
        <f ca="1"/>
        <v>1747</v>
      </c>
      <c r="C1759" s="1">
        <f ca="1">IFERROR(__xludf.DUMMYFUNCTION("""COMPUTED_VALUE"""),2023)</f>
        <v>2023</v>
      </c>
      <c r="D1759" s="1">
        <f ca="1">IFERROR(__xludf.DUMMYFUNCTION("""COMPUTED_VALUE"""),11495)</f>
        <v>11495</v>
      </c>
      <c r="E1759" s="1" t="str">
        <f ca="1">IFERROR(__xludf.DUMMYFUNCTION("""COMPUTED_VALUE"""),"Petrology")</f>
        <v>Petrology</v>
      </c>
      <c r="F1759" s="1" t="str">
        <f ca="1">IFERROR(__xludf.DUMMYFUNCTION("""COMPUTED_VALUE"""),"1556-2085")</f>
        <v>1556-2085</v>
      </c>
      <c r="G1759" s="1" t="str">
        <f ca="1">IFERROR(__xludf.DUMMYFUNCTION("""COMPUTED_VALUE"""),"0869-5911")</f>
        <v>0869-5911</v>
      </c>
      <c r="H1759" s="27" t="str">
        <f ca="1">IFERROR(__xludf.DUMMYFUNCTION("""COMPUTED_VALUE"""),"https://link.springer.com/journal/11495")</f>
        <v>https://link.springer.com/journal/11495</v>
      </c>
      <c r="I1759" s="1" t="str">
        <f ca="1">IFERROR(__xludf.DUMMYFUNCTION("""COMPUTED_VALUE"""),"Pleiades Publishing")</f>
        <v>Pleiades Publishing</v>
      </c>
      <c r="J1759" s="1">
        <f ca="1">IFERROR(__xludf.DUMMYFUNCTION("""COMPUTED_VALUE"""),2006)</f>
        <v>2006</v>
      </c>
      <c r="K1759" s="1" t="str">
        <f ca="1">IFERROR(__xludf.DUMMYFUNCTION("""COMPUTED_VALUE"""),"Earth and Environmental Science")</f>
        <v>Earth and Environmental Science</v>
      </c>
      <c r="L1759" s="1" t="str">
        <f ca="1">IFERROR(__xludf.DUMMYFUNCTION("""COMPUTED_VALUE"""),"〇")</f>
        <v>〇</v>
      </c>
      <c r="M1759" s="1" t="str">
        <f ca="1">IFERROR(__xludf.DUMMYFUNCTION("""COMPUTED_VALUE"""),"〇")</f>
        <v>〇</v>
      </c>
      <c r="N1759" s="1"/>
      <c r="O1759" s="1"/>
      <c r="P1759" s="1"/>
    </row>
    <row r="1760" spans="1:16" ht="14.25" customHeight="1" x14ac:dyDescent="0.25">
      <c r="A1760" s="1"/>
      <c r="B1760" s="1">
        <f ca="1"/>
        <v>1748</v>
      </c>
      <c r="C1760" s="1">
        <f ca="1">IFERROR(__xludf.DUMMYFUNCTION("""COMPUTED_VALUE"""),2023)</f>
        <v>2023</v>
      </c>
      <c r="D1760" s="1">
        <f ca="1">IFERROR(__xludf.DUMMYFUNCTION("""COMPUTED_VALUE"""),41064)</f>
        <v>41064</v>
      </c>
      <c r="E1760" s="1" t="str">
        <f ca="1">IFERROR(__xludf.DUMMYFUNCTION("""COMPUTED_VALUE"""),"PFG – Journal of Photogrammetry, Remote Sensing and Geoinformation Science")</f>
        <v>PFG – Journal of Photogrammetry, Remote Sensing and Geoinformation Science</v>
      </c>
      <c r="F1760" s="1" t="str">
        <f ca="1">IFERROR(__xludf.DUMMYFUNCTION("""COMPUTED_VALUE"""),"2512-2819")</f>
        <v>2512-2819</v>
      </c>
      <c r="G1760" s="1" t="str">
        <f ca="1">IFERROR(__xludf.DUMMYFUNCTION("""COMPUTED_VALUE"""),"2512-2789")</f>
        <v>2512-2789</v>
      </c>
      <c r="H1760" s="27" t="str">
        <f ca="1">IFERROR(__xludf.DUMMYFUNCTION("""COMPUTED_VALUE"""),"https://link.springer.com/journal/41064")</f>
        <v>https://link.springer.com/journal/41064</v>
      </c>
      <c r="I1760" s="1" t="str">
        <f ca="1">IFERROR(__xludf.DUMMYFUNCTION("""COMPUTED_VALUE"""),"Springer")</f>
        <v>Springer</v>
      </c>
      <c r="J1760" s="1">
        <f ca="1">IFERROR(__xludf.DUMMYFUNCTION("""COMPUTED_VALUE"""),2017)</f>
        <v>2017</v>
      </c>
      <c r="K1760" s="1" t="str">
        <f ca="1">IFERROR(__xludf.DUMMYFUNCTION("""COMPUTED_VALUE"""),"Earth and Environmental Science")</f>
        <v>Earth and Environmental Science</v>
      </c>
      <c r="L1760" s="1" t="str">
        <f ca="1">IFERROR(__xludf.DUMMYFUNCTION("""COMPUTED_VALUE"""),"〇")</f>
        <v>〇</v>
      </c>
      <c r="M1760" s="1"/>
      <c r="N1760" s="1" t="str">
        <f ca="1">IFERROR(__xludf.DUMMYFUNCTION("""COMPUTED_VALUE"""),"TO17")</f>
        <v>TO17</v>
      </c>
      <c r="O1760" s="1"/>
      <c r="P1760" s="1"/>
    </row>
    <row r="1761" spans="1:16" ht="14.25" customHeight="1" x14ac:dyDescent="0.25">
      <c r="A1761" s="1"/>
      <c r="B1761" s="1">
        <f ca="1"/>
        <v>1749</v>
      </c>
      <c r="C1761" s="1">
        <f ca="1">IFERROR(__xludf.DUMMYFUNCTION("""COMPUTED_VALUE"""),2023)</f>
        <v>2023</v>
      </c>
      <c r="D1761" s="1">
        <f ca="1">IFERROR(__xludf.DUMMYFUNCTION("""COMPUTED_VALUE"""),41906)</f>
        <v>41906</v>
      </c>
      <c r="E1761" s="1" t="str">
        <f ca="1">IFERROR(__xludf.DUMMYFUNCTION("""COMPUTED_VALUE"""),"Pflegezeitschrift")</f>
        <v>Pflegezeitschrift</v>
      </c>
      <c r="F1761" s="1" t="str">
        <f ca="1">IFERROR(__xludf.DUMMYFUNCTION("""COMPUTED_VALUE"""),"2520-1816")</f>
        <v>2520-1816</v>
      </c>
      <c r="G1761" s="1" t="str">
        <f ca="1">IFERROR(__xludf.DUMMYFUNCTION("""COMPUTED_VALUE"""),"0945-1129")</f>
        <v>0945-1129</v>
      </c>
      <c r="H1761" s="27" t="str">
        <f ca="1">IFERROR(__xludf.DUMMYFUNCTION("""COMPUTED_VALUE"""),"https://link.springer.com/journal/41906")</f>
        <v>https://link.springer.com/journal/41906</v>
      </c>
      <c r="I1761" s="1" t="str">
        <f ca="1">IFERROR(__xludf.DUMMYFUNCTION("""COMPUTED_VALUE"""),"SpringerMedizin")</f>
        <v>SpringerMedizin</v>
      </c>
      <c r="J1761" s="1">
        <f ca="1">IFERROR(__xludf.DUMMYFUNCTION("""COMPUTED_VALUE"""),2017)</f>
        <v>2017</v>
      </c>
      <c r="K1761" s="1" t="str">
        <f ca="1">IFERROR(__xludf.DUMMYFUNCTION("""COMPUTED_VALUE"""),"Medicine")</f>
        <v>Medicine</v>
      </c>
      <c r="L1761" s="1" t="str">
        <f ca="1">IFERROR(__xludf.DUMMYFUNCTION("""COMPUTED_VALUE"""),"〇")</f>
        <v>〇</v>
      </c>
      <c r="M1761" s="1"/>
      <c r="N1761" s="1" t="str">
        <f ca="1">IFERROR(__xludf.DUMMYFUNCTION("""COMPUTED_VALUE"""),"TO17")</f>
        <v>TO17</v>
      </c>
      <c r="O1761" s="1"/>
      <c r="P1761" s="1"/>
    </row>
    <row r="1762" spans="1:16" ht="14.25" customHeight="1" x14ac:dyDescent="0.25">
      <c r="A1762" s="1"/>
      <c r="B1762" s="1">
        <f ca="1"/>
        <v>1750</v>
      </c>
      <c r="C1762" s="1">
        <f ca="1">IFERROR(__xludf.DUMMYFUNCTION("""COMPUTED_VALUE"""),2023)</f>
        <v>2023</v>
      </c>
      <c r="D1762" s="1">
        <f ca="1">IFERROR(__xludf.DUMMYFUNCTION("""COMPUTED_VALUE"""),424)</f>
        <v>424</v>
      </c>
      <c r="E1762" s="1" t="str">
        <f ca="1">IFERROR(__xludf.DUMMYFUNCTION("""COMPUTED_VALUE"""),"Pflügers Archiv - European Journal of Physiology")</f>
        <v>Pflügers Archiv - European Journal of Physiology</v>
      </c>
      <c r="F1762" s="1" t="str">
        <f ca="1">IFERROR(__xludf.DUMMYFUNCTION("""COMPUTED_VALUE"""),"1432-2013")</f>
        <v>1432-2013</v>
      </c>
      <c r="G1762" s="1" t="str">
        <f ca="1">IFERROR(__xludf.DUMMYFUNCTION("""COMPUTED_VALUE"""),"0031-6768")</f>
        <v>0031-6768</v>
      </c>
      <c r="H1762" s="27" t="str">
        <f ca="1">IFERROR(__xludf.DUMMYFUNCTION("""COMPUTED_VALUE"""),"https://link.springer.com/journal/424")</f>
        <v>https://link.springer.com/journal/424</v>
      </c>
      <c r="I1762" s="1" t="str">
        <f ca="1">IFERROR(__xludf.DUMMYFUNCTION("""COMPUTED_VALUE"""),"Springer")</f>
        <v>Springer</v>
      </c>
      <c r="J1762" s="1">
        <f ca="1">IFERROR(__xludf.DUMMYFUNCTION("""COMPUTED_VALUE"""),2000)</f>
        <v>2000</v>
      </c>
      <c r="K1762" s="1" t="str">
        <f ca="1">IFERROR(__xludf.DUMMYFUNCTION("""COMPUTED_VALUE"""),"Biomedical and Life Sciences")</f>
        <v>Biomedical and Life Sciences</v>
      </c>
      <c r="L1762" s="1" t="str">
        <f ca="1">IFERROR(__xludf.DUMMYFUNCTION("""COMPUTED_VALUE"""),"〇")</f>
        <v>〇</v>
      </c>
      <c r="M1762" s="1" t="str">
        <f ca="1">IFERROR(__xludf.DUMMYFUNCTION("""COMPUTED_VALUE"""),"〇")</f>
        <v>〇</v>
      </c>
      <c r="N1762" s="1"/>
      <c r="O1762" s="1"/>
      <c r="P1762" s="1"/>
    </row>
    <row r="1763" spans="1:16" ht="14.25" customHeight="1" x14ac:dyDescent="0.25">
      <c r="A1763" s="1"/>
      <c r="B1763" s="1">
        <f ca="1"/>
        <v>1751</v>
      </c>
      <c r="C1763" s="1">
        <f ca="1">IFERROR(__xludf.DUMMYFUNCTION("""COMPUTED_VALUE"""),2023)</f>
        <v>2023</v>
      </c>
      <c r="D1763" s="1">
        <f ca="1">IFERROR(__xludf.DUMMYFUNCTION("""COMPUTED_VALUE"""),11094)</f>
        <v>11094</v>
      </c>
      <c r="E1763" s="1" t="str">
        <f ca="1">IFERROR(__xludf.DUMMYFUNCTION("""COMPUTED_VALUE"""),"Pharmaceutical Chemistry Journal")</f>
        <v>Pharmaceutical Chemistry Journal</v>
      </c>
      <c r="F1763" s="1" t="str">
        <f ca="1">IFERROR(__xludf.DUMMYFUNCTION("""COMPUTED_VALUE"""),"1573-9031")</f>
        <v>1573-9031</v>
      </c>
      <c r="G1763" s="1" t="str">
        <f ca="1">IFERROR(__xludf.DUMMYFUNCTION("""COMPUTED_VALUE"""),"0091-150X")</f>
        <v>0091-150X</v>
      </c>
      <c r="H1763" s="27" t="str">
        <f ca="1">IFERROR(__xludf.DUMMYFUNCTION("""COMPUTED_VALUE"""),"https://link.springer.com/journal/11094")</f>
        <v>https://link.springer.com/journal/11094</v>
      </c>
      <c r="I1763" s="1" t="str">
        <f ca="1">IFERROR(__xludf.DUMMYFUNCTION("""COMPUTED_VALUE"""),"Springer")</f>
        <v>Springer</v>
      </c>
      <c r="J1763" s="1">
        <f ca="1">IFERROR(__xludf.DUMMYFUNCTION("""COMPUTED_VALUE"""),2000)</f>
        <v>2000</v>
      </c>
      <c r="K1763" s="1" t="str">
        <f ca="1">IFERROR(__xludf.DUMMYFUNCTION("""COMPUTED_VALUE"""),"Medicine")</f>
        <v>Medicine</v>
      </c>
      <c r="L1763" s="1" t="str">
        <f ca="1">IFERROR(__xludf.DUMMYFUNCTION("""COMPUTED_VALUE"""),"〇")</f>
        <v>〇</v>
      </c>
      <c r="M1763" s="1" t="str">
        <f ca="1">IFERROR(__xludf.DUMMYFUNCTION("""COMPUTED_VALUE"""),"〇")</f>
        <v>〇</v>
      </c>
      <c r="N1763" s="1"/>
      <c r="O1763" s="1"/>
      <c r="P1763" s="1"/>
    </row>
    <row r="1764" spans="1:16" ht="14.25" customHeight="1" x14ac:dyDescent="0.25">
      <c r="A1764" s="1"/>
      <c r="B1764" s="1">
        <f ca="1"/>
        <v>1752</v>
      </c>
      <c r="C1764" s="1">
        <f ca="1">IFERROR(__xludf.DUMMYFUNCTION("""COMPUTED_VALUE"""),2023)</f>
        <v>2023</v>
      </c>
      <c r="D1764" s="1">
        <f ca="1">IFERROR(__xludf.DUMMYFUNCTION("""COMPUTED_VALUE"""),11095)</f>
        <v>11095</v>
      </c>
      <c r="E1764" s="1" t="str">
        <f ca="1">IFERROR(__xludf.DUMMYFUNCTION("""COMPUTED_VALUE"""),"Pharmaceutical Research")</f>
        <v>Pharmaceutical Research</v>
      </c>
      <c r="F1764" s="1" t="str">
        <f ca="1">IFERROR(__xludf.DUMMYFUNCTION("""COMPUTED_VALUE"""),"1573-904X")</f>
        <v>1573-904X</v>
      </c>
      <c r="G1764" s="1" t="str">
        <f ca="1">IFERROR(__xludf.DUMMYFUNCTION("""COMPUTED_VALUE"""),"0724-8741")</f>
        <v>0724-8741</v>
      </c>
      <c r="H1764" s="27" t="str">
        <f ca="1">IFERROR(__xludf.DUMMYFUNCTION("""COMPUTED_VALUE"""),"https://link.springer.com/journal/11095")</f>
        <v>https://link.springer.com/journal/11095</v>
      </c>
      <c r="I1764" s="1" t="str">
        <f ca="1">IFERROR(__xludf.DUMMYFUNCTION("""COMPUTED_VALUE"""),"Springer")</f>
        <v>Springer</v>
      </c>
      <c r="J1764" s="1">
        <f ca="1">IFERROR(__xludf.DUMMYFUNCTION("""COMPUTED_VALUE"""),2000)</f>
        <v>2000</v>
      </c>
      <c r="K1764" s="1" t="str">
        <f ca="1">IFERROR(__xludf.DUMMYFUNCTION("""COMPUTED_VALUE"""),"Biomedical and Life Sciences")</f>
        <v>Biomedical and Life Sciences</v>
      </c>
      <c r="L1764" s="1" t="str">
        <f ca="1">IFERROR(__xludf.DUMMYFUNCTION("""COMPUTED_VALUE"""),"〇")</f>
        <v>〇</v>
      </c>
      <c r="M1764" s="1" t="str">
        <f ca="1">IFERROR(__xludf.DUMMYFUNCTION("""COMPUTED_VALUE"""),"〇")</f>
        <v>〇</v>
      </c>
      <c r="N1764" s="1"/>
      <c r="O1764" s="1"/>
      <c r="P1764" s="1"/>
    </row>
    <row r="1765" spans="1:16" ht="14.25" customHeight="1" x14ac:dyDescent="0.25">
      <c r="A1765" s="1"/>
      <c r="B1765" s="1">
        <f ca="1"/>
        <v>1753</v>
      </c>
      <c r="C1765" s="1">
        <f ca="1">IFERROR(__xludf.DUMMYFUNCTION("""COMPUTED_VALUE"""),2023)</f>
        <v>2023</v>
      </c>
      <c r="D1765" s="1">
        <f ca="1">IFERROR(__xludf.DUMMYFUNCTION("""COMPUTED_VALUE"""),43440)</f>
        <v>43440</v>
      </c>
      <c r="E1765" s="1" t="str">
        <f ca="1">IFERROR(__xludf.DUMMYFUNCTION("""COMPUTED_VALUE"""),"Pharmacological Reports")</f>
        <v>Pharmacological Reports</v>
      </c>
      <c r="F1765" s="1" t="str">
        <f ca="1">IFERROR(__xludf.DUMMYFUNCTION("""COMPUTED_VALUE"""),"2299-5684")</f>
        <v>2299-5684</v>
      </c>
      <c r="G1765" s="1"/>
      <c r="H1765" s="27" t="str">
        <f ca="1">IFERROR(__xludf.DUMMYFUNCTION("""COMPUTED_VALUE"""),"https://link.springer.com/journal/43440")</f>
        <v>https://link.springer.com/journal/43440</v>
      </c>
      <c r="I1765" s="1" t="str">
        <f ca="1">IFERROR(__xludf.DUMMYFUNCTION("""COMPUTED_VALUE"""),"Springer")</f>
        <v>Springer</v>
      </c>
      <c r="J1765" s="1">
        <f ca="1">IFERROR(__xludf.DUMMYFUNCTION("""COMPUTED_VALUE"""),2009)</f>
        <v>2009</v>
      </c>
      <c r="K1765" s="1" t="str">
        <f ca="1">IFERROR(__xludf.DUMMYFUNCTION("""COMPUTED_VALUE"""),"Medicine")</f>
        <v>Medicine</v>
      </c>
      <c r="L1765" s="1"/>
      <c r="M1765" s="1"/>
      <c r="N1765" s="1" t="str">
        <f ca="1">IFERROR(__xludf.DUMMYFUNCTION("""COMPUTED_VALUE"""),"TO20")</f>
        <v>TO20</v>
      </c>
      <c r="O1765" s="1"/>
      <c r="P1765" s="1"/>
    </row>
    <row r="1766" spans="1:16" ht="14.25" customHeight="1" x14ac:dyDescent="0.25">
      <c r="A1766" s="1"/>
      <c r="B1766" s="1">
        <f ca="1"/>
        <v>1754</v>
      </c>
      <c r="C1766" s="1">
        <f ca="1">IFERROR(__xludf.DUMMYFUNCTION("""COMPUTED_VALUE"""),2023)</f>
        <v>2023</v>
      </c>
      <c r="D1766" s="1">
        <f ca="1">IFERROR(__xludf.DUMMYFUNCTION("""COMPUTED_VALUE"""),11097)</f>
        <v>11097</v>
      </c>
      <c r="E1766" s="1" t="str">
        <f ca="1">IFERROR(__xludf.DUMMYFUNCTION("""COMPUTED_VALUE"""),"Phenomenology and the Cognitive Sciences")</f>
        <v>Phenomenology and the Cognitive Sciences</v>
      </c>
      <c r="F1766" s="1" t="str">
        <f ca="1">IFERROR(__xludf.DUMMYFUNCTION("""COMPUTED_VALUE"""),"1572-8676")</f>
        <v>1572-8676</v>
      </c>
      <c r="G1766" s="1" t="str">
        <f ca="1">IFERROR(__xludf.DUMMYFUNCTION("""COMPUTED_VALUE"""),"1568-7759")</f>
        <v>1568-7759</v>
      </c>
      <c r="H1766" s="27" t="str">
        <f ca="1">IFERROR(__xludf.DUMMYFUNCTION("""COMPUTED_VALUE"""),"https://link.springer.com/journal/11097")</f>
        <v>https://link.springer.com/journal/11097</v>
      </c>
      <c r="I1766" s="1" t="str">
        <f ca="1">IFERROR(__xludf.DUMMYFUNCTION("""COMPUTED_VALUE"""),"Springer")</f>
        <v>Springer</v>
      </c>
      <c r="J1766" s="1">
        <f ca="1">IFERROR(__xludf.DUMMYFUNCTION("""COMPUTED_VALUE"""),2002)</f>
        <v>2002</v>
      </c>
      <c r="K1766" s="1" t="str">
        <f ca="1">IFERROR(__xludf.DUMMYFUNCTION("""COMPUTED_VALUE"""),"Education")</f>
        <v>Education</v>
      </c>
      <c r="L1766" s="1" t="str">
        <f ca="1">IFERROR(__xludf.DUMMYFUNCTION("""COMPUTED_VALUE"""),"〇")</f>
        <v>〇</v>
      </c>
      <c r="M1766" s="1" t="str">
        <f ca="1">IFERROR(__xludf.DUMMYFUNCTION("""COMPUTED_VALUE"""),"〇")</f>
        <v>〇</v>
      </c>
      <c r="N1766" s="1"/>
      <c r="O1766" s="1"/>
      <c r="P1766" s="1"/>
    </row>
    <row r="1767" spans="1:16" ht="14.25" customHeight="1" x14ac:dyDescent="0.25">
      <c r="A1767" s="1"/>
      <c r="B1767" s="1">
        <f ca="1"/>
        <v>1755</v>
      </c>
      <c r="C1767" s="1">
        <f ca="1">IFERROR(__xludf.DUMMYFUNCTION("""COMPUTED_VALUE"""),2023)</f>
        <v>2023</v>
      </c>
      <c r="D1767" s="1">
        <f ca="1">IFERROR(__xludf.DUMMYFUNCTION("""COMPUTED_VALUE"""),43657)</f>
        <v>43657</v>
      </c>
      <c r="E1767" s="1" t="str">
        <f ca="1">IFERROR(__xludf.DUMMYFUNCTION("""COMPUTED_VALUE"""),"Phenomics")</f>
        <v>Phenomics</v>
      </c>
      <c r="F1767" s="1" t="str">
        <f ca="1">IFERROR(__xludf.DUMMYFUNCTION("""COMPUTED_VALUE"""),"2730-5848")</f>
        <v>2730-5848</v>
      </c>
      <c r="G1767" s="1" t="str">
        <f ca="1">IFERROR(__xludf.DUMMYFUNCTION("""COMPUTED_VALUE"""),"2730-583X")</f>
        <v>2730-583X</v>
      </c>
      <c r="H1767" s="27" t="str">
        <f ca="1">IFERROR(__xludf.DUMMYFUNCTION("""COMPUTED_VALUE"""),"https://link.springer.com/journal/43657")</f>
        <v>https://link.springer.com/journal/43657</v>
      </c>
      <c r="I1767" s="1" t="str">
        <f ca="1">IFERROR(__xludf.DUMMYFUNCTION("""COMPUTED_VALUE"""),"Springer")</f>
        <v>Springer</v>
      </c>
      <c r="J1767" s="1">
        <f ca="1">IFERROR(__xludf.DUMMYFUNCTION("""COMPUTED_VALUE"""),2021)</f>
        <v>2021</v>
      </c>
      <c r="K1767" s="1" t="str">
        <f ca="1">IFERROR(__xludf.DUMMYFUNCTION("""COMPUTED_VALUE"""),"Biomedical and Life Sciences")</f>
        <v>Biomedical and Life Sciences</v>
      </c>
      <c r="L1767" s="1" t="str">
        <f ca="1">IFERROR(__xludf.DUMMYFUNCTION("""COMPUTED_VALUE"""),"〇")</f>
        <v>〇</v>
      </c>
      <c r="M1767" s="1"/>
      <c r="N1767" s="1" t="str">
        <f ca="1">IFERROR(__xludf.DUMMYFUNCTION("""COMPUTED_VALUE"""),"SNS21")</f>
        <v>SNS21</v>
      </c>
      <c r="O1767" s="1"/>
      <c r="P1767" s="1"/>
    </row>
    <row r="1768" spans="1:16" ht="14.25" customHeight="1" x14ac:dyDescent="0.25">
      <c r="A1768" s="1"/>
      <c r="B1768" s="1">
        <f ca="1"/>
        <v>1756</v>
      </c>
      <c r="C1768" s="1">
        <f ca="1">IFERROR(__xludf.DUMMYFUNCTION("""COMPUTED_VALUE"""),2023)</f>
        <v>2023</v>
      </c>
      <c r="D1768" s="1">
        <f ca="1">IFERROR(__xludf.DUMMYFUNCTION("""COMPUTED_VALUE"""),11406)</f>
        <v>11406</v>
      </c>
      <c r="E1768" s="1" t="str">
        <f ca="1">IFERROR(__xludf.DUMMYFUNCTION("""COMPUTED_VALUE"""),"Philosophia")</f>
        <v>Philosophia</v>
      </c>
      <c r="F1768" s="1" t="str">
        <f ca="1">IFERROR(__xludf.DUMMYFUNCTION("""COMPUTED_VALUE"""),"1574-9274")</f>
        <v>1574-9274</v>
      </c>
      <c r="G1768" s="1" t="str">
        <f ca="1">IFERROR(__xludf.DUMMYFUNCTION("""COMPUTED_VALUE"""),"0048-3893")</f>
        <v>0048-3893</v>
      </c>
      <c r="H1768" s="27" t="str">
        <f ca="1">IFERROR(__xludf.DUMMYFUNCTION("""COMPUTED_VALUE"""),"https://link.springer.com/journal/11406")</f>
        <v>https://link.springer.com/journal/11406</v>
      </c>
      <c r="I1768" s="1" t="str">
        <f ca="1">IFERROR(__xludf.DUMMYFUNCTION("""COMPUTED_VALUE"""),"Springer")</f>
        <v>Springer</v>
      </c>
      <c r="J1768" s="1">
        <f ca="1">IFERROR(__xludf.DUMMYFUNCTION("""COMPUTED_VALUE"""),2000)</f>
        <v>2000</v>
      </c>
      <c r="K1768" s="1" t="str">
        <f ca="1">IFERROR(__xludf.DUMMYFUNCTION("""COMPUTED_VALUE"""),"Education")</f>
        <v>Education</v>
      </c>
      <c r="L1768" s="1" t="str">
        <f ca="1">IFERROR(__xludf.DUMMYFUNCTION("""COMPUTED_VALUE"""),"〇")</f>
        <v>〇</v>
      </c>
      <c r="M1768" s="1" t="str">
        <f ca="1">IFERROR(__xludf.DUMMYFUNCTION("""COMPUTED_VALUE"""),"〇")</f>
        <v>〇</v>
      </c>
      <c r="N1768" s="1"/>
      <c r="O1768" s="1"/>
      <c r="P1768" s="1"/>
    </row>
    <row r="1769" spans="1:16" ht="14.25" customHeight="1" x14ac:dyDescent="0.25">
      <c r="A1769" s="1"/>
      <c r="B1769" s="1">
        <f ca="1"/>
        <v>1757</v>
      </c>
      <c r="C1769" s="1">
        <f ca="1">IFERROR(__xludf.DUMMYFUNCTION("""COMPUTED_VALUE"""),2023)</f>
        <v>2023</v>
      </c>
      <c r="D1769" s="1">
        <f ca="1">IFERROR(__xludf.DUMMYFUNCTION("""COMPUTED_VALUE"""),11098)</f>
        <v>11098</v>
      </c>
      <c r="E1769" s="1" t="str">
        <f ca="1">IFERROR(__xludf.DUMMYFUNCTION("""COMPUTED_VALUE"""),"Philosophical Studies")</f>
        <v>Philosophical Studies</v>
      </c>
      <c r="F1769" s="1" t="str">
        <f ca="1">IFERROR(__xludf.DUMMYFUNCTION("""COMPUTED_VALUE"""),"1573-0883")</f>
        <v>1573-0883</v>
      </c>
      <c r="G1769" s="1" t="str">
        <f ca="1">IFERROR(__xludf.DUMMYFUNCTION("""COMPUTED_VALUE"""),"0031-8116")</f>
        <v>0031-8116</v>
      </c>
      <c r="H1769" s="27" t="str">
        <f ca="1">IFERROR(__xludf.DUMMYFUNCTION("""COMPUTED_VALUE"""),"https://link.springer.com/journal/11098")</f>
        <v>https://link.springer.com/journal/11098</v>
      </c>
      <c r="I1769" s="1" t="str">
        <f ca="1">IFERROR(__xludf.DUMMYFUNCTION("""COMPUTED_VALUE"""),"Springer")</f>
        <v>Springer</v>
      </c>
      <c r="J1769" s="1">
        <f ca="1">IFERROR(__xludf.DUMMYFUNCTION("""COMPUTED_VALUE"""),2000)</f>
        <v>2000</v>
      </c>
      <c r="K1769" s="1" t="str">
        <f ca="1">IFERROR(__xludf.DUMMYFUNCTION("""COMPUTED_VALUE"""),"Education")</f>
        <v>Education</v>
      </c>
      <c r="L1769" s="1" t="str">
        <f ca="1">IFERROR(__xludf.DUMMYFUNCTION("""COMPUTED_VALUE"""),"〇")</f>
        <v>〇</v>
      </c>
      <c r="M1769" s="1" t="str">
        <f ca="1">IFERROR(__xludf.DUMMYFUNCTION("""COMPUTED_VALUE"""),"〇")</f>
        <v>〇</v>
      </c>
      <c r="N1769" s="1"/>
      <c r="O1769" s="1"/>
      <c r="P1769" s="1"/>
    </row>
    <row r="1770" spans="1:16" ht="14.25" customHeight="1" x14ac:dyDescent="0.25">
      <c r="A1770" s="1"/>
      <c r="B1770" s="1">
        <f ca="1"/>
        <v>1758</v>
      </c>
      <c r="C1770" s="1">
        <f ca="1">IFERROR(__xludf.DUMMYFUNCTION("""COMPUTED_VALUE"""),2023)</f>
        <v>2023</v>
      </c>
      <c r="D1770" s="1">
        <f ca="1">IFERROR(__xludf.DUMMYFUNCTION("""COMPUTED_VALUE"""),13347)</f>
        <v>13347</v>
      </c>
      <c r="E1770" s="1" t="str">
        <f ca="1">IFERROR(__xludf.DUMMYFUNCTION("""COMPUTED_VALUE"""),"Philosophy &amp; Technology")</f>
        <v>Philosophy &amp; Technology</v>
      </c>
      <c r="F1770" s="1" t="str">
        <f ca="1">IFERROR(__xludf.DUMMYFUNCTION("""COMPUTED_VALUE"""),"2210-5441")</f>
        <v>2210-5441</v>
      </c>
      <c r="G1770" s="1" t="str">
        <f ca="1">IFERROR(__xludf.DUMMYFUNCTION("""COMPUTED_VALUE"""),"2210-5433")</f>
        <v>2210-5433</v>
      </c>
      <c r="H1770" s="27" t="str">
        <f ca="1">IFERROR(__xludf.DUMMYFUNCTION("""COMPUTED_VALUE"""),"https://link.springer.com/journal/13347")</f>
        <v>https://link.springer.com/journal/13347</v>
      </c>
      <c r="I1770" s="1" t="str">
        <f ca="1">IFERROR(__xludf.DUMMYFUNCTION("""COMPUTED_VALUE"""),"Springer")</f>
        <v>Springer</v>
      </c>
      <c r="J1770" s="1">
        <f ca="1">IFERROR(__xludf.DUMMYFUNCTION("""COMPUTED_VALUE"""),2011)</f>
        <v>2011</v>
      </c>
      <c r="K1770" s="1" t="str">
        <f ca="1">IFERROR(__xludf.DUMMYFUNCTION("""COMPUTED_VALUE"""),"Education")</f>
        <v>Education</v>
      </c>
      <c r="L1770" s="1" t="str">
        <f ca="1">IFERROR(__xludf.DUMMYFUNCTION("""COMPUTED_VALUE"""),"〇")</f>
        <v>〇</v>
      </c>
      <c r="M1770" s="1" t="str">
        <f ca="1">IFERROR(__xludf.DUMMYFUNCTION("""COMPUTED_VALUE"""),"〇")</f>
        <v>〇</v>
      </c>
      <c r="N1770" s="1"/>
      <c r="O1770" s="1"/>
      <c r="P1770" s="1"/>
    </row>
    <row r="1771" spans="1:16" ht="14.25" customHeight="1" x14ac:dyDescent="0.25">
      <c r="A1771" s="1"/>
      <c r="B1771" s="1">
        <f ca="1"/>
        <v>1759</v>
      </c>
      <c r="C1771" s="1">
        <f ca="1">IFERROR(__xludf.DUMMYFUNCTION("""COMPUTED_VALUE"""),2023)</f>
        <v>2023</v>
      </c>
      <c r="D1771" s="1">
        <f ca="1">IFERROR(__xludf.DUMMYFUNCTION("""COMPUTED_VALUE"""),40926)</f>
        <v>40926</v>
      </c>
      <c r="E1771" s="1" t="str">
        <f ca="1">IFERROR(__xludf.DUMMYFUNCTION("""COMPUTED_VALUE"""),"Philosophy of Management")</f>
        <v>Philosophy of Management</v>
      </c>
      <c r="F1771" s="1" t="str">
        <f ca="1">IFERROR(__xludf.DUMMYFUNCTION("""COMPUTED_VALUE"""),"2052-9597")</f>
        <v>2052-9597</v>
      </c>
      <c r="G1771" s="1" t="str">
        <f ca="1">IFERROR(__xludf.DUMMYFUNCTION("""COMPUTED_VALUE"""),"1740-3812")</f>
        <v>1740-3812</v>
      </c>
      <c r="H1771" s="27" t="str">
        <f ca="1">IFERROR(__xludf.DUMMYFUNCTION("""COMPUTED_VALUE"""),"https://link.springer.com/journal/40926")</f>
        <v>https://link.springer.com/journal/40926</v>
      </c>
      <c r="I1771" s="1" t="str">
        <f ca="1">IFERROR(__xludf.DUMMYFUNCTION("""COMPUTED_VALUE"""),"Springer")</f>
        <v>Springer</v>
      </c>
      <c r="J1771" s="1">
        <f ca="1">IFERROR(__xludf.DUMMYFUNCTION("""COMPUTED_VALUE"""),2001)</f>
        <v>2001</v>
      </c>
      <c r="K1771" s="1" t="str">
        <f ca="1">IFERROR(__xludf.DUMMYFUNCTION("""COMPUTED_VALUE"""),"Education")</f>
        <v>Education</v>
      </c>
      <c r="L1771" s="1" t="str">
        <f ca="1">IFERROR(__xludf.DUMMYFUNCTION("""COMPUTED_VALUE"""),"〇")</f>
        <v>〇</v>
      </c>
      <c r="M1771" s="1"/>
      <c r="N1771" s="1" t="str">
        <f ca="1">IFERROR(__xludf.DUMMYFUNCTION("""COMPUTED_VALUE"""),"TO15")</f>
        <v>TO15</v>
      </c>
      <c r="O1771" s="1"/>
      <c r="P1771" s="1"/>
    </row>
    <row r="1772" spans="1:16" ht="14.25" customHeight="1" x14ac:dyDescent="0.25">
      <c r="A1772" s="1"/>
      <c r="B1772" s="1">
        <f ca="1"/>
        <v>1760</v>
      </c>
      <c r="C1772" s="1">
        <f ca="1">IFERROR(__xludf.DUMMYFUNCTION("""COMPUTED_VALUE"""),2023)</f>
        <v>2023</v>
      </c>
      <c r="D1772" s="1">
        <f ca="1">IFERROR(__xludf.DUMMYFUNCTION("""COMPUTED_VALUE"""),11107)</f>
        <v>11107</v>
      </c>
      <c r="E1772" s="1" t="str">
        <f ca="1">IFERROR(__xludf.DUMMYFUNCTION("""COMPUTED_VALUE"""),"Photonic Network Communications")</f>
        <v>Photonic Network Communications</v>
      </c>
      <c r="F1772" s="1" t="str">
        <f ca="1">IFERROR(__xludf.DUMMYFUNCTION("""COMPUTED_VALUE"""),"1572-8188")</f>
        <v>1572-8188</v>
      </c>
      <c r="G1772" s="1" t="str">
        <f ca="1">IFERROR(__xludf.DUMMYFUNCTION("""COMPUTED_VALUE"""),"1387-974X")</f>
        <v>1387-974X</v>
      </c>
      <c r="H1772" s="27" t="str">
        <f ca="1">IFERROR(__xludf.DUMMYFUNCTION("""COMPUTED_VALUE"""),"https://link.springer.com/journal/11107")</f>
        <v>https://link.springer.com/journal/11107</v>
      </c>
      <c r="I1772" s="1" t="str">
        <f ca="1">IFERROR(__xludf.DUMMYFUNCTION("""COMPUTED_VALUE"""),"Springer")</f>
        <v>Springer</v>
      </c>
      <c r="J1772" s="1">
        <f ca="1">IFERROR(__xludf.DUMMYFUNCTION("""COMPUTED_VALUE"""),2000)</f>
        <v>2000</v>
      </c>
      <c r="K1772" s="1" t="str">
        <f ca="1">IFERROR(__xludf.DUMMYFUNCTION("""COMPUTED_VALUE"""),"Computer Science")</f>
        <v>Computer Science</v>
      </c>
      <c r="L1772" s="1" t="str">
        <f ca="1">IFERROR(__xludf.DUMMYFUNCTION("""COMPUTED_VALUE"""),"〇")</f>
        <v>〇</v>
      </c>
      <c r="M1772" s="1" t="str">
        <f ca="1">IFERROR(__xludf.DUMMYFUNCTION("""COMPUTED_VALUE"""),"〇")</f>
        <v>〇</v>
      </c>
      <c r="N1772" s="1"/>
      <c r="O1772" s="1"/>
      <c r="P1772" s="1"/>
    </row>
    <row r="1773" spans="1:16" ht="14.25" customHeight="1" x14ac:dyDescent="0.25">
      <c r="A1773" s="1"/>
      <c r="B1773" s="1">
        <f ca="1"/>
        <v>1761</v>
      </c>
      <c r="C1773" s="1">
        <f ca="1">IFERROR(__xludf.DUMMYFUNCTION("""COMPUTED_VALUE"""),2023)</f>
        <v>2023</v>
      </c>
      <c r="D1773" s="1">
        <f ca="1">IFERROR(__xludf.DUMMYFUNCTION("""COMPUTED_VALUE"""),11120)</f>
        <v>11120</v>
      </c>
      <c r="E1773" s="1" t="str">
        <f ca="1">IFERROR(__xludf.DUMMYFUNCTION("""COMPUTED_VALUE"""),"Photosynthesis Research")</f>
        <v>Photosynthesis Research</v>
      </c>
      <c r="F1773" s="1" t="str">
        <f ca="1">IFERROR(__xludf.DUMMYFUNCTION("""COMPUTED_VALUE"""),"1573-5079")</f>
        <v>1573-5079</v>
      </c>
      <c r="G1773" s="1" t="str">
        <f ca="1">IFERROR(__xludf.DUMMYFUNCTION("""COMPUTED_VALUE"""),"0166-8595")</f>
        <v>0166-8595</v>
      </c>
      <c r="H1773" s="27" t="str">
        <f ca="1">IFERROR(__xludf.DUMMYFUNCTION("""COMPUTED_VALUE"""),"https://link.springer.com/journal/11120")</f>
        <v>https://link.springer.com/journal/11120</v>
      </c>
      <c r="I1773" s="1" t="str">
        <f ca="1">IFERROR(__xludf.DUMMYFUNCTION("""COMPUTED_VALUE"""),"Springer")</f>
        <v>Springer</v>
      </c>
      <c r="J1773" s="1">
        <f ca="1">IFERROR(__xludf.DUMMYFUNCTION("""COMPUTED_VALUE"""),2000)</f>
        <v>2000</v>
      </c>
      <c r="K1773" s="1" t="str">
        <f ca="1">IFERROR(__xludf.DUMMYFUNCTION("""COMPUTED_VALUE"""),"Biomedical and Life Sciences")</f>
        <v>Biomedical and Life Sciences</v>
      </c>
      <c r="L1773" s="1" t="str">
        <f ca="1">IFERROR(__xludf.DUMMYFUNCTION("""COMPUTED_VALUE"""),"〇")</f>
        <v>〇</v>
      </c>
      <c r="M1773" s="1" t="str">
        <f ca="1">IFERROR(__xludf.DUMMYFUNCTION("""COMPUTED_VALUE"""),"〇")</f>
        <v>〇</v>
      </c>
      <c r="N1773" s="1"/>
      <c r="O1773" s="1"/>
      <c r="P1773" s="1"/>
    </row>
    <row r="1774" spans="1:16" ht="14.25" customHeight="1" x14ac:dyDescent="0.25">
      <c r="A1774" s="1"/>
      <c r="B1774" s="1">
        <f ca="1"/>
        <v>1762</v>
      </c>
      <c r="C1774" s="1">
        <f ca="1">IFERROR(__xludf.DUMMYFUNCTION("""COMPUTED_VALUE"""),2023)</f>
        <v>2023</v>
      </c>
      <c r="D1774" s="1">
        <f ca="1">IFERROR(__xludf.DUMMYFUNCTION("""COMPUTED_VALUE"""),13246)</f>
        <v>13246</v>
      </c>
      <c r="E1774" s="1" t="str">
        <f ca="1">IFERROR(__xludf.DUMMYFUNCTION("""COMPUTED_VALUE"""),"Physical and Engineering Sciences in Medicine")</f>
        <v>Physical and Engineering Sciences in Medicine</v>
      </c>
      <c r="F1774" s="1" t="str">
        <f ca="1">IFERROR(__xludf.DUMMYFUNCTION("""COMPUTED_VALUE"""),"2662-4737")</f>
        <v>2662-4737</v>
      </c>
      <c r="G1774" s="1"/>
      <c r="H1774" s="27" t="str">
        <f ca="1">IFERROR(__xludf.DUMMYFUNCTION("""COMPUTED_VALUE"""),"https://link.springer.com/journal/13246")</f>
        <v>https://link.springer.com/journal/13246</v>
      </c>
      <c r="I1774" s="1" t="str">
        <f ca="1">IFERROR(__xludf.DUMMYFUNCTION("""COMPUTED_VALUE"""),"Springer")</f>
        <v>Springer</v>
      </c>
      <c r="J1774" s="1">
        <f ca="1">IFERROR(__xludf.DUMMYFUNCTION("""COMPUTED_VALUE"""),2001)</f>
        <v>2001</v>
      </c>
      <c r="K1774" s="1" t="str">
        <f ca="1">IFERROR(__xludf.DUMMYFUNCTION("""COMPUTED_VALUE"""),"Biomedical and Life Sciences")</f>
        <v>Biomedical and Life Sciences</v>
      </c>
      <c r="L1774" s="1"/>
      <c r="M1774" s="1"/>
      <c r="N1774" s="1" t="str">
        <f ca="1">IFERROR(__xludf.DUMMYFUNCTION("""COMPUTED_VALUE"""),"TO10")</f>
        <v>TO10</v>
      </c>
      <c r="O1774" s="1"/>
      <c r="P1774" s="1"/>
    </row>
    <row r="1775" spans="1:16" ht="14.25" customHeight="1" x14ac:dyDescent="0.25">
      <c r="A1775" s="1"/>
      <c r="B1775" s="1">
        <f ca="1"/>
        <v>1763</v>
      </c>
      <c r="C1775" s="1">
        <f ca="1">IFERROR(__xludf.DUMMYFUNCTION("""COMPUTED_VALUE"""),2023)</f>
        <v>2023</v>
      </c>
      <c r="D1775" s="1">
        <f ca="1">IFERROR(__xludf.DUMMYFUNCTION("""COMPUTED_VALUE"""),40334)</f>
        <v>40334</v>
      </c>
      <c r="E1775" s="1" t="str">
        <f ca="1">IFERROR(__xludf.DUMMYFUNCTION("""COMPUTED_VALUE"""),"Physical Mesomechanics")</f>
        <v>Physical Mesomechanics</v>
      </c>
      <c r="F1775" s="1" t="str">
        <f ca="1">IFERROR(__xludf.DUMMYFUNCTION("""COMPUTED_VALUE"""),"1990-5424")</f>
        <v>1990-5424</v>
      </c>
      <c r="G1775" s="1" t="str">
        <f ca="1">IFERROR(__xludf.DUMMYFUNCTION("""COMPUTED_VALUE"""),"1029-9599")</f>
        <v>1029-9599</v>
      </c>
      <c r="H1775" s="27" t="str">
        <f ca="1">IFERROR(__xludf.DUMMYFUNCTION("""COMPUTED_VALUE"""),"https://link.springer.com/journal/40334")</f>
        <v>https://link.springer.com/journal/40334</v>
      </c>
      <c r="I1775" s="1" t="str">
        <f ca="1">IFERROR(__xludf.DUMMYFUNCTION("""COMPUTED_VALUE"""),"Pleiades Publishing")</f>
        <v>Pleiades Publishing</v>
      </c>
      <c r="J1775" s="1">
        <f ca="1">IFERROR(__xludf.DUMMYFUNCTION("""COMPUTED_VALUE"""),2012)</f>
        <v>2012</v>
      </c>
      <c r="K1775" s="1" t="str">
        <f ca="1">IFERROR(__xludf.DUMMYFUNCTION("""COMPUTED_VALUE"""),"Physics and Astronomy")</f>
        <v>Physics and Astronomy</v>
      </c>
      <c r="L1775" s="1" t="str">
        <f ca="1">IFERROR(__xludf.DUMMYFUNCTION("""COMPUTED_VALUE"""),"〇")</f>
        <v>〇</v>
      </c>
      <c r="M1775" s="1"/>
      <c r="N1775" s="1" t="str">
        <f ca="1">IFERROR(__xludf.DUMMYFUNCTION("""COMPUTED_VALUE"""),"TO13")</f>
        <v>TO13</v>
      </c>
      <c r="O1775" s="1"/>
      <c r="P1775" s="1"/>
    </row>
    <row r="1776" spans="1:16" ht="14.25" customHeight="1" x14ac:dyDescent="0.25">
      <c r="A1776" s="1"/>
      <c r="B1776" s="1">
        <f ca="1"/>
        <v>1764</v>
      </c>
      <c r="C1776" s="1">
        <f ca="1">IFERROR(__xludf.DUMMYFUNCTION("""COMPUTED_VALUE"""),2023)</f>
        <v>2023</v>
      </c>
      <c r="D1776" s="1">
        <f ca="1">IFERROR(__xludf.DUMMYFUNCTION("""COMPUTED_VALUE"""),269)</f>
        <v>269</v>
      </c>
      <c r="E1776" s="1" t="str">
        <f ca="1">IFERROR(__xludf.DUMMYFUNCTION("""COMPUTED_VALUE"""),"Physics and Chemistry of Minerals")</f>
        <v>Physics and Chemistry of Minerals</v>
      </c>
      <c r="F1776" s="1" t="str">
        <f ca="1">IFERROR(__xludf.DUMMYFUNCTION("""COMPUTED_VALUE"""),"1432-2021")</f>
        <v>1432-2021</v>
      </c>
      <c r="G1776" s="1" t="str">
        <f ca="1">IFERROR(__xludf.DUMMYFUNCTION("""COMPUTED_VALUE"""),"0342-1791")</f>
        <v>0342-1791</v>
      </c>
      <c r="H1776" s="27" t="str">
        <f ca="1">IFERROR(__xludf.DUMMYFUNCTION("""COMPUTED_VALUE"""),"https://link.springer.com/journal/269")</f>
        <v>https://link.springer.com/journal/269</v>
      </c>
      <c r="I1776" s="1" t="str">
        <f ca="1">IFERROR(__xludf.DUMMYFUNCTION("""COMPUTED_VALUE"""),"Springer")</f>
        <v>Springer</v>
      </c>
      <c r="J1776" s="1">
        <f ca="1">IFERROR(__xludf.DUMMYFUNCTION("""COMPUTED_VALUE"""),2000)</f>
        <v>2000</v>
      </c>
      <c r="K1776" s="1" t="str">
        <f ca="1">IFERROR(__xludf.DUMMYFUNCTION("""COMPUTED_VALUE"""),"Earth and Environmental Science")</f>
        <v>Earth and Environmental Science</v>
      </c>
      <c r="L1776" s="1" t="str">
        <f ca="1">IFERROR(__xludf.DUMMYFUNCTION("""COMPUTED_VALUE"""),"〇")</f>
        <v>〇</v>
      </c>
      <c r="M1776" s="1" t="str">
        <f ca="1">IFERROR(__xludf.DUMMYFUNCTION("""COMPUTED_VALUE"""),"〇")</f>
        <v>〇</v>
      </c>
      <c r="N1776" s="1"/>
      <c r="O1776" s="1"/>
      <c r="P1776" s="1"/>
    </row>
    <row r="1777" spans="1:16" ht="14.25" customHeight="1" x14ac:dyDescent="0.25">
      <c r="A1777" s="1"/>
      <c r="B1777" s="1">
        <f ca="1"/>
        <v>1765</v>
      </c>
      <c r="C1777" s="1">
        <f ca="1">IFERROR(__xludf.DUMMYFUNCTION("""COMPUTED_VALUE"""),2023)</f>
        <v>2023</v>
      </c>
      <c r="D1777" s="1">
        <f ca="1">IFERROR(__xludf.DUMMYFUNCTION("""COMPUTED_VALUE"""),16)</f>
        <v>16</v>
      </c>
      <c r="E1777" s="1" t="str">
        <f ca="1">IFERROR(__xludf.DUMMYFUNCTION("""COMPUTED_VALUE"""),"Physics in Perspective")</f>
        <v>Physics in Perspective</v>
      </c>
      <c r="F1777" s="1" t="str">
        <f ca="1">IFERROR(__xludf.DUMMYFUNCTION("""COMPUTED_VALUE"""),"1422-6960")</f>
        <v>1422-6960</v>
      </c>
      <c r="G1777" s="1" t="str">
        <f ca="1">IFERROR(__xludf.DUMMYFUNCTION("""COMPUTED_VALUE"""),"1422-6944")</f>
        <v>1422-6944</v>
      </c>
      <c r="H1777" s="27" t="str">
        <f ca="1">IFERROR(__xludf.DUMMYFUNCTION("""COMPUTED_VALUE"""),"https://link.springer.com/journal/16")</f>
        <v>https://link.springer.com/journal/16</v>
      </c>
      <c r="I1777" s="1" t="str">
        <f ca="1">IFERROR(__xludf.DUMMYFUNCTION("""COMPUTED_VALUE"""),"Birkhäuser")</f>
        <v>Birkhäuser</v>
      </c>
      <c r="J1777" s="1">
        <f ca="1">IFERROR(__xludf.DUMMYFUNCTION("""COMPUTED_VALUE"""),2000)</f>
        <v>2000</v>
      </c>
      <c r="K1777" s="1" t="str">
        <f ca="1">IFERROR(__xludf.DUMMYFUNCTION("""COMPUTED_VALUE"""),"Physics and Astronomy")</f>
        <v>Physics and Astronomy</v>
      </c>
      <c r="L1777" s="1" t="str">
        <f ca="1">IFERROR(__xludf.DUMMYFUNCTION("""COMPUTED_VALUE"""),"〇")</f>
        <v>〇</v>
      </c>
      <c r="M1777" s="1" t="str">
        <f ca="1">IFERROR(__xludf.DUMMYFUNCTION("""COMPUTED_VALUE"""),"〇")</f>
        <v>〇</v>
      </c>
      <c r="N1777" s="1"/>
      <c r="O1777" s="1"/>
      <c r="P1777" s="1"/>
    </row>
    <row r="1778" spans="1:16" ht="14.25" customHeight="1" x14ac:dyDescent="0.25">
      <c r="A1778" s="1"/>
      <c r="B1778" s="1">
        <f ca="1"/>
        <v>1766</v>
      </c>
      <c r="C1778" s="1">
        <f ca="1">IFERROR(__xludf.DUMMYFUNCTION("""COMPUTED_VALUE"""),2023)</f>
        <v>2023</v>
      </c>
      <c r="D1778" s="1">
        <f ca="1">IFERROR(__xludf.DUMMYFUNCTION("""COMPUTED_VALUE"""),11450)</f>
        <v>11450</v>
      </c>
      <c r="E1778" s="1" t="str">
        <f ca="1">IFERROR(__xludf.DUMMYFUNCTION("""COMPUTED_VALUE"""),"Physics of Atomic Nuclei")</f>
        <v>Physics of Atomic Nuclei</v>
      </c>
      <c r="F1778" s="1" t="str">
        <f ca="1">IFERROR(__xludf.DUMMYFUNCTION("""COMPUTED_VALUE"""),"1562-692X")</f>
        <v>1562-692X</v>
      </c>
      <c r="G1778" s="1" t="str">
        <f ca="1">IFERROR(__xludf.DUMMYFUNCTION("""COMPUTED_VALUE"""),"1063-7788")</f>
        <v>1063-7788</v>
      </c>
      <c r="H1778" s="27" t="str">
        <f ca="1">IFERROR(__xludf.DUMMYFUNCTION("""COMPUTED_VALUE"""),"https://link.springer.com/journal/11450")</f>
        <v>https://link.springer.com/journal/11450</v>
      </c>
      <c r="I1778" s="1" t="str">
        <f ca="1">IFERROR(__xludf.DUMMYFUNCTION("""COMPUTED_VALUE"""),"Pleiades Publishing")</f>
        <v>Pleiades Publishing</v>
      </c>
      <c r="J1778" s="1">
        <f ca="1">IFERROR(__xludf.DUMMYFUNCTION("""COMPUTED_VALUE"""),2000)</f>
        <v>2000</v>
      </c>
      <c r="K1778" s="1" t="str">
        <f ca="1">IFERROR(__xludf.DUMMYFUNCTION("""COMPUTED_VALUE"""),"Physics and Astronomy")</f>
        <v>Physics and Astronomy</v>
      </c>
      <c r="L1778" s="1" t="str">
        <f ca="1">IFERROR(__xludf.DUMMYFUNCTION("""COMPUTED_VALUE"""),"〇")</f>
        <v>〇</v>
      </c>
      <c r="M1778" s="1" t="str">
        <f ca="1">IFERROR(__xludf.DUMMYFUNCTION("""COMPUTED_VALUE"""),"〇")</f>
        <v>〇</v>
      </c>
      <c r="N1778" s="1"/>
      <c r="O1778" s="1"/>
      <c r="P1778" s="1"/>
    </row>
    <row r="1779" spans="1:16" ht="14.25" customHeight="1" x14ac:dyDescent="0.25">
      <c r="A1779" s="1"/>
      <c r="B1779" s="1">
        <f ca="1"/>
        <v>1767</v>
      </c>
      <c r="C1779" s="1">
        <f ca="1">IFERROR(__xludf.DUMMYFUNCTION("""COMPUTED_VALUE"""),2023)</f>
        <v>2023</v>
      </c>
      <c r="D1779" s="1">
        <f ca="1">IFERROR(__xludf.DUMMYFUNCTION("""COMPUTED_VALUE"""),11508)</f>
        <v>11508</v>
      </c>
      <c r="E1779" s="1" t="str">
        <f ca="1">IFERROR(__xludf.DUMMYFUNCTION("""COMPUTED_VALUE"""),"Physics of Metals and Metallography")</f>
        <v>Physics of Metals and Metallography</v>
      </c>
      <c r="F1779" s="1" t="str">
        <f ca="1">IFERROR(__xludf.DUMMYFUNCTION("""COMPUTED_VALUE"""),"1555-6190")</f>
        <v>1555-6190</v>
      </c>
      <c r="G1779" s="1" t="str">
        <f ca="1">IFERROR(__xludf.DUMMYFUNCTION("""COMPUTED_VALUE"""),"0031-918X")</f>
        <v>0031-918X</v>
      </c>
      <c r="H1779" s="27" t="str">
        <f ca="1">IFERROR(__xludf.DUMMYFUNCTION("""COMPUTED_VALUE"""),"https://link.springer.com/journal/11508")</f>
        <v>https://link.springer.com/journal/11508</v>
      </c>
      <c r="I1779" s="1" t="str">
        <f ca="1">IFERROR(__xludf.DUMMYFUNCTION("""COMPUTED_VALUE"""),"Pleiades Publishing")</f>
        <v>Pleiades Publishing</v>
      </c>
      <c r="J1779" s="1">
        <f ca="1">IFERROR(__xludf.DUMMYFUNCTION("""COMPUTED_VALUE"""),2006)</f>
        <v>2006</v>
      </c>
      <c r="K1779" s="1" t="str">
        <f ca="1">IFERROR(__xludf.DUMMYFUNCTION("""COMPUTED_VALUE"""),"Chemistry and Materials Science")</f>
        <v>Chemistry and Materials Science</v>
      </c>
      <c r="L1779" s="1" t="str">
        <f ca="1">IFERROR(__xludf.DUMMYFUNCTION("""COMPUTED_VALUE"""),"〇")</f>
        <v>〇</v>
      </c>
      <c r="M1779" s="1" t="str">
        <f ca="1">IFERROR(__xludf.DUMMYFUNCTION("""COMPUTED_VALUE"""),"〇")</f>
        <v>〇</v>
      </c>
      <c r="N1779" s="1"/>
      <c r="O1779" s="1"/>
      <c r="P1779" s="1"/>
    </row>
    <row r="1780" spans="1:16" ht="14.25" customHeight="1" x14ac:dyDescent="0.25">
      <c r="A1780" s="1"/>
      <c r="B1780" s="1">
        <f ca="1"/>
        <v>1768</v>
      </c>
      <c r="C1780" s="1">
        <f ca="1">IFERROR(__xludf.DUMMYFUNCTION("""COMPUTED_VALUE"""),2023)</f>
        <v>2023</v>
      </c>
      <c r="D1780" s="1">
        <f ca="1">IFERROR(__xludf.DUMMYFUNCTION("""COMPUTED_VALUE"""),11567)</f>
        <v>11567</v>
      </c>
      <c r="E1780" s="1" t="str">
        <f ca="1">IFERROR(__xludf.DUMMYFUNCTION("""COMPUTED_VALUE"""),"Physics of Particles and Nuclei/ Physics of Particles and Nuclei Letters")</f>
        <v>Physics of Particles and Nuclei/ Physics of Particles and Nuclei Letters</v>
      </c>
      <c r="F1780" s="1"/>
      <c r="G1780" s="1"/>
      <c r="H1780" s="27" t="str">
        <f ca="1">IFERROR(__xludf.DUMMYFUNCTION("""COMPUTED_VALUE"""),"https://link.springer.com/journal/11567")</f>
        <v>https://link.springer.com/journal/11567</v>
      </c>
      <c r="I1780" s="1" t="str">
        <f ca="1">IFERROR(__xludf.DUMMYFUNCTION("""COMPUTED_VALUE"""),"Pleiades Publishing")</f>
        <v>Pleiades Publishing</v>
      </c>
      <c r="J1780" s="1">
        <f ca="1">IFERROR(__xludf.DUMMYFUNCTION("""COMPUTED_VALUE"""),2006)</f>
        <v>2006</v>
      </c>
      <c r="K1780" s="1" t="str">
        <f ca="1">IFERROR(__xludf.DUMMYFUNCTION("""COMPUTED_VALUE"""),"Physics and Astronomy")</f>
        <v>Physics and Astronomy</v>
      </c>
      <c r="L1780" s="1"/>
      <c r="M1780" s="1" t="str">
        <f ca="1">IFERROR(__xludf.DUMMYFUNCTION("""COMPUTED_VALUE"""),"〇")</f>
        <v>〇</v>
      </c>
      <c r="N1780" s="1"/>
      <c r="O1780" s="1"/>
      <c r="P1780" s="1"/>
    </row>
    <row r="1781" spans="1:16" ht="14.25" customHeight="1" x14ac:dyDescent="0.25">
      <c r="A1781" s="1"/>
      <c r="B1781" s="1">
        <f ca="1"/>
        <v>1769</v>
      </c>
      <c r="C1781" s="1">
        <f ca="1">IFERROR(__xludf.DUMMYFUNCTION("""COMPUTED_VALUE"""),2023)</f>
        <v>2023</v>
      </c>
      <c r="D1781" s="1">
        <f ca="1">IFERROR(__xludf.DUMMYFUNCTION("""COMPUTED_VALUE"""),11451)</f>
        <v>11451</v>
      </c>
      <c r="E1781" s="1" t="str">
        <f ca="1">IFERROR(__xludf.DUMMYFUNCTION("""COMPUTED_VALUE"""),"Physics of the Solid State")</f>
        <v>Physics of the Solid State</v>
      </c>
      <c r="F1781" s="1" t="str">
        <f ca="1">IFERROR(__xludf.DUMMYFUNCTION("""COMPUTED_VALUE"""),"1090-6460")</f>
        <v>1090-6460</v>
      </c>
      <c r="G1781" s="1" t="str">
        <f ca="1">IFERROR(__xludf.DUMMYFUNCTION("""COMPUTED_VALUE"""),"1063-7834")</f>
        <v>1063-7834</v>
      </c>
      <c r="H1781" s="27" t="str">
        <f ca="1">IFERROR(__xludf.DUMMYFUNCTION("""COMPUTED_VALUE"""),"https://link.springer.com/journal/11451")</f>
        <v>https://link.springer.com/journal/11451</v>
      </c>
      <c r="I1781" s="1" t="str">
        <f ca="1">IFERROR(__xludf.DUMMYFUNCTION("""COMPUTED_VALUE"""),"Pleiades Publishing")</f>
        <v>Pleiades Publishing</v>
      </c>
      <c r="J1781" s="1">
        <f ca="1">IFERROR(__xludf.DUMMYFUNCTION("""COMPUTED_VALUE"""),2000)</f>
        <v>2000</v>
      </c>
      <c r="K1781" s="1" t="str">
        <f ca="1">IFERROR(__xludf.DUMMYFUNCTION("""COMPUTED_VALUE"""),"Physics and Astronomy")</f>
        <v>Physics and Astronomy</v>
      </c>
      <c r="L1781" s="1" t="str">
        <f ca="1">IFERROR(__xludf.DUMMYFUNCTION("""COMPUTED_VALUE"""),"〇")</f>
        <v>〇</v>
      </c>
      <c r="M1781" s="1" t="str">
        <f ca="1">IFERROR(__xludf.DUMMYFUNCTION("""COMPUTED_VALUE"""),"〇")</f>
        <v>〇</v>
      </c>
      <c r="N1781" s="1"/>
      <c r="O1781" s="1"/>
      <c r="P1781" s="1"/>
    </row>
    <row r="1782" spans="1:16" ht="14.25" customHeight="1" x14ac:dyDescent="0.25">
      <c r="A1782" s="1"/>
      <c r="B1782" s="1">
        <f ca="1"/>
        <v>1770</v>
      </c>
      <c r="C1782" s="1">
        <f ca="1">IFERROR(__xludf.DUMMYFUNCTION("""COMPUTED_VALUE"""),2023)</f>
        <v>2023</v>
      </c>
      <c r="D1782" s="1">
        <f ca="1">IFERROR(__xludf.DUMMYFUNCTION("""COMPUTED_VALUE"""),11975)</f>
        <v>11975</v>
      </c>
      <c r="E1782" s="1" t="str">
        <f ca="1">IFERROR(__xludf.DUMMYFUNCTION("""COMPUTED_VALUE"""),"Physics of Wave Phenomena")</f>
        <v>Physics of Wave Phenomena</v>
      </c>
      <c r="F1782" s="1" t="str">
        <f ca="1">IFERROR(__xludf.DUMMYFUNCTION("""COMPUTED_VALUE"""),"1934-807X")</f>
        <v>1934-807X</v>
      </c>
      <c r="G1782" s="1" t="str">
        <f ca="1">IFERROR(__xludf.DUMMYFUNCTION("""COMPUTED_VALUE"""),"1541-308X")</f>
        <v>1541-308X</v>
      </c>
      <c r="H1782" s="27" t="str">
        <f ca="1">IFERROR(__xludf.DUMMYFUNCTION("""COMPUTED_VALUE"""),"https://link.springer.com/journal/11975")</f>
        <v>https://link.springer.com/journal/11975</v>
      </c>
      <c r="I1782" s="1" t="str">
        <f ca="1">IFERROR(__xludf.DUMMYFUNCTION("""COMPUTED_VALUE"""),"Pleiades Publishing")</f>
        <v>Pleiades Publishing</v>
      </c>
      <c r="J1782" s="1">
        <f ca="1">IFERROR(__xludf.DUMMYFUNCTION("""COMPUTED_VALUE"""),2007)</f>
        <v>2007</v>
      </c>
      <c r="K1782" s="1" t="str">
        <f ca="1">IFERROR(__xludf.DUMMYFUNCTION("""COMPUTED_VALUE"""),"Physics and Astronomy")</f>
        <v>Physics and Astronomy</v>
      </c>
      <c r="L1782" s="1" t="str">
        <f ca="1">IFERROR(__xludf.DUMMYFUNCTION("""COMPUTED_VALUE"""),"〇")</f>
        <v>〇</v>
      </c>
      <c r="M1782" s="1" t="str">
        <f ca="1">IFERROR(__xludf.DUMMYFUNCTION("""COMPUTED_VALUE"""),"〇")</f>
        <v>〇</v>
      </c>
      <c r="N1782" s="1" t="str">
        <f ca="1">IFERROR(__xludf.DUMMYFUNCTION("""COMPUTED_VALUE"""),"TO7")</f>
        <v>TO7</v>
      </c>
      <c r="O1782" s="1"/>
      <c r="P1782" s="1"/>
    </row>
    <row r="1783" spans="1:16" ht="14.25" customHeight="1" x14ac:dyDescent="0.25">
      <c r="A1783" s="1"/>
      <c r="B1783" s="1">
        <f ca="1"/>
        <v>1771</v>
      </c>
      <c r="C1783" s="1">
        <f ca="1">IFERROR(__xludf.DUMMYFUNCTION("""COMPUTED_VALUE"""),2023)</f>
        <v>2023</v>
      </c>
      <c r="D1783" s="1">
        <f ca="1">IFERROR(__xludf.DUMMYFUNCTION("""COMPUTED_VALUE"""),12298)</f>
        <v>12298</v>
      </c>
      <c r="E1783" s="1" t="str">
        <f ca="1">IFERROR(__xludf.DUMMYFUNCTION("""COMPUTED_VALUE"""),"Physiology and Molecular Biology of Plants")</f>
        <v>Physiology and Molecular Biology of Plants</v>
      </c>
      <c r="F1783" s="1" t="str">
        <f ca="1">IFERROR(__xludf.DUMMYFUNCTION("""COMPUTED_VALUE"""),"0974-0430")</f>
        <v>0974-0430</v>
      </c>
      <c r="G1783" s="1" t="str">
        <f ca="1">IFERROR(__xludf.DUMMYFUNCTION("""COMPUTED_VALUE"""),"0971-5894")</f>
        <v>0971-5894</v>
      </c>
      <c r="H1783" s="27" t="str">
        <f ca="1">IFERROR(__xludf.DUMMYFUNCTION("""COMPUTED_VALUE"""),"https://link.springer.com/journal/12298")</f>
        <v>https://link.springer.com/journal/12298</v>
      </c>
      <c r="I1783" s="1" t="str">
        <f ca="1">IFERROR(__xludf.DUMMYFUNCTION("""COMPUTED_VALUE"""),"Springer")</f>
        <v>Springer</v>
      </c>
      <c r="J1783" s="1">
        <f ca="1">IFERROR(__xludf.DUMMYFUNCTION("""COMPUTED_VALUE"""),2008)</f>
        <v>2008</v>
      </c>
      <c r="K1783" s="1" t="str">
        <f ca="1">IFERROR(__xludf.DUMMYFUNCTION("""COMPUTED_VALUE"""),"Biomedical and Life Sciences")</f>
        <v>Biomedical and Life Sciences</v>
      </c>
      <c r="L1783" s="1" t="str">
        <f ca="1">IFERROR(__xludf.DUMMYFUNCTION("""COMPUTED_VALUE"""),"〇")</f>
        <v>〇</v>
      </c>
      <c r="M1783" s="1" t="str">
        <f ca="1">IFERROR(__xludf.DUMMYFUNCTION("""COMPUTED_VALUE"""),"〇")</f>
        <v>〇</v>
      </c>
      <c r="N1783" s="1" t="str">
        <f ca="1">IFERROR(__xludf.DUMMYFUNCTION("""COMPUTED_VALUE"""),"TO8")</f>
        <v>TO8</v>
      </c>
      <c r="O1783" s="1"/>
      <c r="P1783" s="1"/>
    </row>
    <row r="1784" spans="1:16" ht="14.25" customHeight="1" x14ac:dyDescent="0.25">
      <c r="A1784" s="1"/>
      <c r="B1784" s="1">
        <f ca="1"/>
        <v>1772</v>
      </c>
      <c r="C1784" s="1">
        <f ca="1">IFERROR(__xludf.DUMMYFUNCTION("""COMPUTED_VALUE"""),2023)</f>
        <v>2023</v>
      </c>
      <c r="D1784" s="1">
        <f ca="1">IFERROR(__xludf.DUMMYFUNCTION("""COMPUTED_VALUE"""),11101)</f>
        <v>11101</v>
      </c>
      <c r="E1784" s="1" t="str">
        <f ca="1">IFERROR(__xludf.DUMMYFUNCTION("""COMPUTED_VALUE"""),"Phytochemistry Reviews")</f>
        <v>Phytochemistry Reviews</v>
      </c>
      <c r="F1784" s="1" t="str">
        <f ca="1">IFERROR(__xludf.DUMMYFUNCTION("""COMPUTED_VALUE"""),"1572-980X")</f>
        <v>1572-980X</v>
      </c>
      <c r="G1784" s="1" t="str">
        <f ca="1">IFERROR(__xludf.DUMMYFUNCTION("""COMPUTED_VALUE"""),"1568-7767")</f>
        <v>1568-7767</v>
      </c>
      <c r="H1784" s="27" t="str">
        <f ca="1">IFERROR(__xludf.DUMMYFUNCTION("""COMPUTED_VALUE"""),"https://link.springer.com/journal/11101")</f>
        <v>https://link.springer.com/journal/11101</v>
      </c>
      <c r="I1784" s="1" t="str">
        <f ca="1">IFERROR(__xludf.DUMMYFUNCTION("""COMPUTED_VALUE"""),"Springer")</f>
        <v>Springer</v>
      </c>
      <c r="J1784" s="1">
        <f ca="1">IFERROR(__xludf.DUMMYFUNCTION("""COMPUTED_VALUE"""),2002)</f>
        <v>2002</v>
      </c>
      <c r="K1784" s="1" t="str">
        <f ca="1">IFERROR(__xludf.DUMMYFUNCTION("""COMPUTED_VALUE"""),"Biomedical and Life Sciences")</f>
        <v>Biomedical and Life Sciences</v>
      </c>
      <c r="L1784" s="1" t="str">
        <f ca="1">IFERROR(__xludf.DUMMYFUNCTION("""COMPUTED_VALUE"""),"〇")</f>
        <v>〇</v>
      </c>
      <c r="M1784" s="1" t="str">
        <f ca="1">IFERROR(__xludf.DUMMYFUNCTION("""COMPUTED_VALUE"""),"〇")</f>
        <v>〇</v>
      </c>
      <c r="N1784" s="1"/>
      <c r="O1784" s="1"/>
      <c r="P1784" s="1"/>
    </row>
    <row r="1785" spans="1:16" ht="14.25" customHeight="1" x14ac:dyDescent="0.25">
      <c r="A1785" s="1"/>
      <c r="B1785" s="1">
        <f ca="1"/>
        <v>1773</v>
      </c>
      <c r="C1785" s="1">
        <f ca="1">IFERROR(__xludf.DUMMYFUNCTION("""COMPUTED_VALUE"""),2023)</f>
        <v>2023</v>
      </c>
      <c r="D1785" s="1">
        <f ca="1">IFERROR(__xludf.DUMMYFUNCTION("""COMPUTED_VALUE"""),12600)</f>
        <v>12600</v>
      </c>
      <c r="E1785" s="1" t="str">
        <f ca="1">IFERROR(__xludf.DUMMYFUNCTION("""COMPUTED_VALUE"""),"Phytoparasitica")</f>
        <v>Phytoparasitica</v>
      </c>
      <c r="F1785" s="1" t="str">
        <f ca="1">IFERROR(__xludf.DUMMYFUNCTION("""COMPUTED_VALUE"""),"1876-7184")</f>
        <v>1876-7184</v>
      </c>
      <c r="G1785" s="1" t="str">
        <f ca="1">IFERROR(__xludf.DUMMYFUNCTION("""COMPUTED_VALUE"""),"0334-2123")</f>
        <v>0334-2123</v>
      </c>
      <c r="H1785" s="27" t="str">
        <f ca="1">IFERROR(__xludf.DUMMYFUNCTION("""COMPUTED_VALUE"""),"https://link.springer.com/journal/12600")</f>
        <v>https://link.springer.com/journal/12600</v>
      </c>
      <c r="I1785" s="1" t="str">
        <f ca="1">IFERROR(__xludf.DUMMYFUNCTION("""COMPUTED_VALUE"""),"Springer")</f>
        <v>Springer</v>
      </c>
      <c r="J1785" s="1">
        <f ca="1">IFERROR(__xludf.DUMMYFUNCTION("""COMPUTED_VALUE"""),2000)</f>
        <v>2000</v>
      </c>
      <c r="K1785" s="1" t="str">
        <f ca="1">IFERROR(__xludf.DUMMYFUNCTION("""COMPUTED_VALUE"""),"Biomedical and Life Sciences")</f>
        <v>Biomedical and Life Sciences</v>
      </c>
      <c r="L1785" s="1" t="str">
        <f ca="1">IFERROR(__xludf.DUMMYFUNCTION("""COMPUTED_VALUE"""),"〇")</f>
        <v>〇</v>
      </c>
      <c r="M1785" s="1"/>
      <c r="N1785" s="1" t="str">
        <f ca="1">IFERROR(__xludf.DUMMYFUNCTION("""COMPUTED_VALUE"""),"TO9")</f>
        <v>TO9</v>
      </c>
      <c r="O1785" s="1"/>
      <c r="P1785" s="1"/>
    </row>
    <row r="1786" spans="1:16" ht="14.25" customHeight="1" x14ac:dyDescent="0.25">
      <c r="A1786" s="1"/>
      <c r="B1786" s="1">
        <f ca="1"/>
        <v>1774</v>
      </c>
      <c r="C1786" s="1">
        <f ca="1">IFERROR(__xludf.DUMMYFUNCTION("""COMPUTED_VALUE"""),2023)</f>
        <v>2023</v>
      </c>
      <c r="D1786" s="1">
        <f ca="1">IFERROR(__xludf.DUMMYFUNCTION("""COMPUTED_VALUE"""),11102)</f>
        <v>11102</v>
      </c>
      <c r="E1786" s="1" t="str">
        <f ca="1">IFERROR(__xludf.DUMMYFUNCTION("""COMPUTED_VALUE"""),"Pituitary")</f>
        <v>Pituitary</v>
      </c>
      <c r="F1786" s="1" t="str">
        <f ca="1">IFERROR(__xludf.DUMMYFUNCTION("""COMPUTED_VALUE"""),"1573-7403")</f>
        <v>1573-7403</v>
      </c>
      <c r="G1786" s="1" t="str">
        <f ca="1">IFERROR(__xludf.DUMMYFUNCTION("""COMPUTED_VALUE"""),"1386-341X")</f>
        <v>1386-341X</v>
      </c>
      <c r="H1786" s="27" t="str">
        <f ca="1">IFERROR(__xludf.DUMMYFUNCTION("""COMPUTED_VALUE"""),"https://link.springer.com/journal/11102")</f>
        <v>https://link.springer.com/journal/11102</v>
      </c>
      <c r="I1786" s="1" t="str">
        <f ca="1">IFERROR(__xludf.DUMMYFUNCTION("""COMPUTED_VALUE"""),"Springer")</f>
        <v>Springer</v>
      </c>
      <c r="J1786" s="1">
        <f ca="1">IFERROR(__xludf.DUMMYFUNCTION("""COMPUTED_VALUE"""),2000)</f>
        <v>2000</v>
      </c>
      <c r="K1786" s="1" t="str">
        <f ca="1">IFERROR(__xludf.DUMMYFUNCTION("""COMPUTED_VALUE"""),"Medicine")</f>
        <v>Medicine</v>
      </c>
      <c r="L1786" s="1" t="str">
        <f ca="1">IFERROR(__xludf.DUMMYFUNCTION("""COMPUTED_VALUE"""),"〇")</f>
        <v>〇</v>
      </c>
      <c r="M1786" s="1" t="str">
        <f ca="1">IFERROR(__xludf.DUMMYFUNCTION("""COMPUTED_VALUE"""),"〇")</f>
        <v>〇</v>
      </c>
      <c r="N1786" s="1"/>
      <c r="O1786" s="1"/>
      <c r="P1786" s="1"/>
    </row>
    <row r="1787" spans="1:16" ht="14.25" customHeight="1" x14ac:dyDescent="0.25">
      <c r="A1787" s="1"/>
      <c r="B1787" s="1">
        <f ca="1"/>
        <v>1775</v>
      </c>
      <c r="C1787" s="1">
        <f ca="1">IFERROR(__xludf.DUMMYFUNCTION("""COMPUTED_VALUE"""),2023)</f>
        <v>2023</v>
      </c>
      <c r="D1787" s="1">
        <f ca="1">IFERROR(__xludf.DUMMYFUNCTION("""COMPUTED_VALUE"""),11104)</f>
        <v>11104</v>
      </c>
      <c r="E1787" s="1" t="str">
        <f ca="1">IFERROR(__xludf.DUMMYFUNCTION("""COMPUTED_VALUE"""),"Plant and Soil")</f>
        <v>Plant and Soil</v>
      </c>
      <c r="F1787" s="1" t="str">
        <f ca="1">IFERROR(__xludf.DUMMYFUNCTION("""COMPUTED_VALUE"""),"1573-5036")</f>
        <v>1573-5036</v>
      </c>
      <c r="G1787" s="1" t="str">
        <f ca="1">IFERROR(__xludf.DUMMYFUNCTION("""COMPUTED_VALUE"""),"0032-079X")</f>
        <v>0032-079X</v>
      </c>
      <c r="H1787" s="27" t="str">
        <f ca="1">IFERROR(__xludf.DUMMYFUNCTION("""COMPUTED_VALUE"""),"https://link.springer.com/journal/11104")</f>
        <v>https://link.springer.com/journal/11104</v>
      </c>
      <c r="I1787" s="1" t="str">
        <f ca="1">IFERROR(__xludf.DUMMYFUNCTION("""COMPUTED_VALUE"""),"Springer")</f>
        <v>Springer</v>
      </c>
      <c r="J1787" s="1">
        <f ca="1">IFERROR(__xludf.DUMMYFUNCTION("""COMPUTED_VALUE"""),2000)</f>
        <v>2000</v>
      </c>
      <c r="K1787" s="1" t="str">
        <f ca="1">IFERROR(__xludf.DUMMYFUNCTION("""COMPUTED_VALUE"""),"Biomedical and Life Sciences")</f>
        <v>Biomedical and Life Sciences</v>
      </c>
      <c r="L1787" s="1" t="str">
        <f ca="1">IFERROR(__xludf.DUMMYFUNCTION("""COMPUTED_VALUE"""),"〇")</f>
        <v>〇</v>
      </c>
      <c r="M1787" s="1" t="str">
        <f ca="1">IFERROR(__xludf.DUMMYFUNCTION("""COMPUTED_VALUE"""),"〇")</f>
        <v>〇</v>
      </c>
      <c r="N1787" s="1"/>
      <c r="O1787" s="1"/>
      <c r="P1787" s="1"/>
    </row>
    <row r="1788" spans="1:16" ht="14.25" customHeight="1" x14ac:dyDescent="0.25">
      <c r="A1788" s="1"/>
      <c r="B1788" s="1">
        <f ca="1"/>
        <v>1776</v>
      </c>
      <c r="C1788" s="1">
        <f ca="1">IFERROR(__xludf.DUMMYFUNCTION("""COMPUTED_VALUE"""),2023)</f>
        <v>2023</v>
      </c>
      <c r="D1788" s="1">
        <f ca="1">IFERROR(__xludf.DUMMYFUNCTION("""COMPUTED_VALUE"""),11816)</f>
        <v>11816</v>
      </c>
      <c r="E1788" s="1" t="str">
        <f ca="1">IFERROR(__xludf.DUMMYFUNCTION("""COMPUTED_VALUE"""),"Plant Biotechnology Reports")</f>
        <v>Plant Biotechnology Reports</v>
      </c>
      <c r="F1788" s="1" t="str">
        <f ca="1">IFERROR(__xludf.DUMMYFUNCTION("""COMPUTED_VALUE"""),"1863-5474")</f>
        <v>1863-5474</v>
      </c>
      <c r="G1788" s="1"/>
      <c r="H1788" s="27" t="str">
        <f ca="1">IFERROR(__xludf.DUMMYFUNCTION("""COMPUTED_VALUE"""),"https://link.springer.com/journal/11816")</f>
        <v>https://link.springer.com/journal/11816</v>
      </c>
      <c r="I1788" s="1" t="str">
        <f ca="1">IFERROR(__xludf.DUMMYFUNCTION("""COMPUTED_VALUE"""),"Springer")</f>
        <v>Springer</v>
      </c>
      <c r="J1788" s="1">
        <f ca="1">IFERROR(__xludf.DUMMYFUNCTION("""COMPUTED_VALUE"""),2007)</f>
        <v>2007</v>
      </c>
      <c r="K1788" s="1" t="str">
        <f ca="1">IFERROR(__xludf.DUMMYFUNCTION("""COMPUTED_VALUE"""),"Biomedical and Life Sciences")</f>
        <v>Biomedical and Life Sciences</v>
      </c>
      <c r="L1788" s="1"/>
      <c r="M1788" s="1" t="str">
        <f ca="1">IFERROR(__xludf.DUMMYFUNCTION("""COMPUTED_VALUE"""),"〇")</f>
        <v>〇</v>
      </c>
      <c r="N1788" s="1" t="str">
        <f ca="1">IFERROR(__xludf.DUMMYFUNCTION("""COMPUTED_VALUE"""),"SNS7")</f>
        <v>SNS7</v>
      </c>
      <c r="O1788" s="1"/>
      <c r="P1788" s="1"/>
    </row>
    <row r="1789" spans="1:16" ht="14.25" customHeight="1" x14ac:dyDescent="0.25">
      <c r="A1789" s="1"/>
      <c r="B1789" s="1">
        <f ca="1"/>
        <v>1777</v>
      </c>
      <c r="C1789" s="1">
        <f ca="1">IFERROR(__xludf.DUMMYFUNCTION("""COMPUTED_VALUE"""),2023)</f>
        <v>2023</v>
      </c>
      <c r="D1789" s="1">
        <f ca="1">IFERROR(__xludf.DUMMYFUNCTION("""COMPUTED_VALUE"""),299)</f>
        <v>299</v>
      </c>
      <c r="E1789" s="1" t="str">
        <f ca="1">IFERROR(__xludf.DUMMYFUNCTION("""COMPUTED_VALUE"""),"Plant Cell Reports")</f>
        <v>Plant Cell Reports</v>
      </c>
      <c r="F1789" s="1" t="str">
        <f ca="1">IFERROR(__xludf.DUMMYFUNCTION("""COMPUTED_VALUE"""),"1432-203X")</f>
        <v>1432-203X</v>
      </c>
      <c r="G1789" s="1" t="str">
        <f ca="1">IFERROR(__xludf.DUMMYFUNCTION("""COMPUTED_VALUE"""),"0721-7714")</f>
        <v>0721-7714</v>
      </c>
      <c r="H1789" s="27" t="str">
        <f ca="1">IFERROR(__xludf.DUMMYFUNCTION("""COMPUTED_VALUE"""),"https://link.springer.com/journal/299")</f>
        <v>https://link.springer.com/journal/299</v>
      </c>
      <c r="I1789" s="1" t="str">
        <f ca="1">IFERROR(__xludf.DUMMYFUNCTION("""COMPUTED_VALUE"""),"Springer")</f>
        <v>Springer</v>
      </c>
      <c r="J1789" s="1">
        <f ca="1">IFERROR(__xludf.DUMMYFUNCTION("""COMPUTED_VALUE"""),2000)</f>
        <v>2000</v>
      </c>
      <c r="K1789" s="1" t="str">
        <f ca="1">IFERROR(__xludf.DUMMYFUNCTION("""COMPUTED_VALUE"""),"Biomedical and Life Sciences")</f>
        <v>Biomedical and Life Sciences</v>
      </c>
      <c r="L1789" s="1" t="str">
        <f ca="1">IFERROR(__xludf.DUMMYFUNCTION("""COMPUTED_VALUE"""),"〇")</f>
        <v>〇</v>
      </c>
      <c r="M1789" s="1" t="str">
        <f ca="1">IFERROR(__xludf.DUMMYFUNCTION("""COMPUTED_VALUE"""),"〇")</f>
        <v>〇</v>
      </c>
      <c r="N1789" s="1"/>
      <c r="O1789" s="1"/>
      <c r="P1789" s="1"/>
    </row>
    <row r="1790" spans="1:16" ht="14.25" customHeight="1" x14ac:dyDescent="0.25">
      <c r="A1790" s="1"/>
      <c r="B1790" s="1">
        <f ca="1"/>
        <v>1778</v>
      </c>
      <c r="C1790" s="1">
        <f ca="1">IFERROR(__xludf.DUMMYFUNCTION("""COMPUTED_VALUE"""),2023)</f>
        <v>2023</v>
      </c>
      <c r="D1790" s="1">
        <f ca="1">IFERROR(__xludf.DUMMYFUNCTION("""COMPUTED_VALUE"""),11240)</f>
        <v>11240</v>
      </c>
      <c r="E1790" s="1" t="str">
        <f ca="1">IFERROR(__xludf.DUMMYFUNCTION("""COMPUTED_VALUE"""),"Plant Cell, Tissue and Organ Culture (PCTOC)")</f>
        <v>Plant Cell, Tissue and Organ Culture (PCTOC)</v>
      </c>
      <c r="F1790" s="1" t="str">
        <f ca="1">IFERROR(__xludf.DUMMYFUNCTION("""COMPUTED_VALUE"""),"1573-5044")</f>
        <v>1573-5044</v>
      </c>
      <c r="G1790" s="1" t="str">
        <f ca="1">IFERROR(__xludf.DUMMYFUNCTION("""COMPUTED_VALUE"""),"0167-6857")</f>
        <v>0167-6857</v>
      </c>
      <c r="H1790" s="27" t="str">
        <f ca="1">IFERROR(__xludf.DUMMYFUNCTION("""COMPUTED_VALUE"""),"https://link.springer.com/journal/11240")</f>
        <v>https://link.springer.com/journal/11240</v>
      </c>
      <c r="I1790" s="1" t="str">
        <f ca="1">IFERROR(__xludf.DUMMYFUNCTION("""COMPUTED_VALUE"""),"Springer")</f>
        <v>Springer</v>
      </c>
      <c r="J1790" s="1">
        <f ca="1">IFERROR(__xludf.DUMMYFUNCTION("""COMPUTED_VALUE"""),2000)</f>
        <v>2000</v>
      </c>
      <c r="K1790" s="1" t="str">
        <f ca="1">IFERROR(__xludf.DUMMYFUNCTION("""COMPUTED_VALUE"""),"Biomedical and Life Sciences")</f>
        <v>Biomedical and Life Sciences</v>
      </c>
      <c r="L1790" s="1" t="str">
        <f ca="1">IFERROR(__xludf.DUMMYFUNCTION("""COMPUTED_VALUE"""),"〇")</f>
        <v>〇</v>
      </c>
      <c r="M1790" s="1" t="str">
        <f ca="1">IFERROR(__xludf.DUMMYFUNCTION("""COMPUTED_VALUE"""),"〇")</f>
        <v>〇</v>
      </c>
      <c r="N1790" s="1"/>
      <c r="O1790" s="1"/>
      <c r="P1790" s="1"/>
    </row>
    <row r="1791" spans="1:16" ht="14.25" customHeight="1" x14ac:dyDescent="0.25">
      <c r="A1791" s="1"/>
      <c r="B1791" s="1">
        <f ca="1"/>
        <v>1779</v>
      </c>
      <c r="C1791" s="1">
        <f ca="1">IFERROR(__xludf.DUMMYFUNCTION("""COMPUTED_VALUE"""),2023)</f>
        <v>2023</v>
      </c>
      <c r="D1791" s="1">
        <f ca="1">IFERROR(__xludf.DUMMYFUNCTION("""COMPUTED_VALUE"""),11258)</f>
        <v>11258</v>
      </c>
      <c r="E1791" s="1" t="str">
        <f ca="1">IFERROR(__xludf.DUMMYFUNCTION("""COMPUTED_VALUE"""),"Plant Ecology")</f>
        <v>Plant Ecology</v>
      </c>
      <c r="F1791" s="1" t="str">
        <f ca="1">IFERROR(__xludf.DUMMYFUNCTION("""COMPUTED_VALUE"""),"1573-5052")</f>
        <v>1573-5052</v>
      </c>
      <c r="G1791" s="1" t="str">
        <f ca="1">IFERROR(__xludf.DUMMYFUNCTION("""COMPUTED_VALUE"""),"1385-0237")</f>
        <v>1385-0237</v>
      </c>
      <c r="H1791" s="27" t="str">
        <f ca="1">IFERROR(__xludf.DUMMYFUNCTION("""COMPUTED_VALUE"""),"https://link.springer.com/journal/11258")</f>
        <v>https://link.springer.com/journal/11258</v>
      </c>
      <c r="I1791" s="1" t="str">
        <f ca="1">IFERROR(__xludf.DUMMYFUNCTION("""COMPUTED_VALUE"""),"Springer")</f>
        <v>Springer</v>
      </c>
      <c r="J1791" s="1">
        <f ca="1">IFERROR(__xludf.DUMMYFUNCTION("""COMPUTED_VALUE"""),2000)</f>
        <v>2000</v>
      </c>
      <c r="K1791" s="1" t="str">
        <f ca="1">IFERROR(__xludf.DUMMYFUNCTION("""COMPUTED_VALUE"""),"Biomedical and Life Sciences")</f>
        <v>Biomedical and Life Sciences</v>
      </c>
      <c r="L1791" s="1" t="str">
        <f ca="1">IFERROR(__xludf.DUMMYFUNCTION("""COMPUTED_VALUE"""),"〇")</f>
        <v>〇</v>
      </c>
      <c r="M1791" s="1" t="str">
        <f ca="1">IFERROR(__xludf.DUMMYFUNCTION("""COMPUTED_VALUE"""),"〇")</f>
        <v>〇</v>
      </c>
      <c r="N1791" s="1"/>
      <c r="O1791" s="1"/>
      <c r="P1791" s="1"/>
    </row>
    <row r="1792" spans="1:16" ht="14.25" customHeight="1" x14ac:dyDescent="0.25">
      <c r="A1792" s="1"/>
      <c r="B1792" s="1">
        <f ca="1"/>
        <v>1780</v>
      </c>
      <c r="C1792" s="1">
        <f ca="1">IFERROR(__xludf.DUMMYFUNCTION("""COMPUTED_VALUE"""),2023)</f>
        <v>2023</v>
      </c>
      <c r="D1792" s="1">
        <f ca="1">IFERROR(__xludf.DUMMYFUNCTION("""COMPUTED_VALUE"""),11130)</f>
        <v>11130</v>
      </c>
      <c r="E1792" s="1" t="str">
        <f ca="1">IFERROR(__xludf.DUMMYFUNCTION("""COMPUTED_VALUE"""),"Plant Foods for Human Nutrition")</f>
        <v>Plant Foods for Human Nutrition</v>
      </c>
      <c r="F1792" s="1" t="str">
        <f ca="1">IFERROR(__xludf.DUMMYFUNCTION("""COMPUTED_VALUE"""),"1573-9104")</f>
        <v>1573-9104</v>
      </c>
      <c r="G1792" s="1" t="str">
        <f ca="1">IFERROR(__xludf.DUMMYFUNCTION("""COMPUTED_VALUE"""),"0921-9668")</f>
        <v>0921-9668</v>
      </c>
      <c r="H1792" s="27" t="str">
        <f ca="1">IFERROR(__xludf.DUMMYFUNCTION("""COMPUTED_VALUE"""),"https://link.springer.com/journal/11130")</f>
        <v>https://link.springer.com/journal/11130</v>
      </c>
      <c r="I1792" s="1" t="str">
        <f ca="1">IFERROR(__xludf.DUMMYFUNCTION("""COMPUTED_VALUE"""),"Springer")</f>
        <v>Springer</v>
      </c>
      <c r="J1792" s="1">
        <f ca="1">IFERROR(__xludf.DUMMYFUNCTION("""COMPUTED_VALUE"""),2000)</f>
        <v>2000</v>
      </c>
      <c r="K1792" s="1" t="str">
        <f ca="1">IFERROR(__xludf.DUMMYFUNCTION("""COMPUTED_VALUE"""),"Chemistry and Materials Science")</f>
        <v>Chemistry and Materials Science</v>
      </c>
      <c r="L1792" s="1" t="str">
        <f ca="1">IFERROR(__xludf.DUMMYFUNCTION("""COMPUTED_VALUE"""),"〇")</f>
        <v>〇</v>
      </c>
      <c r="M1792" s="1" t="str">
        <f ca="1">IFERROR(__xludf.DUMMYFUNCTION("""COMPUTED_VALUE"""),"〇")</f>
        <v>〇</v>
      </c>
      <c r="N1792" s="1"/>
      <c r="O1792" s="1"/>
      <c r="P1792" s="1"/>
    </row>
    <row r="1793" spans="1:16" ht="14.25" customHeight="1" x14ac:dyDescent="0.25">
      <c r="A1793" s="1"/>
      <c r="B1793" s="1">
        <f ca="1"/>
        <v>1781</v>
      </c>
      <c r="C1793" s="1">
        <f ca="1">IFERROR(__xludf.DUMMYFUNCTION("""COMPUTED_VALUE"""),2023)</f>
        <v>2023</v>
      </c>
      <c r="D1793" s="1">
        <f ca="1">IFERROR(__xludf.DUMMYFUNCTION("""COMPUTED_VALUE"""),10725)</f>
        <v>10725</v>
      </c>
      <c r="E1793" s="1" t="str">
        <f ca="1">IFERROR(__xludf.DUMMYFUNCTION("""COMPUTED_VALUE"""),"Plant Growth Regulation")</f>
        <v>Plant Growth Regulation</v>
      </c>
      <c r="F1793" s="1" t="str">
        <f ca="1">IFERROR(__xludf.DUMMYFUNCTION("""COMPUTED_VALUE"""),"1573-5087")</f>
        <v>1573-5087</v>
      </c>
      <c r="G1793" s="1" t="str">
        <f ca="1">IFERROR(__xludf.DUMMYFUNCTION("""COMPUTED_VALUE"""),"0167-6903")</f>
        <v>0167-6903</v>
      </c>
      <c r="H1793" s="27" t="str">
        <f ca="1">IFERROR(__xludf.DUMMYFUNCTION("""COMPUTED_VALUE"""),"https://link.springer.com/journal/10725")</f>
        <v>https://link.springer.com/journal/10725</v>
      </c>
      <c r="I1793" s="1" t="str">
        <f ca="1">IFERROR(__xludf.DUMMYFUNCTION("""COMPUTED_VALUE"""),"Springer")</f>
        <v>Springer</v>
      </c>
      <c r="J1793" s="1">
        <f ca="1">IFERROR(__xludf.DUMMYFUNCTION("""COMPUTED_VALUE"""),2000)</f>
        <v>2000</v>
      </c>
      <c r="K1793" s="1" t="str">
        <f ca="1">IFERROR(__xludf.DUMMYFUNCTION("""COMPUTED_VALUE"""),"Biomedical and Life Sciences")</f>
        <v>Biomedical and Life Sciences</v>
      </c>
      <c r="L1793" s="1" t="str">
        <f ca="1">IFERROR(__xludf.DUMMYFUNCTION("""COMPUTED_VALUE"""),"〇")</f>
        <v>〇</v>
      </c>
      <c r="M1793" s="1" t="str">
        <f ca="1">IFERROR(__xludf.DUMMYFUNCTION("""COMPUTED_VALUE"""),"〇")</f>
        <v>〇</v>
      </c>
      <c r="N1793" s="1"/>
      <c r="O1793" s="1"/>
      <c r="P1793" s="1"/>
    </row>
    <row r="1794" spans="1:16" ht="14.25" customHeight="1" x14ac:dyDescent="0.25">
      <c r="A1794" s="1"/>
      <c r="B1794" s="1">
        <f ca="1"/>
        <v>1782</v>
      </c>
      <c r="C1794" s="1">
        <f ca="1">IFERROR(__xludf.DUMMYFUNCTION("""COMPUTED_VALUE"""),2023)</f>
        <v>2023</v>
      </c>
      <c r="D1794" s="1">
        <f ca="1">IFERROR(__xludf.DUMMYFUNCTION("""COMPUTED_VALUE"""),11103)</f>
        <v>11103</v>
      </c>
      <c r="E1794" s="1" t="str">
        <f ca="1">IFERROR(__xludf.DUMMYFUNCTION("""COMPUTED_VALUE"""),"Plant Molecular Biology")</f>
        <v>Plant Molecular Biology</v>
      </c>
      <c r="F1794" s="1" t="str">
        <f ca="1">IFERROR(__xludf.DUMMYFUNCTION("""COMPUTED_VALUE"""),"1573-5028")</f>
        <v>1573-5028</v>
      </c>
      <c r="G1794" s="1" t="str">
        <f ca="1">IFERROR(__xludf.DUMMYFUNCTION("""COMPUTED_VALUE"""),"0167-4412")</f>
        <v>0167-4412</v>
      </c>
      <c r="H1794" s="27" t="str">
        <f ca="1">IFERROR(__xludf.DUMMYFUNCTION("""COMPUTED_VALUE"""),"https://link.springer.com/journal/11103")</f>
        <v>https://link.springer.com/journal/11103</v>
      </c>
      <c r="I1794" s="1" t="str">
        <f ca="1">IFERROR(__xludf.DUMMYFUNCTION("""COMPUTED_VALUE"""),"Springer")</f>
        <v>Springer</v>
      </c>
      <c r="J1794" s="1">
        <f ca="1">IFERROR(__xludf.DUMMYFUNCTION("""COMPUTED_VALUE"""),2000)</f>
        <v>2000</v>
      </c>
      <c r="K1794" s="1" t="str">
        <f ca="1">IFERROR(__xludf.DUMMYFUNCTION("""COMPUTED_VALUE"""),"Biomedical and Life Sciences")</f>
        <v>Biomedical and Life Sciences</v>
      </c>
      <c r="L1794" s="1" t="str">
        <f ca="1">IFERROR(__xludf.DUMMYFUNCTION("""COMPUTED_VALUE"""),"〇")</f>
        <v>〇</v>
      </c>
      <c r="M1794" s="1" t="str">
        <f ca="1">IFERROR(__xludf.DUMMYFUNCTION("""COMPUTED_VALUE"""),"〇")</f>
        <v>〇</v>
      </c>
      <c r="N1794" s="1"/>
      <c r="O1794" s="1"/>
      <c r="P1794" s="1"/>
    </row>
    <row r="1795" spans="1:16" ht="14.25" customHeight="1" x14ac:dyDescent="0.25">
      <c r="A1795" s="1"/>
      <c r="B1795" s="1">
        <f ca="1"/>
        <v>1783</v>
      </c>
      <c r="C1795" s="1">
        <f ca="1">IFERROR(__xludf.DUMMYFUNCTION("""COMPUTED_VALUE"""),2023)</f>
        <v>2023</v>
      </c>
      <c r="D1795" s="1">
        <f ca="1">IFERROR(__xludf.DUMMYFUNCTION("""COMPUTED_VALUE"""),11105)</f>
        <v>11105</v>
      </c>
      <c r="E1795" s="1" t="str">
        <f ca="1">IFERROR(__xludf.DUMMYFUNCTION("""COMPUTED_VALUE"""),"Plant Molecular Biology Reporter")</f>
        <v>Plant Molecular Biology Reporter</v>
      </c>
      <c r="F1795" s="1" t="str">
        <f ca="1">IFERROR(__xludf.DUMMYFUNCTION("""COMPUTED_VALUE"""),"1572-9818")</f>
        <v>1572-9818</v>
      </c>
      <c r="G1795" s="1" t="str">
        <f ca="1">IFERROR(__xludf.DUMMYFUNCTION("""COMPUTED_VALUE"""),"0735-9640")</f>
        <v>0735-9640</v>
      </c>
      <c r="H1795" s="27" t="str">
        <f ca="1">IFERROR(__xludf.DUMMYFUNCTION("""COMPUTED_VALUE"""),"https://link.springer.com/journal/11105")</f>
        <v>https://link.springer.com/journal/11105</v>
      </c>
      <c r="I1795" s="1" t="str">
        <f ca="1">IFERROR(__xludf.DUMMYFUNCTION("""COMPUTED_VALUE"""),"Springer")</f>
        <v>Springer</v>
      </c>
      <c r="J1795" s="1">
        <f ca="1">IFERROR(__xludf.DUMMYFUNCTION("""COMPUTED_VALUE"""),2000)</f>
        <v>2000</v>
      </c>
      <c r="K1795" s="1" t="str">
        <f ca="1">IFERROR(__xludf.DUMMYFUNCTION("""COMPUTED_VALUE"""),"Biomedical and Life Sciences")</f>
        <v>Biomedical and Life Sciences</v>
      </c>
      <c r="L1795" s="1" t="str">
        <f ca="1">IFERROR(__xludf.DUMMYFUNCTION("""COMPUTED_VALUE"""),"〇")</f>
        <v>〇</v>
      </c>
      <c r="M1795" s="1" t="str">
        <f ca="1">IFERROR(__xludf.DUMMYFUNCTION("""COMPUTED_VALUE"""),"〇")</f>
        <v>〇</v>
      </c>
      <c r="N1795" s="1" t="str">
        <f ca="1">IFERROR(__xludf.DUMMYFUNCTION("""COMPUTED_VALUE"""),"TO7")</f>
        <v>TO7</v>
      </c>
      <c r="O1795" s="1"/>
      <c r="P1795" s="1"/>
    </row>
    <row r="1796" spans="1:16" ht="14.25" customHeight="1" x14ac:dyDescent="0.25">
      <c r="A1796" s="1"/>
      <c r="B1796" s="1">
        <f ca="1"/>
        <v>1784</v>
      </c>
      <c r="C1796" s="1">
        <f ca="1">IFERROR(__xludf.DUMMYFUNCTION("""COMPUTED_VALUE"""),2023)</f>
        <v>2023</v>
      </c>
      <c r="D1796" s="1">
        <f ca="1">IFERROR(__xludf.DUMMYFUNCTION("""COMPUTED_VALUE"""),40502)</f>
        <v>40502</v>
      </c>
      <c r="E1796" s="1" t="str">
        <f ca="1">IFERROR(__xludf.DUMMYFUNCTION("""COMPUTED_VALUE"""),"Plant Physiology Reports")</f>
        <v>Plant Physiology Reports</v>
      </c>
      <c r="F1796" s="1" t="str">
        <f ca="1">IFERROR(__xludf.DUMMYFUNCTION("""COMPUTED_VALUE"""),"2662-2548")</f>
        <v>2662-2548</v>
      </c>
      <c r="G1796" s="1" t="str">
        <f ca="1">IFERROR(__xludf.DUMMYFUNCTION("""COMPUTED_VALUE"""),"2662-253X")</f>
        <v>2662-253X</v>
      </c>
      <c r="H1796" s="27" t="str">
        <f ca="1">IFERROR(__xludf.DUMMYFUNCTION("""COMPUTED_VALUE"""),"https://link.springer.com/journal/40502")</f>
        <v>https://link.springer.com/journal/40502</v>
      </c>
      <c r="I1796" s="1" t="str">
        <f ca="1">IFERROR(__xludf.DUMMYFUNCTION("""COMPUTED_VALUE"""),"Springer")</f>
        <v>Springer</v>
      </c>
      <c r="J1796" s="1">
        <f ca="1">IFERROR(__xludf.DUMMYFUNCTION("""COMPUTED_VALUE"""),2013)</f>
        <v>2013</v>
      </c>
      <c r="K1796" s="1" t="str">
        <f ca="1">IFERROR(__xludf.DUMMYFUNCTION("""COMPUTED_VALUE"""),"Biomedical and Life Sciences")</f>
        <v>Biomedical and Life Sciences</v>
      </c>
      <c r="L1796" s="1" t="str">
        <f ca="1">IFERROR(__xludf.DUMMYFUNCTION("""COMPUTED_VALUE"""),"〇")</f>
        <v>〇</v>
      </c>
      <c r="M1796" s="1"/>
      <c r="N1796" s="1" t="str">
        <f ca="1">IFERROR(__xludf.DUMMYFUNCTION("""COMPUTED_VALUE"""),"TO13")</f>
        <v>TO13</v>
      </c>
      <c r="O1796" s="1"/>
      <c r="P1796" s="1"/>
    </row>
    <row r="1797" spans="1:16" ht="14.25" customHeight="1" x14ac:dyDescent="0.25">
      <c r="A1797" s="1"/>
      <c r="B1797" s="1">
        <f ca="1"/>
        <v>1785</v>
      </c>
      <c r="C1797" s="1">
        <f ca="1">IFERROR(__xludf.DUMMYFUNCTION("""COMPUTED_VALUE"""),2023)</f>
        <v>2023</v>
      </c>
      <c r="D1797" s="1">
        <f ca="1">IFERROR(__xludf.DUMMYFUNCTION("""COMPUTED_VALUE"""),497)</f>
        <v>497</v>
      </c>
      <c r="E1797" s="1" t="str">
        <f ca="1">IFERROR(__xludf.DUMMYFUNCTION("""COMPUTED_VALUE"""),"Plant Reproduction")</f>
        <v>Plant Reproduction</v>
      </c>
      <c r="F1797" s="1" t="str">
        <f ca="1">IFERROR(__xludf.DUMMYFUNCTION("""COMPUTED_VALUE"""),"2194-7961")</f>
        <v>2194-7961</v>
      </c>
      <c r="G1797" s="1" t="str">
        <f ca="1">IFERROR(__xludf.DUMMYFUNCTION("""COMPUTED_VALUE"""),"2194-7953")</f>
        <v>2194-7953</v>
      </c>
      <c r="H1797" s="27" t="str">
        <f ca="1">IFERROR(__xludf.DUMMYFUNCTION("""COMPUTED_VALUE"""),"https://link.springer.com/journal/497")</f>
        <v>https://link.springer.com/journal/497</v>
      </c>
      <c r="I1797" s="1" t="str">
        <f ca="1">IFERROR(__xludf.DUMMYFUNCTION("""COMPUTED_VALUE"""),"Springer")</f>
        <v>Springer</v>
      </c>
      <c r="J1797" s="1">
        <f ca="1">IFERROR(__xludf.DUMMYFUNCTION("""COMPUTED_VALUE"""),2000)</f>
        <v>2000</v>
      </c>
      <c r="K1797" s="1" t="str">
        <f ca="1">IFERROR(__xludf.DUMMYFUNCTION("""COMPUTED_VALUE"""),"Biomedical and Life Sciences")</f>
        <v>Biomedical and Life Sciences</v>
      </c>
      <c r="L1797" s="1" t="str">
        <f ca="1">IFERROR(__xludf.DUMMYFUNCTION("""COMPUTED_VALUE"""),"〇")</f>
        <v>〇</v>
      </c>
      <c r="M1797" s="1" t="str">
        <f ca="1">IFERROR(__xludf.DUMMYFUNCTION("""COMPUTED_VALUE"""),"〇")</f>
        <v>〇</v>
      </c>
      <c r="N1797" s="1"/>
      <c r="O1797" s="1"/>
      <c r="P1797" s="1"/>
    </row>
    <row r="1798" spans="1:16" ht="14.25" customHeight="1" x14ac:dyDescent="0.25">
      <c r="A1798" s="1"/>
      <c r="B1798" s="1">
        <f ca="1"/>
        <v>1786</v>
      </c>
      <c r="C1798" s="1">
        <f ca="1">IFERROR(__xludf.DUMMYFUNCTION("""COMPUTED_VALUE"""),2023)</f>
        <v>2023</v>
      </c>
      <c r="D1798" s="1">
        <f ca="1">IFERROR(__xludf.DUMMYFUNCTION("""COMPUTED_VALUE"""),606)</f>
        <v>606</v>
      </c>
      <c r="E1798" s="1" t="str">
        <f ca="1">IFERROR(__xludf.DUMMYFUNCTION("""COMPUTED_VALUE"""),"Plant Systematics and Evolution")</f>
        <v>Plant Systematics and Evolution</v>
      </c>
      <c r="F1798" s="1" t="str">
        <f ca="1">IFERROR(__xludf.DUMMYFUNCTION("""COMPUTED_VALUE"""),"1615-6110")</f>
        <v>1615-6110</v>
      </c>
      <c r="G1798" s="1" t="str">
        <f ca="1">IFERROR(__xludf.DUMMYFUNCTION("""COMPUTED_VALUE"""),"0378-2697")</f>
        <v>0378-2697</v>
      </c>
      <c r="H1798" s="27" t="str">
        <f ca="1">IFERROR(__xludf.DUMMYFUNCTION("""COMPUTED_VALUE"""),"https://link.springer.com/journal/606")</f>
        <v>https://link.springer.com/journal/606</v>
      </c>
      <c r="I1798" s="1" t="str">
        <f ca="1">IFERROR(__xludf.DUMMYFUNCTION("""COMPUTED_VALUE"""),"Springer")</f>
        <v>Springer</v>
      </c>
      <c r="J1798" s="1">
        <f ca="1">IFERROR(__xludf.DUMMYFUNCTION("""COMPUTED_VALUE"""),2000)</f>
        <v>2000</v>
      </c>
      <c r="K1798" s="1" t="str">
        <f ca="1">IFERROR(__xludf.DUMMYFUNCTION("""COMPUTED_VALUE"""),"Biomedical and Life Sciences")</f>
        <v>Biomedical and Life Sciences</v>
      </c>
      <c r="L1798" s="1" t="str">
        <f ca="1">IFERROR(__xludf.DUMMYFUNCTION("""COMPUTED_VALUE"""),"〇")</f>
        <v>〇</v>
      </c>
      <c r="M1798" s="1" t="str">
        <f ca="1">IFERROR(__xludf.DUMMYFUNCTION("""COMPUTED_VALUE"""),"〇")</f>
        <v>〇</v>
      </c>
      <c r="N1798" s="1"/>
      <c r="O1798" s="1"/>
      <c r="P1798" s="1"/>
    </row>
    <row r="1799" spans="1:16" ht="14.25" customHeight="1" x14ac:dyDescent="0.25">
      <c r="A1799" s="1"/>
      <c r="B1799" s="1">
        <f ca="1"/>
        <v>1787</v>
      </c>
      <c r="C1799" s="1">
        <f ca="1">IFERROR(__xludf.DUMMYFUNCTION("""COMPUTED_VALUE"""),2023)</f>
        <v>2023</v>
      </c>
      <c r="D1799" s="1">
        <f ca="1">IFERROR(__xludf.DUMMYFUNCTION("""COMPUTED_VALUE"""),425)</f>
        <v>425</v>
      </c>
      <c r="E1799" s="1" t="str">
        <f ca="1">IFERROR(__xludf.DUMMYFUNCTION("""COMPUTED_VALUE"""),"Planta")</f>
        <v>Planta</v>
      </c>
      <c r="F1799" s="1" t="str">
        <f ca="1">IFERROR(__xludf.DUMMYFUNCTION("""COMPUTED_VALUE"""),"1432-2048")</f>
        <v>1432-2048</v>
      </c>
      <c r="G1799" s="1" t="str">
        <f ca="1">IFERROR(__xludf.DUMMYFUNCTION("""COMPUTED_VALUE"""),"0032-0935")</f>
        <v>0032-0935</v>
      </c>
      <c r="H1799" s="27" t="str">
        <f ca="1">IFERROR(__xludf.DUMMYFUNCTION("""COMPUTED_VALUE"""),"https://link.springer.com/journal/425")</f>
        <v>https://link.springer.com/journal/425</v>
      </c>
      <c r="I1799" s="1" t="str">
        <f ca="1">IFERROR(__xludf.DUMMYFUNCTION("""COMPUTED_VALUE"""),"Springer")</f>
        <v>Springer</v>
      </c>
      <c r="J1799" s="1">
        <f ca="1">IFERROR(__xludf.DUMMYFUNCTION("""COMPUTED_VALUE"""),2000)</f>
        <v>2000</v>
      </c>
      <c r="K1799" s="1" t="str">
        <f ca="1">IFERROR(__xludf.DUMMYFUNCTION("""COMPUTED_VALUE"""),"Biomedical and Life Sciences")</f>
        <v>Biomedical and Life Sciences</v>
      </c>
      <c r="L1799" s="1" t="str">
        <f ca="1">IFERROR(__xludf.DUMMYFUNCTION("""COMPUTED_VALUE"""),"〇")</f>
        <v>〇</v>
      </c>
      <c r="M1799" s="1" t="str">
        <f ca="1">IFERROR(__xludf.DUMMYFUNCTION("""COMPUTED_VALUE"""),"〇")</f>
        <v>〇</v>
      </c>
      <c r="N1799" s="1"/>
      <c r="O1799" s="1"/>
      <c r="P1799" s="1"/>
    </row>
    <row r="1800" spans="1:16" ht="14.25" customHeight="1" x14ac:dyDescent="0.25">
      <c r="A1800" s="1"/>
      <c r="B1800" s="1">
        <f ca="1"/>
        <v>1788</v>
      </c>
      <c r="C1800" s="1">
        <f ca="1">IFERROR(__xludf.DUMMYFUNCTION("""COMPUTED_VALUE"""),2023)</f>
        <v>2023</v>
      </c>
      <c r="D1800" s="1">
        <f ca="1">IFERROR(__xludf.DUMMYFUNCTION("""COMPUTED_VALUE"""),11090)</f>
        <v>11090</v>
      </c>
      <c r="E1800" s="1" t="str">
        <f ca="1">IFERROR(__xludf.DUMMYFUNCTION("""COMPUTED_VALUE"""),"Plasma Chemistry and Plasma Processing")</f>
        <v>Plasma Chemistry and Plasma Processing</v>
      </c>
      <c r="F1800" s="1" t="str">
        <f ca="1">IFERROR(__xludf.DUMMYFUNCTION("""COMPUTED_VALUE"""),"1572-8986")</f>
        <v>1572-8986</v>
      </c>
      <c r="G1800" s="1" t="str">
        <f ca="1">IFERROR(__xludf.DUMMYFUNCTION("""COMPUTED_VALUE"""),"0272-4324")</f>
        <v>0272-4324</v>
      </c>
      <c r="H1800" s="27" t="str">
        <f ca="1">IFERROR(__xludf.DUMMYFUNCTION("""COMPUTED_VALUE"""),"https://link.springer.com/journal/11090")</f>
        <v>https://link.springer.com/journal/11090</v>
      </c>
      <c r="I1800" s="1" t="str">
        <f ca="1">IFERROR(__xludf.DUMMYFUNCTION("""COMPUTED_VALUE"""),"Springer")</f>
        <v>Springer</v>
      </c>
      <c r="J1800" s="1">
        <f ca="1">IFERROR(__xludf.DUMMYFUNCTION("""COMPUTED_VALUE"""),2000)</f>
        <v>2000</v>
      </c>
      <c r="K1800" s="1" t="str">
        <f ca="1">IFERROR(__xludf.DUMMYFUNCTION("""COMPUTED_VALUE"""),"Chemistry and Materials Science")</f>
        <v>Chemistry and Materials Science</v>
      </c>
      <c r="L1800" s="1" t="str">
        <f ca="1">IFERROR(__xludf.DUMMYFUNCTION("""COMPUTED_VALUE"""),"〇")</f>
        <v>〇</v>
      </c>
      <c r="M1800" s="1" t="str">
        <f ca="1">IFERROR(__xludf.DUMMYFUNCTION("""COMPUTED_VALUE"""),"〇")</f>
        <v>〇</v>
      </c>
      <c r="N1800" s="1"/>
      <c r="O1800" s="1"/>
      <c r="P1800" s="1"/>
    </row>
    <row r="1801" spans="1:16" ht="14.25" customHeight="1" x14ac:dyDescent="0.25">
      <c r="A1801" s="1"/>
      <c r="B1801" s="1">
        <f ca="1"/>
        <v>1789</v>
      </c>
      <c r="C1801" s="1">
        <f ca="1">IFERROR(__xludf.DUMMYFUNCTION("""COMPUTED_VALUE"""),2023)</f>
        <v>2023</v>
      </c>
      <c r="D1801" s="1">
        <f ca="1">IFERROR(__xludf.DUMMYFUNCTION("""COMPUTED_VALUE"""),11452)</f>
        <v>11452</v>
      </c>
      <c r="E1801" s="1" t="str">
        <f ca="1">IFERROR(__xludf.DUMMYFUNCTION("""COMPUTED_VALUE"""),"Plasma Physics Reports")</f>
        <v>Plasma Physics Reports</v>
      </c>
      <c r="F1801" s="1" t="str">
        <f ca="1">IFERROR(__xludf.DUMMYFUNCTION("""COMPUTED_VALUE"""),"1562-6938")</f>
        <v>1562-6938</v>
      </c>
      <c r="G1801" s="1" t="str">
        <f ca="1">IFERROR(__xludf.DUMMYFUNCTION("""COMPUTED_VALUE"""),"1063-780X")</f>
        <v>1063-780X</v>
      </c>
      <c r="H1801" s="27" t="str">
        <f ca="1">IFERROR(__xludf.DUMMYFUNCTION("""COMPUTED_VALUE"""),"https://link.springer.com/journal/11452")</f>
        <v>https://link.springer.com/journal/11452</v>
      </c>
      <c r="I1801" s="1" t="str">
        <f ca="1">IFERROR(__xludf.DUMMYFUNCTION("""COMPUTED_VALUE"""),"Pleiades Publishing")</f>
        <v>Pleiades Publishing</v>
      </c>
      <c r="J1801" s="1">
        <f ca="1">IFERROR(__xludf.DUMMYFUNCTION("""COMPUTED_VALUE"""),2000)</f>
        <v>2000</v>
      </c>
      <c r="K1801" s="1" t="str">
        <f ca="1">IFERROR(__xludf.DUMMYFUNCTION("""COMPUTED_VALUE"""),"Physics and Astronomy")</f>
        <v>Physics and Astronomy</v>
      </c>
      <c r="L1801" s="1" t="str">
        <f ca="1">IFERROR(__xludf.DUMMYFUNCTION("""COMPUTED_VALUE"""),"〇")</f>
        <v>〇</v>
      </c>
      <c r="M1801" s="1" t="str">
        <f ca="1">IFERROR(__xludf.DUMMYFUNCTION("""COMPUTED_VALUE"""),"〇")</f>
        <v>〇</v>
      </c>
      <c r="N1801" s="1"/>
      <c r="O1801" s="1"/>
      <c r="P1801" s="1"/>
    </row>
    <row r="1802" spans="1:16" ht="14.25" customHeight="1" x14ac:dyDescent="0.25">
      <c r="A1802" s="1"/>
      <c r="B1802" s="1">
        <f ca="1"/>
        <v>1790</v>
      </c>
      <c r="C1802" s="1">
        <f ca="1">IFERROR(__xludf.DUMMYFUNCTION("""COMPUTED_VALUE"""),2023)</f>
        <v>2023</v>
      </c>
      <c r="D1802" s="1">
        <f ca="1">IFERROR(__xludf.DUMMYFUNCTION("""COMPUTED_VALUE"""),11468)</f>
        <v>11468</v>
      </c>
      <c r="E1802" s="1" t="str">
        <f ca="1">IFERROR(__xludf.DUMMYFUNCTION("""COMPUTED_VALUE"""),"Plasmonics")</f>
        <v>Plasmonics</v>
      </c>
      <c r="F1802" s="1" t="str">
        <f ca="1">IFERROR(__xludf.DUMMYFUNCTION("""COMPUTED_VALUE"""),"1557-1963")</f>
        <v>1557-1963</v>
      </c>
      <c r="G1802" s="1"/>
      <c r="H1802" s="27" t="str">
        <f ca="1">IFERROR(__xludf.DUMMYFUNCTION("""COMPUTED_VALUE"""),"https://link.springer.com/journal/11468")</f>
        <v>https://link.springer.com/journal/11468</v>
      </c>
      <c r="I1802" s="1" t="str">
        <f ca="1">IFERROR(__xludf.DUMMYFUNCTION("""COMPUTED_VALUE"""),"Springer")</f>
        <v>Springer</v>
      </c>
      <c r="J1802" s="1">
        <f ca="1">IFERROR(__xludf.DUMMYFUNCTION("""COMPUTED_VALUE"""),2006)</f>
        <v>2006</v>
      </c>
      <c r="K1802" s="1" t="str">
        <f ca="1">IFERROR(__xludf.DUMMYFUNCTION("""COMPUTED_VALUE"""),"Chemistry and Materials Science")</f>
        <v>Chemistry and Materials Science</v>
      </c>
      <c r="L1802" s="1"/>
      <c r="M1802" s="1" t="str">
        <f ca="1">IFERROR(__xludf.DUMMYFUNCTION("""COMPUTED_VALUE"""),"〇")</f>
        <v>〇</v>
      </c>
      <c r="N1802" s="1"/>
      <c r="O1802" s="1"/>
      <c r="P1802" s="1"/>
    </row>
    <row r="1803" spans="1:16" ht="14.25" customHeight="1" x14ac:dyDescent="0.25">
      <c r="A1803" s="1"/>
      <c r="B1803" s="1">
        <f ca="1"/>
        <v>1791</v>
      </c>
      <c r="C1803" s="1">
        <f ca="1">IFERROR(__xludf.DUMMYFUNCTION("""COMPUTED_VALUE"""),2023)</f>
        <v>2023</v>
      </c>
      <c r="D1803" s="1">
        <f ca="1">IFERROR(__xludf.DUMMYFUNCTION("""COMPUTED_VALUE"""),15033)</f>
        <v>15033</v>
      </c>
      <c r="E1803" s="1" t="str">
        <f ca="1">IFERROR(__xludf.DUMMYFUNCTION("""COMPUTED_VALUE"""),"Pneumo News")</f>
        <v>Pneumo News</v>
      </c>
      <c r="F1803" s="1" t="str">
        <f ca="1">IFERROR(__xludf.DUMMYFUNCTION("""COMPUTED_VALUE"""),"2199-3866")</f>
        <v>2199-3866</v>
      </c>
      <c r="G1803" s="1" t="str">
        <f ca="1">IFERROR(__xludf.DUMMYFUNCTION("""COMPUTED_VALUE"""),"1865-5467")</f>
        <v>1865-5467</v>
      </c>
      <c r="H1803" s="27" t="str">
        <f ca="1">IFERROR(__xludf.DUMMYFUNCTION("""COMPUTED_VALUE"""),"https://link.springer.com/journal/15033")</f>
        <v>https://link.springer.com/journal/15033</v>
      </c>
      <c r="I1803" s="1" t="str">
        <f ca="1">IFERROR(__xludf.DUMMYFUNCTION("""COMPUTED_VALUE"""),"SpringerMedizin")</f>
        <v>SpringerMedizin</v>
      </c>
      <c r="J1803" s="1">
        <f ca="1">IFERROR(__xludf.DUMMYFUNCTION("""COMPUTED_VALUE"""),2009)</f>
        <v>2009</v>
      </c>
      <c r="K1803" s="1" t="str">
        <f ca="1">IFERROR(__xludf.DUMMYFUNCTION("""COMPUTED_VALUE"""),"Medicine")</f>
        <v>Medicine</v>
      </c>
      <c r="L1803" s="1" t="str">
        <f ca="1">IFERROR(__xludf.DUMMYFUNCTION("""COMPUTED_VALUE"""),"〇")</f>
        <v>〇</v>
      </c>
      <c r="M1803" s="1"/>
      <c r="N1803" s="1"/>
      <c r="O1803" s="1"/>
      <c r="P1803" s="1"/>
    </row>
    <row r="1804" spans="1:16" ht="14.25" customHeight="1" x14ac:dyDescent="0.25">
      <c r="A1804" s="1"/>
      <c r="B1804" s="1">
        <f ca="1"/>
        <v>1792</v>
      </c>
      <c r="C1804" s="1">
        <f ca="1">IFERROR(__xludf.DUMMYFUNCTION("""COMPUTED_VALUE"""),2023)</f>
        <v>2023</v>
      </c>
      <c r="D1804" s="1">
        <f ca="1">IFERROR(__xludf.DUMMYFUNCTION("""COMPUTED_VALUE"""),300)</f>
        <v>300</v>
      </c>
      <c r="E1804" s="1" t="str">
        <f ca="1">IFERROR(__xludf.DUMMYFUNCTION("""COMPUTED_VALUE"""),"Polar Biology")</f>
        <v>Polar Biology</v>
      </c>
      <c r="F1804" s="1" t="str">
        <f ca="1">IFERROR(__xludf.DUMMYFUNCTION("""COMPUTED_VALUE"""),"1432-2056")</f>
        <v>1432-2056</v>
      </c>
      <c r="G1804" s="1" t="str">
        <f ca="1">IFERROR(__xludf.DUMMYFUNCTION("""COMPUTED_VALUE"""),"0722-4060")</f>
        <v>0722-4060</v>
      </c>
      <c r="H1804" s="27" t="str">
        <f ca="1">IFERROR(__xludf.DUMMYFUNCTION("""COMPUTED_VALUE"""),"https://link.springer.com/journal/300")</f>
        <v>https://link.springer.com/journal/300</v>
      </c>
      <c r="I1804" s="1" t="str">
        <f ca="1">IFERROR(__xludf.DUMMYFUNCTION("""COMPUTED_VALUE"""),"Springer")</f>
        <v>Springer</v>
      </c>
      <c r="J1804" s="1">
        <f ca="1">IFERROR(__xludf.DUMMYFUNCTION("""COMPUTED_VALUE"""),2000)</f>
        <v>2000</v>
      </c>
      <c r="K1804" s="1" t="str">
        <f ca="1">IFERROR(__xludf.DUMMYFUNCTION("""COMPUTED_VALUE"""),"Biomedical and Life Sciences")</f>
        <v>Biomedical and Life Sciences</v>
      </c>
      <c r="L1804" s="1" t="str">
        <f ca="1">IFERROR(__xludf.DUMMYFUNCTION("""COMPUTED_VALUE"""),"〇")</f>
        <v>〇</v>
      </c>
      <c r="M1804" s="1" t="str">
        <f ca="1">IFERROR(__xludf.DUMMYFUNCTION("""COMPUTED_VALUE"""),"〇")</f>
        <v>〇</v>
      </c>
      <c r="N1804" s="1"/>
      <c r="O1804" s="1"/>
      <c r="P1804" s="1"/>
    </row>
    <row r="1805" spans="1:16" ht="14.25" customHeight="1" x14ac:dyDescent="0.25">
      <c r="A1805" s="1"/>
      <c r="B1805" s="1">
        <f ca="1"/>
        <v>1793</v>
      </c>
      <c r="C1805" s="1">
        <f ca="1">IFERROR(__xludf.DUMMYFUNCTION("""COMPUTED_VALUE"""),2023)</f>
        <v>2023</v>
      </c>
      <c r="D1805" s="1">
        <f ca="1">IFERROR(__xludf.DUMMYFUNCTION("""COMPUTED_VALUE"""),11077)</f>
        <v>11077</v>
      </c>
      <c r="E1805" s="1" t="str">
        <f ca="1">IFERROR(__xludf.DUMMYFUNCTION("""COMPUTED_VALUE"""),"Policy Sciences")</f>
        <v>Policy Sciences</v>
      </c>
      <c r="F1805" s="1" t="str">
        <f ca="1">IFERROR(__xludf.DUMMYFUNCTION("""COMPUTED_VALUE"""),"1573-0891")</f>
        <v>1573-0891</v>
      </c>
      <c r="G1805" s="1" t="str">
        <f ca="1">IFERROR(__xludf.DUMMYFUNCTION("""COMPUTED_VALUE"""),"0032-2687")</f>
        <v>0032-2687</v>
      </c>
      <c r="H1805" s="27" t="str">
        <f ca="1">IFERROR(__xludf.DUMMYFUNCTION("""COMPUTED_VALUE"""),"https://link.springer.com/journal/11077")</f>
        <v>https://link.springer.com/journal/11077</v>
      </c>
      <c r="I1805" s="1" t="str">
        <f ca="1">IFERROR(__xludf.DUMMYFUNCTION("""COMPUTED_VALUE"""),"Springer")</f>
        <v>Springer</v>
      </c>
      <c r="J1805" s="1">
        <f ca="1">IFERROR(__xludf.DUMMYFUNCTION("""COMPUTED_VALUE"""),2000)</f>
        <v>2000</v>
      </c>
      <c r="K1805" s="1" t="str">
        <f ca="1">IFERROR(__xludf.DUMMYFUNCTION("""COMPUTED_VALUE"""),"Political Science and International Studies")</f>
        <v>Political Science and International Studies</v>
      </c>
      <c r="L1805" s="1" t="str">
        <f ca="1">IFERROR(__xludf.DUMMYFUNCTION("""COMPUTED_VALUE"""),"〇")</f>
        <v>〇</v>
      </c>
      <c r="M1805" s="1" t="str">
        <f ca="1">IFERROR(__xludf.DUMMYFUNCTION("""COMPUTED_VALUE"""),"〇")</f>
        <v>〇</v>
      </c>
      <c r="N1805" s="1"/>
      <c r="O1805" s="1"/>
      <c r="P1805" s="1"/>
    </row>
    <row r="1806" spans="1:16" ht="14.25" customHeight="1" x14ac:dyDescent="0.25">
      <c r="A1806" s="1"/>
      <c r="B1806" s="1">
        <f ca="1"/>
        <v>1794</v>
      </c>
      <c r="C1806" s="1">
        <f ca="1">IFERROR(__xludf.DUMMYFUNCTION("""COMPUTED_VALUE"""),2023)</f>
        <v>2023</v>
      </c>
      <c r="D1806" s="1">
        <f ca="1">IFERROR(__xludf.DUMMYFUNCTION("""COMPUTED_VALUE"""),11109)</f>
        <v>11109</v>
      </c>
      <c r="E1806" s="1" t="str">
        <f ca="1">IFERROR(__xludf.DUMMYFUNCTION("""COMPUTED_VALUE"""),"Political Behavior")</f>
        <v>Political Behavior</v>
      </c>
      <c r="F1806" s="1" t="str">
        <f ca="1">IFERROR(__xludf.DUMMYFUNCTION("""COMPUTED_VALUE"""),"1573-6687")</f>
        <v>1573-6687</v>
      </c>
      <c r="G1806" s="1" t="str">
        <f ca="1">IFERROR(__xludf.DUMMYFUNCTION("""COMPUTED_VALUE"""),"0190-9320")</f>
        <v>0190-9320</v>
      </c>
      <c r="H1806" s="27" t="str">
        <f ca="1">IFERROR(__xludf.DUMMYFUNCTION("""COMPUTED_VALUE"""),"https://link.springer.com/journal/11109")</f>
        <v>https://link.springer.com/journal/11109</v>
      </c>
      <c r="I1806" s="1" t="str">
        <f ca="1">IFERROR(__xludf.DUMMYFUNCTION("""COMPUTED_VALUE"""),"Springer")</f>
        <v>Springer</v>
      </c>
      <c r="J1806" s="1">
        <f ca="1">IFERROR(__xludf.DUMMYFUNCTION("""COMPUTED_VALUE"""),2000)</f>
        <v>2000</v>
      </c>
      <c r="K1806" s="1" t="str">
        <f ca="1">IFERROR(__xludf.DUMMYFUNCTION("""COMPUTED_VALUE"""),"Political Science and International Studies")</f>
        <v>Political Science and International Studies</v>
      </c>
      <c r="L1806" s="1" t="str">
        <f ca="1">IFERROR(__xludf.DUMMYFUNCTION("""COMPUTED_VALUE"""),"〇")</f>
        <v>〇</v>
      </c>
      <c r="M1806" s="1" t="str">
        <f ca="1">IFERROR(__xludf.DUMMYFUNCTION("""COMPUTED_VALUE"""),"〇")</f>
        <v>〇</v>
      </c>
      <c r="N1806" s="1"/>
      <c r="O1806" s="1"/>
      <c r="P1806" s="1"/>
    </row>
    <row r="1807" spans="1:16" ht="14.25" customHeight="1" x14ac:dyDescent="0.25">
      <c r="A1807" s="1"/>
      <c r="B1807" s="1">
        <f ca="1"/>
        <v>1795</v>
      </c>
      <c r="C1807" s="1">
        <f ca="1">IFERROR(__xludf.DUMMYFUNCTION("""COMPUTED_VALUE"""),2023)</f>
        <v>2023</v>
      </c>
      <c r="D1807" s="1">
        <f ca="1">IFERROR(__xludf.DUMMYFUNCTION("""COMPUTED_VALUE"""),11615)</f>
        <v>11615</v>
      </c>
      <c r="E1807" s="1" t="str">
        <f ca="1">IFERROR(__xludf.DUMMYFUNCTION("""COMPUTED_VALUE"""),"Politische Vierteljahresschrift")</f>
        <v>Politische Vierteljahresschrift</v>
      </c>
      <c r="F1807" s="1" t="str">
        <f ca="1">IFERROR(__xludf.DUMMYFUNCTION("""COMPUTED_VALUE"""),"1862-2860")</f>
        <v>1862-2860</v>
      </c>
      <c r="G1807" s="1" t="str">
        <f ca="1">IFERROR(__xludf.DUMMYFUNCTION("""COMPUTED_VALUE"""),"0032-3470")</f>
        <v>0032-3470</v>
      </c>
      <c r="H1807" s="27" t="str">
        <f ca="1">IFERROR(__xludf.DUMMYFUNCTION("""COMPUTED_VALUE"""),"https://link.springer.com/journal/11615")</f>
        <v>https://link.springer.com/journal/11615</v>
      </c>
      <c r="I1807" s="1" t="str">
        <f ca="1">IFERROR(__xludf.DUMMYFUNCTION("""COMPUTED_VALUE"""),"Springer VS")</f>
        <v>Springer VS</v>
      </c>
      <c r="J1807" s="1">
        <f ca="1">IFERROR(__xludf.DUMMYFUNCTION("""COMPUTED_VALUE"""),2000)</f>
        <v>2000</v>
      </c>
      <c r="K1807" s="1" t="str">
        <f ca="1">IFERROR(__xludf.DUMMYFUNCTION("""COMPUTED_VALUE"""),"Political Science and International Studies")</f>
        <v>Political Science and International Studies</v>
      </c>
      <c r="L1807" s="1" t="str">
        <f ca="1">IFERROR(__xludf.DUMMYFUNCTION("""COMPUTED_VALUE"""),"〇")</f>
        <v>〇</v>
      </c>
      <c r="M1807" s="1"/>
      <c r="N1807" s="1" t="str">
        <f ca="1">IFERROR(__xludf.DUMMYFUNCTION("""COMPUTED_VALUE"""),"TO18")</f>
        <v>TO18</v>
      </c>
      <c r="O1807" s="1"/>
      <c r="P1807" s="1"/>
    </row>
    <row r="1808" spans="1:16" ht="14.25" customHeight="1" x14ac:dyDescent="0.25">
      <c r="A1808" s="1"/>
      <c r="B1808" s="1">
        <f ca="1"/>
        <v>1796</v>
      </c>
      <c r="C1808" s="1">
        <f ca="1">IFERROR(__xludf.DUMMYFUNCTION("""COMPUTED_VALUE"""),2023)</f>
        <v>2023</v>
      </c>
      <c r="D1808" s="1">
        <f ca="1">IFERROR(__xludf.DUMMYFUNCTION("""COMPUTED_VALUE"""),289)</f>
        <v>289</v>
      </c>
      <c r="E1808" s="1" t="str">
        <f ca="1">IFERROR(__xludf.DUMMYFUNCTION("""COMPUTED_VALUE"""),"Polymer Bulletin")</f>
        <v>Polymer Bulletin</v>
      </c>
      <c r="F1808" s="1" t="str">
        <f ca="1">IFERROR(__xludf.DUMMYFUNCTION("""COMPUTED_VALUE"""),"1436-2449")</f>
        <v>1436-2449</v>
      </c>
      <c r="G1808" s="1" t="str">
        <f ca="1">IFERROR(__xludf.DUMMYFUNCTION("""COMPUTED_VALUE"""),"0170-0839")</f>
        <v>0170-0839</v>
      </c>
      <c r="H1808" s="27" t="str">
        <f ca="1">IFERROR(__xludf.DUMMYFUNCTION("""COMPUTED_VALUE"""),"https://link.springer.com/journal/289")</f>
        <v>https://link.springer.com/journal/289</v>
      </c>
      <c r="I1808" s="1" t="str">
        <f ca="1">IFERROR(__xludf.DUMMYFUNCTION("""COMPUTED_VALUE"""),"Springer")</f>
        <v>Springer</v>
      </c>
      <c r="J1808" s="1">
        <f ca="1">IFERROR(__xludf.DUMMYFUNCTION("""COMPUTED_VALUE"""),2000)</f>
        <v>2000</v>
      </c>
      <c r="K1808" s="1" t="str">
        <f ca="1">IFERROR(__xludf.DUMMYFUNCTION("""COMPUTED_VALUE"""),"Chemistry and Materials Science")</f>
        <v>Chemistry and Materials Science</v>
      </c>
      <c r="L1808" s="1" t="str">
        <f ca="1">IFERROR(__xludf.DUMMYFUNCTION("""COMPUTED_VALUE"""),"〇")</f>
        <v>〇</v>
      </c>
      <c r="M1808" s="1" t="str">
        <f ca="1">IFERROR(__xludf.DUMMYFUNCTION("""COMPUTED_VALUE"""),"〇")</f>
        <v>〇</v>
      </c>
      <c r="N1808" s="1"/>
      <c r="O1808" s="1"/>
      <c r="P1808" s="1"/>
    </row>
    <row r="1809" spans="1:16" ht="14.25" customHeight="1" x14ac:dyDescent="0.25">
      <c r="A1809" s="1"/>
      <c r="B1809" s="1">
        <f ca="1"/>
        <v>1797</v>
      </c>
      <c r="C1809" s="1">
        <f ca="1">IFERROR(__xludf.DUMMYFUNCTION("""COMPUTED_VALUE"""),2023)</f>
        <v>2023</v>
      </c>
      <c r="D1809" s="1">
        <f ca="1">IFERROR(__xludf.DUMMYFUNCTION("""COMPUTED_VALUE"""),11529)</f>
        <v>11529</v>
      </c>
      <c r="E1809" s="1" t="str">
        <f ca="1">IFERROR(__xludf.DUMMYFUNCTION("""COMPUTED_VALUE"""),"Polymer Science, Series A-D")</f>
        <v>Polymer Science, Series A-D</v>
      </c>
      <c r="F1809" s="1"/>
      <c r="G1809" s="1"/>
      <c r="H1809" s="27" t="str">
        <f ca="1">IFERROR(__xludf.DUMMYFUNCTION("""COMPUTED_VALUE"""),"https://link.springer.com/journal/11529")</f>
        <v>https://link.springer.com/journal/11529</v>
      </c>
      <c r="I1809" s="1" t="str">
        <f ca="1">IFERROR(__xludf.DUMMYFUNCTION("""COMPUTED_VALUE"""),"Pleiades Publishing")</f>
        <v>Pleiades Publishing</v>
      </c>
      <c r="J1809" s="1">
        <f ca="1">IFERROR(__xludf.DUMMYFUNCTION("""COMPUTED_VALUE"""),2008)</f>
        <v>2008</v>
      </c>
      <c r="K1809" s="1" t="str">
        <f ca="1">IFERROR(__xludf.DUMMYFUNCTION("""COMPUTED_VALUE"""),"Chemistry and Materials Science")</f>
        <v>Chemistry and Materials Science</v>
      </c>
      <c r="L1809" s="1"/>
      <c r="M1809" s="1" t="str">
        <f ca="1">IFERROR(__xludf.DUMMYFUNCTION("""COMPUTED_VALUE"""),"〇")</f>
        <v>〇</v>
      </c>
      <c r="N1809" s="1" t="str">
        <f ca="1">IFERROR(__xludf.DUMMYFUNCTION("""COMPUTED_VALUE"""),"SNS8")</f>
        <v>SNS8</v>
      </c>
      <c r="O1809" s="1"/>
      <c r="P1809" s="1"/>
    </row>
    <row r="1810" spans="1:16" ht="14.25" customHeight="1" x14ac:dyDescent="0.25">
      <c r="A1810" s="1"/>
      <c r="B1810" s="1">
        <f ca="1"/>
        <v>1798</v>
      </c>
      <c r="C1810" s="1">
        <f ca="1">IFERROR(__xludf.DUMMYFUNCTION("""COMPUTED_VALUE"""),2023)</f>
        <v>2023</v>
      </c>
      <c r="D1810" s="1">
        <f ca="1">IFERROR(__xludf.DUMMYFUNCTION("""COMPUTED_VALUE"""),41050)</f>
        <v>41050</v>
      </c>
      <c r="E1810" s="1" t="str">
        <f ca="1">IFERROR(__xludf.DUMMYFUNCTION("""COMPUTED_VALUE"""),"Polytechnica")</f>
        <v>Polytechnica</v>
      </c>
      <c r="F1810" s="1" t="str">
        <f ca="1">IFERROR(__xludf.DUMMYFUNCTION("""COMPUTED_VALUE"""),"2520-8063")</f>
        <v>2520-8063</v>
      </c>
      <c r="G1810" s="1" t="str">
        <f ca="1">IFERROR(__xludf.DUMMYFUNCTION("""COMPUTED_VALUE"""),"2520-8497")</f>
        <v>2520-8497</v>
      </c>
      <c r="H1810" s="27" t="str">
        <f ca="1">IFERROR(__xludf.DUMMYFUNCTION("""COMPUTED_VALUE"""),"https://link.springer.com/journal/41050")</f>
        <v>https://link.springer.com/journal/41050</v>
      </c>
      <c r="I1810" s="1" t="str">
        <f ca="1">IFERROR(__xludf.DUMMYFUNCTION("""COMPUTED_VALUE"""),"Springer")</f>
        <v>Springer</v>
      </c>
      <c r="J1810" s="1">
        <f ca="1">IFERROR(__xludf.DUMMYFUNCTION("""COMPUTED_VALUE"""),2018)</f>
        <v>2018</v>
      </c>
      <c r="K1810" s="1" t="str">
        <f ca="1">IFERROR(__xludf.DUMMYFUNCTION("""COMPUTED_VALUE"""),"Engineering")</f>
        <v>Engineering</v>
      </c>
      <c r="L1810" s="1" t="str">
        <f ca="1">IFERROR(__xludf.DUMMYFUNCTION("""COMPUTED_VALUE"""),"〇")</f>
        <v>〇</v>
      </c>
      <c r="M1810" s="1"/>
      <c r="N1810" s="1" t="str">
        <f ca="1">IFERROR(__xludf.DUMMYFUNCTION("""COMPUTED_VALUE"""),"SNS18")</f>
        <v>SNS18</v>
      </c>
      <c r="O1810" s="1"/>
      <c r="P1810" s="1"/>
    </row>
    <row r="1811" spans="1:16" ht="14.25" customHeight="1" x14ac:dyDescent="0.25">
      <c r="A1811" s="1"/>
      <c r="B1811" s="1">
        <f ca="1"/>
        <v>1799</v>
      </c>
      <c r="C1811" s="1">
        <f ca="1">IFERROR(__xludf.DUMMYFUNCTION("""COMPUTED_VALUE"""),2023)</f>
        <v>2023</v>
      </c>
      <c r="D1811" s="1">
        <f ca="1">IFERROR(__xludf.DUMMYFUNCTION("""COMPUTED_VALUE"""),11111)</f>
        <v>11111</v>
      </c>
      <c r="E1811" s="1" t="str">
        <f ca="1">IFERROR(__xludf.DUMMYFUNCTION("""COMPUTED_VALUE"""),"Population and Environment")</f>
        <v>Population and Environment</v>
      </c>
      <c r="F1811" s="1" t="str">
        <f ca="1">IFERROR(__xludf.DUMMYFUNCTION("""COMPUTED_VALUE"""),"1573-7810")</f>
        <v>1573-7810</v>
      </c>
      <c r="G1811" s="1" t="str">
        <f ca="1">IFERROR(__xludf.DUMMYFUNCTION("""COMPUTED_VALUE"""),"0199-0039")</f>
        <v>0199-0039</v>
      </c>
      <c r="H1811" s="27" t="str">
        <f ca="1">IFERROR(__xludf.DUMMYFUNCTION("""COMPUTED_VALUE"""),"https://link.springer.com/journal/11111")</f>
        <v>https://link.springer.com/journal/11111</v>
      </c>
      <c r="I1811" s="1" t="str">
        <f ca="1">IFERROR(__xludf.DUMMYFUNCTION("""COMPUTED_VALUE"""),"Springer")</f>
        <v>Springer</v>
      </c>
      <c r="J1811" s="1">
        <f ca="1">IFERROR(__xludf.DUMMYFUNCTION("""COMPUTED_VALUE"""),2000)</f>
        <v>2000</v>
      </c>
      <c r="K1811" s="1" t="str">
        <f ca="1">IFERROR(__xludf.DUMMYFUNCTION("""COMPUTED_VALUE"""),"Social Sciences")</f>
        <v>Social Sciences</v>
      </c>
      <c r="L1811" s="1" t="str">
        <f ca="1">IFERROR(__xludf.DUMMYFUNCTION("""COMPUTED_VALUE"""),"〇")</f>
        <v>〇</v>
      </c>
      <c r="M1811" s="1" t="str">
        <f ca="1">IFERROR(__xludf.DUMMYFUNCTION("""COMPUTED_VALUE"""),"〇")</f>
        <v>〇</v>
      </c>
      <c r="N1811" s="1"/>
      <c r="O1811" s="1"/>
      <c r="P1811" s="1"/>
    </row>
    <row r="1812" spans="1:16" ht="14.25" customHeight="1" x14ac:dyDescent="0.25">
      <c r="A1812" s="1"/>
      <c r="B1812" s="1">
        <f ca="1"/>
        <v>1800</v>
      </c>
      <c r="C1812" s="1">
        <f ca="1">IFERROR(__xludf.DUMMYFUNCTION("""COMPUTED_VALUE"""),2023)</f>
        <v>2023</v>
      </c>
      <c r="D1812" s="1">
        <f ca="1">IFERROR(__xludf.DUMMYFUNCTION("""COMPUTED_VALUE"""),11113)</f>
        <v>11113</v>
      </c>
      <c r="E1812" s="1" t="str">
        <f ca="1">IFERROR(__xludf.DUMMYFUNCTION("""COMPUTED_VALUE"""),"Population Research and Policy Review")</f>
        <v>Population Research and Policy Review</v>
      </c>
      <c r="F1812" s="1" t="str">
        <f ca="1">IFERROR(__xludf.DUMMYFUNCTION("""COMPUTED_VALUE"""),"1573-7829")</f>
        <v>1573-7829</v>
      </c>
      <c r="G1812" s="1" t="str">
        <f ca="1">IFERROR(__xludf.DUMMYFUNCTION("""COMPUTED_VALUE"""),"0167-5923")</f>
        <v>0167-5923</v>
      </c>
      <c r="H1812" s="27" t="str">
        <f ca="1">IFERROR(__xludf.DUMMYFUNCTION("""COMPUTED_VALUE"""),"https://link.springer.com/journal/11113")</f>
        <v>https://link.springer.com/journal/11113</v>
      </c>
      <c r="I1812" s="1" t="str">
        <f ca="1">IFERROR(__xludf.DUMMYFUNCTION("""COMPUTED_VALUE"""),"Springer")</f>
        <v>Springer</v>
      </c>
      <c r="J1812" s="1">
        <f ca="1">IFERROR(__xludf.DUMMYFUNCTION("""COMPUTED_VALUE"""),2000)</f>
        <v>2000</v>
      </c>
      <c r="K1812" s="1" t="str">
        <f ca="1">IFERROR(__xludf.DUMMYFUNCTION("""COMPUTED_VALUE"""),"Social Sciences")</f>
        <v>Social Sciences</v>
      </c>
      <c r="L1812" s="1" t="str">
        <f ca="1">IFERROR(__xludf.DUMMYFUNCTION("""COMPUTED_VALUE"""),"〇")</f>
        <v>〇</v>
      </c>
      <c r="M1812" s="1" t="str">
        <f ca="1">IFERROR(__xludf.DUMMYFUNCTION("""COMPUTED_VALUE"""),"〇")</f>
        <v>〇</v>
      </c>
      <c r="N1812" s="1"/>
      <c r="O1812" s="1"/>
      <c r="P1812" s="1"/>
    </row>
    <row r="1813" spans="1:16" ht="14.25" customHeight="1" x14ac:dyDescent="0.25">
      <c r="A1813" s="1"/>
      <c r="B1813" s="1">
        <f ca="1"/>
        <v>1801</v>
      </c>
      <c r="C1813" s="1">
        <f ca="1">IFERROR(__xludf.DUMMYFUNCTION("""COMPUTED_VALUE"""),2023)</f>
        <v>2023</v>
      </c>
      <c r="D1813" s="1">
        <f ca="1">IFERROR(__xludf.DUMMYFUNCTION("""COMPUTED_VALUE"""),10258)</f>
        <v>10258</v>
      </c>
      <c r="E1813" s="1" t="str">
        <f ca="1">IFERROR(__xludf.DUMMYFUNCTION("""COMPUTED_VALUE"""),"Portuguese Economic Journal")</f>
        <v>Portuguese Economic Journal</v>
      </c>
      <c r="F1813" s="1" t="str">
        <f ca="1">IFERROR(__xludf.DUMMYFUNCTION("""COMPUTED_VALUE"""),"1617-9838")</f>
        <v>1617-9838</v>
      </c>
      <c r="G1813" s="1" t="str">
        <f ca="1">IFERROR(__xludf.DUMMYFUNCTION("""COMPUTED_VALUE"""),"1617-982X")</f>
        <v>1617-982X</v>
      </c>
      <c r="H1813" s="27" t="str">
        <f ca="1">IFERROR(__xludf.DUMMYFUNCTION("""COMPUTED_VALUE"""),"https://link.springer.com/journal/10258")</f>
        <v>https://link.springer.com/journal/10258</v>
      </c>
      <c r="I1813" s="1" t="str">
        <f ca="1">IFERROR(__xludf.DUMMYFUNCTION("""COMPUTED_VALUE"""),"Springer")</f>
        <v>Springer</v>
      </c>
      <c r="J1813" s="1">
        <f ca="1">IFERROR(__xludf.DUMMYFUNCTION("""COMPUTED_VALUE"""),2002)</f>
        <v>2002</v>
      </c>
      <c r="K1813" s="1" t="str">
        <f ca="1">IFERROR(__xludf.DUMMYFUNCTION("""COMPUTED_VALUE"""),"Economics and Finance")</f>
        <v>Economics and Finance</v>
      </c>
      <c r="L1813" s="1" t="str">
        <f ca="1">IFERROR(__xludf.DUMMYFUNCTION("""COMPUTED_VALUE"""),"〇")</f>
        <v>〇</v>
      </c>
      <c r="M1813" s="1" t="str">
        <f ca="1">IFERROR(__xludf.DUMMYFUNCTION("""COMPUTED_VALUE"""),"〇")</f>
        <v>〇</v>
      </c>
      <c r="N1813" s="1"/>
      <c r="O1813" s="1"/>
      <c r="P1813" s="1"/>
    </row>
    <row r="1814" spans="1:16" ht="14.25" customHeight="1" x14ac:dyDescent="0.25">
      <c r="A1814" s="1"/>
      <c r="B1814" s="1">
        <f ca="1"/>
        <v>1802</v>
      </c>
      <c r="C1814" s="1">
        <f ca="1">IFERROR(__xludf.DUMMYFUNCTION("""COMPUTED_VALUE"""),2023)</f>
        <v>2023</v>
      </c>
      <c r="D1814" s="1">
        <f ca="1">IFERROR(__xludf.DUMMYFUNCTION("""COMPUTED_VALUE"""),11117)</f>
        <v>11117</v>
      </c>
      <c r="E1814" s="1" t="str">
        <f ca="1">IFERROR(__xludf.DUMMYFUNCTION("""COMPUTED_VALUE"""),"Positivity")</f>
        <v>Positivity</v>
      </c>
      <c r="F1814" s="1" t="str">
        <f ca="1">IFERROR(__xludf.DUMMYFUNCTION("""COMPUTED_VALUE"""),"1572-9281")</f>
        <v>1572-9281</v>
      </c>
      <c r="G1814" s="1" t="str">
        <f ca="1">IFERROR(__xludf.DUMMYFUNCTION("""COMPUTED_VALUE"""),"1385-1292")</f>
        <v>1385-1292</v>
      </c>
      <c r="H1814" s="27" t="str">
        <f ca="1">IFERROR(__xludf.DUMMYFUNCTION("""COMPUTED_VALUE"""),"https://link.springer.com/journal/11117")</f>
        <v>https://link.springer.com/journal/11117</v>
      </c>
      <c r="I1814" s="1" t="str">
        <f ca="1">IFERROR(__xludf.DUMMYFUNCTION("""COMPUTED_VALUE"""),"Birkhäuser")</f>
        <v>Birkhäuser</v>
      </c>
      <c r="J1814" s="1">
        <f ca="1">IFERROR(__xludf.DUMMYFUNCTION("""COMPUTED_VALUE"""),2000)</f>
        <v>2000</v>
      </c>
      <c r="K1814" s="1" t="str">
        <f ca="1">IFERROR(__xludf.DUMMYFUNCTION("""COMPUTED_VALUE"""),"Mathematics and Statistics")</f>
        <v>Mathematics and Statistics</v>
      </c>
      <c r="L1814" s="1" t="str">
        <f ca="1">IFERROR(__xludf.DUMMYFUNCTION("""COMPUTED_VALUE"""),"〇")</f>
        <v>〇</v>
      </c>
      <c r="M1814" s="1" t="str">
        <f ca="1">IFERROR(__xludf.DUMMYFUNCTION("""COMPUTED_VALUE"""),"〇")</f>
        <v>〇</v>
      </c>
      <c r="N1814" s="1"/>
      <c r="O1814" s="1"/>
      <c r="P1814" s="1"/>
    </row>
    <row r="1815" spans="1:16" ht="14.25" customHeight="1" x14ac:dyDescent="0.25">
      <c r="A1815" s="1"/>
      <c r="B1815" s="1">
        <f ca="1"/>
        <v>1803</v>
      </c>
      <c r="C1815" s="1">
        <f ca="1">IFERROR(__xludf.DUMMYFUNCTION("""COMPUTED_VALUE"""),2023)</f>
        <v>2023</v>
      </c>
      <c r="D1815" s="1">
        <f ca="1">IFERROR(__xludf.DUMMYFUNCTION("""COMPUTED_VALUE"""),42438)</f>
        <v>42438</v>
      </c>
      <c r="E1815" s="1" t="str">
        <f ca="1">IFERROR(__xludf.DUMMYFUNCTION("""COMPUTED_VALUE"""),"Postdigital Science and Education")</f>
        <v>Postdigital Science and Education</v>
      </c>
      <c r="F1815" s="1" t="str">
        <f ca="1">IFERROR(__xludf.DUMMYFUNCTION("""COMPUTED_VALUE"""),"2524-4868")</f>
        <v>2524-4868</v>
      </c>
      <c r="G1815" s="1" t="str">
        <f ca="1">IFERROR(__xludf.DUMMYFUNCTION("""COMPUTED_VALUE"""),"2524-485X")</f>
        <v>2524-485X</v>
      </c>
      <c r="H1815" s="27" t="str">
        <f ca="1">IFERROR(__xludf.DUMMYFUNCTION("""COMPUTED_VALUE"""),"https://link.springer.com/journal/42438")</f>
        <v>https://link.springer.com/journal/42438</v>
      </c>
      <c r="I1815" s="1" t="str">
        <f ca="1">IFERROR(__xludf.DUMMYFUNCTION("""COMPUTED_VALUE"""),"Springer")</f>
        <v>Springer</v>
      </c>
      <c r="J1815" s="1">
        <f ca="1">IFERROR(__xludf.DUMMYFUNCTION("""COMPUTED_VALUE"""),2019)</f>
        <v>2019</v>
      </c>
      <c r="K1815" s="1" t="str">
        <f ca="1">IFERROR(__xludf.DUMMYFUNCTION("""COMPUTED_VALUE"""),"Education")</f>
        <v>Education</v>
      </c>
      <c r="L1815" s="1" t="str">
        <f ca="1">IFERROR(__xludf.DUMMYFUNCTION("""COMPUTED_VALUE"""),"〇")</f>
        <v>〇</v>
      </c>
      <c r="M1815" s="1"/>
      <c r="N1815" s="1" t="str">
        <f ca="1">IFERROR(__xludf.DUMMYFUNCTION("""COMPUTED_VALUE"""),"SNS19")</f>
        <v>SNS19</v>
      </c>
      <c r="O1815" s="1"/>
      <c r="P1815" s="1"/>
    </row>
    <row r="1816" spans="1:16" ht="14.25" customHeight="1" x14ac:dyDescent="0.25">
      <c r="A1816" s="1"/>
      <c r="B1816" s="1">
        <f ca="1"/>
        <v>1804</v>
      </c>
      <c r="C1816" s="1">
        <f ca="1">IFERROR(__xludf.DUMMYFUNCTION("""COMPUTED_VALUE"""),2023)</f>
        <v>2023</v>
      </c>
      <c r="D1816" s="1">
        <f ca="1">IFERROR(__xludf.DUMMYFUNCTION("""COMPUTED_VALUE"""),11540)</f>
        <v>11540</v>
      </c>
      <c r="E1816" s="1" t="str">
        <f ca="1">IFERROR(__xludf.DUMMYFUNCTION("""COMPUTED_VALUE"""),"Potato Research")</f>
        <v>Potato Research</v>
      </c>
      <c r="F1816" s="1" t="str">
        <f ca="1">IFERROR(__xludf.DUMMYFUNCTION("""COMPUTED_VALUE"""),"1871-4528")</f>
        <v>1871-4528</v>
      </c>
      <c r="G1816" s="1" t="str">
        <f ca="1">IFERROR(__xludf.DUMMYFUNCTION("""COMPUTED_VALUE"""),"0014-3065")</f>
        <v>0014-3065</v>
      </c>
      <c r="H1816" s="27" t="str">
        <f ca="1">IFERROR(__xludf.DUMMYFUNCTION("""COMPUTED_VALUE"""),"https://link.springer.com/journal/11540")</f>
        <v>https://link.springer.com/journal/11540</v>
      </c>
      <c r="I1816" s="1" t="str">
        <f ca="1">IFERROR(__xludf.DUMMYFUNCTION("""COMPUTED_VALUE"""),"Springer")</f>
        <v>Springer</v>
      </c>
      <c r="J1816" s="1">
        <f ca="1">IFERROR(__xludf.DUMMYFUNCTION("""COMPUTED_VALUE"""),2000)</f>
        <v>2000</v>
      </c>
      <c r="K1816" s="1" t="str">
        <f ca="1">IFERROR(__xludf.DUMMYFUNCTION("""COMPUTED_VALUE"""),"Biomedical and Life Sciences")</f>
        <v>Biomedical and Life Sciences</v>
      </c>
      <c r="L1816" s="1" t="str">
        <f ca="1">IFERROR(__xludf.DUMMYFUNCTION("""COMPUTED_VALUE"""),"〇")</f>
        <v>〇</v>
      </c>
      <c r="M1816" s="1" t="str">
        <f ca="1">IFERROR(__xludf.DUMMYFUNCTION("""COMPUTED_VALUE"""),"〇")</f>
        <v>〇</v>
      </c>
      <c r="N1816" s="1"/>
      <c r="O1816" s="1"/>
      <c r="P1816" s="1"/>
    </row>
    <row r="1817" spans="1:16" ht="14.25" customHeight="1" x14ac:dyDescent="0.25">
      <c r="A1817" s="1"/>
      <c r="B1817" s="1">
        <f ca="1"/>
        <v>1805</v>
      </c>
      <c r="C1817" s="1">
        <f ca="1">IFERROR(__xludf.DUMMYFUNCTION("""COMPUTED_VALUE"""),2023)</f>
        <v>2023</v>
      </c>
      <c r="D1817" s="1">
        <f ca="1">IFERROR(__xludf.DUMMYFUNCTION("""COMPUTED_VALUE"""),11118)</f>
        <v>11118</v>
      </c>
      <c r="E1817" s="1" t="str">
        <f ca="1">IFERROR(__xludf.DUMMYFUNCTION("""COMPUTED_VALUE"""),"Potential Analysis")</f>
        <v>Potential Analysis</v>
      </c>
      <c r="F1817" s="1" t="str">
        <f ca="1">IFERROR(__xludf.DUMMYFUNCTION("""COMPUTED_VALUE"""),"1572-929X")</f>
        <v>1572-929X</v>
      </c>
      <c r="G1817" s="1" t="str">
        <f ca="1">IFERROR(__xludf.DUMMYFUNCTION("""COMPUTED_VALUE"""),"0926-2601")</f>
        <v>0926-2601</v>
      </c>
      <c r="H1817" s="27" t="str">
        <f ca="1">IFERROR(__xludf.DUMMYFUNCTION("""COMPUTED_VALUE"""),"https://link.springer.com/journal/11118")</f>
        <v>https://link.springer.com/journal/11118</v>
      </c>
      <c r="I1817" s="1" t="str">
        <f ca="1">IFERROR(__xludf.DUMMYFUNCTION("""COMPUTED_VALUE"""),"Springer")</f>
        <v>Springer</v>
      </c>
      <c r="J1817" s="1">
        <f ca="1">IFERROR(__xludf.DUMMYFUNCTION("""COMPUTED_VALUE"""),2000)</f>
        <v>2000</v>
      </c>
      <c r="K1817" s="1" t="str">
        <f ca="1">IFERROR(__xludf.DUMMYFUNCTION("""COMPUTED_VALUE"""),"Mathematics and Statistics")</f>
        <v>Mathematics and Statistics</v>
      </c>
      <c r="L1817" s="1" t="str">
        <f ca="1">IFERROR(__xludf.DUMMYFUNCTION("""COMPUTED_VALUE"""),"〇")</f>
        <v>〇</v>
      </c>
      <c r="M1817" s="1" t="str">
        <f ca="1">IFERROR(__xludf.DUMMYFUNCTION("""COMPUTED_VALUE"""),"〇")</f>
        <v>〇</v>
      </c>
      <c r="N1817" s="1"/>
      <c r="O1817" s="1"/>
      <c r="P1817" s="1"/>
    </row>
    <row r="1818" spans="1:16" ht="14.25" customHeight="1" x14ac:dyDescent="0.25">
      <c r="A1818" s="1"/>
      <c r="B1818" s="1">
        <f ca="1"/>
        <v>1806</v>
      </c>
      <c r="C1818" s="1">
        <f ca="1">IFERROR(__xludf.DUMMYFUNCTION("""COMPUTED_VALUE"""),2023)</f>
        <v>2023</v>
      </c>
      <c r="D1818" s="1">
        <f ca="1">IFERROR(__xludf.DUMMYFUNCTION("""COMPUTED_VALUE"""),11106)</f>
        <v>11106</v>
      </c>
      <c r="E1818" s="1" t="str">
        <f ca="1">IFERROR(__xludf.DUMMYFUNCTION("""COMPUTED_VALUE"""),"Powder Metallurgy and Metal Ceramics")</f>
        <v>Powder Metallurgy and Metal Ceramics</v>
      </c>
      <c r="F1818" s="1" t="str">
        <f ca="1">IFERROR(__xludf.DUMMYFUNCTION("""COMPUTED_VALUE"""),"1573-9066")</f>
        <v>1573-9066</v>
      </c>
      <c r="G1818" s="1" t="str">
        <f ca="1">IFERROR(__xludf.DUMMYFUNCTION("""COMPUTED_VALUE"""),"1068-1302")</f>
        <v>1068-1302</v>
      </c>
      <c r="H1818" s="27" t="str">
        <f ca="1">IFERROR(__xludf.DUMMYFUNCTION("""COMPUTED_VALUE"""),"https://link.springer.com/journal/11106")</f>
        <v>https://link.springer.com/journal/11106</v>
      </c>
      <c r="I1818" s="1" t="str">
        <f ca="1">IFERROR(__xludf.DUMMYFUNCTION("""COMPUTED_VALUE"""),"Springer")</f>
        <v>Springer</v>
      </c>
      <c r="J1818" s="1">
        <f ca="1">IFERROR(__xludf.DUMMYFUNCTION("""COMPUTED_VALUE"""),2000)</f>
        <v>2000</v>
      </c>
      <c r="K1818" s="1" t="str">
        <f ca="1">IFERROR(__xludf.DUMMYFUNCTION("""COMPUTED_VALUE"""),"Chemistry and Materials Science")</f>
        <v>Chemistry and Materials Science</v>
      </c>
      <c r="L1818" s="1" t="str">
        <f ca="1">IFERROR(__xludf.DUMMYFUNCTION("""COMPUTED_VALUE"""),"〇")</f>
        <v>〇</v>
      </c>
      <c r="M1818" s="1" t="str">
        <f ca="1">IFERROR(__xludf.DUMMYFUNCTION("""COMPUTED_VALUE"""),"〇")</f>
        <v>〇</v>
      </c>
      <c r="N1818" s="1"/>
      <c r="O1818" s="1"/>
      <c r="P1818" s="1"/>
    </row>
    <row r="1819" spans="1:16" ht="14.25" customHeight="1" x14ac:dyDescent="0.25">
      <c r="A1819" s="1"/>
      <c r="B1819" s="1">
        <f ca="1"/>
        <v>1807</v>
      </c>
      <c r="C1819" s="1">
        <f ca="1">IFERROR(__xludf.DUMMYFUNCTION("""COMPUTED_VALUE"""),2023)</f>
        <v>2023</v>
      </c>
      <c r="D1819" s="1">
        <f ca="1">IFERROR(__xludf.DUMMYFUNCTION("""COMPUTED_VALUE"""),10749)</f>
        <v>10749</v>
      </c>
      <c r="E1819" s="1" t="str">
        <f ca="1">IFERROR(__xludf.DUMMYFUNCTION("""COMPUTED_VALUE"""),"Power Technology and Engineering")</f>
        <v>Power Technology and Engineering</v>
      </c>
      <c r="F1819" s="1" t="str">
        <f ca="1">IFERROR(__xludf.DUMMYFUNCTION("""COMPUTED_VALUE"""),"1570-1468")</f>
        <v>1570-1468</v>
      </c>
      <c r="G1819" s="1" t="str">
        <f ca="1">IFERROR(__xludf.DUMMYFUNCTION("""COMPUTED_VALUE"""),"1570-145X")</f>
        <v>1570-145X</v>
      </c>
      <c r="H1819" s="27" t="str">
        <f ca="1">IFERROR(__xludf.DUMMYFUNCTION("""COMPUTED_VALUE"""),"https://link.springer.com/journal/10749")</f>
        <v>https://link.springer.com/journal/10749</v>
      </c>
      <c r="I1819" s="1" t="str">
        <f ca="1">IFERROR(__xludf.DUMMYFUNCTION("""COMPUTED_VALUE"""),"Springer")</f>
        <v>Springer</v>
      </c>
      <c r="J1819" s="1">
        <f ca="1">IFERROR(__xludf.DUMMYFUNCTION("""COMPUTED_VALUE"""),2000)</f>
        <v>2000</v>
      </c>
      <c r="K1819" s="1" t="str">
        <f ca="1">IFERROR(__xludf.DUMMYFUNCTION("""COMPUTED_VALUE"""),"Energy")</f>
        <v>Energy</v>
      </c>
      <c r="L1819" s="1" t="str">
        <f ca="1">IFERROR(__xludf.DUMMYFUNCTION("""COMPUTED_VALUE"""),"〇")</f>
        <v>〇</v>
      </c>
      <c r="M1819" s="1" t="str">
        <f ca="1">IFERROR(__xludf.DUMMYFUNCTION("""COMPUTED_VALUE"""),"〇")</f>
        <v>〇</v>
      </c>
      <c r="N1819" s="1"/>
      <c r="O1819" s="1"/>
      <c r="P1819" s="1"/>
    </row>
    <row r="1820" spans="1:16" ht="14.25" customHeight="1" x14ac:dyDescent="0.25">
      <c r="A1820" s="1"/>
      <c r="B1820" s="1">
        <f ca="1"/>
        <v>1808</v>
      </c>
      <c r="C1820" s="1">
        <f ca="1">IFERROR(__xludf.DUMMYFUNCTION("""COMPUTED_VALUE"""),2023)</f>
        <v>2023</v>
      </c>
      <c r="D1820" s="1">
        <f ca="1">IFERROR(__xludf.DUMMYFUNCTION("""COMPUTED_VALUE"""),12043)</f>
        <v>12043</v>
      </c>
      <c r="E1820" s="1" t="str">
        <f ca="1">IFERROR(__xludf.DUMMYFUNCTION("""COMPUTED_VALUE"""),"Pramana")</f>
        <v>Pramana</v>
      </c>
      <c r="F1820" s="1" t="str">
        <f ca="1">IFERROR(__xludf.DUMMYFUNCTION("""COMPUTED_VALUE"""),"0973-7111")</f>
        <v>0973-7111</v>
      </c>
      <c r="G1820" s="1"/>
      <c r="H1820" s="27" t="str">
        <f ca="1">IFERROR(__xludf.DUMMYFUNCTION("""COMPUTED_VALUE"""),"https://link.springer.com/journal/12043")</f>
        <v>https://link.springer.com/journal/12043</v>
      </c>
      <c r="I1820" s="1" t="str">
        <f ca="1">IFERROR(__xludf.DUMMYFUNCTION("""COMPUTED_VALUE"""),"Springer")</f>
        <v>Springer</v>
      </c>
      <c r="J1820" s="1">
        <f ca="1">IFERROR(__xludf.DUMMYFUNCTION("""COMPUTED_VALUE"""),2000)</f>
        <v>2000</v>
      </c>
      <c r="K1820" s="1" t="str">
        <f ca="1">IFERROR(__xludf.DUMMYFUNCTION("""COMPUTED_VALUE"""),"Physics and Astronomy")</f>
        <v>Physics and Astronomy</v>
      </c>
      <c r="L1820" s="1"/>
      <c r="M1820" s="1" t="str">
        <f ca="1">IFERROR(__xludf.DUMMYFUNCTION("""COMPUTED_VALUE"""),"〇")</f>
        <v>〇</v>
      </c>
      <c r="N1820" s="1" t="str">
        <f ca="1">IFERROR(__xludf.DUMMYFUNCTION("""COMPUTED_VALUE"""),"SNS7")</f>
        <v>SNS7</v>
      </c>
      <c r="O1820" s="1"/>
      <c r="P1820" s="1"/>
    </row>
    <row r="1821" spans="1:16" ht="14.25" customHeight="1" x14ac:dyDescent="0.25">
      <c r="A1821" s="1"/>
      <c r="B1821" s="1">
        <f ca="1"/>
        <v>1809</v>
      </c>
      <c r="C1821" s="1">
        <f ca="1">IFERROR(__xludf.DUMMYFUNCTION("""COMPUTED_VALUE"""),2023)</f>
        <v>2023</v>
      </c>
      <c r="D1821" s="1">
        <f ca="1">IFERROR(__xludf.DUMMYFUNCTION("""COMPUTED_VALUE"""),11553)</f>
        <v>11553</v>
      </c>
      <c r="E1821" s="1" t="str">
        <f ca="1">IFERROR(__xludf.DUMMYFUNCTION("""COMPUTED_VALUE"""),"Prävention und Gesundheitsförderung")</f>
        <v>Prävention und Gesundheitsförderung</v>
      </c>
      <c r="F1821" s="1" t="str">
        <f ca="1">IFERROR(__xludf.DUMMYFUNCTION("""COMPUTED_VALUE"""),"1861-6763")</f>
        <v>1861-6763</v>
      </c>
      <c r="G1821" s="1" t="str">
        <f ca="1">IFERROR(__xludf.DUMMYFUNCTION("""COMPUTED_VALUE"""),"1861-6755")</f>
        <v>1861-6755</v>
      </c>
      <c r="H1821" s="27" t="str">
        <f ca="1">IFERROR(__xludf.DUMMYFUNCTION("""COMPUTED_VALUE"""),"https://link.springer.com/journal/11553")</f>
        <v>https://link.springer.com/journal/11553</v>
      </c>
      <c r="I1821" s="1" t="str">
        <f ca="1">IFERROR(__xludf.DUMMYFUNCTION("""COMPUTED_VALUE"""),"Springer")</f>
        <v>Springer</v>
      </c>
      <c r="J1821" s="1">
        <f ca="1">IFERROR(__xludf.DUMMYFUNCTION("""COMPUTED_VALUE"""),2006)</f>
        <v>2006</v>
      </c>
      <c r="K1821" s="1" t="str">
        <f ca="1">IFERROR(__xludf.DUMMYFUNCTION("""COMPUTED_VALUE"""),"Medicine")</f>
        <v>Medicine</v>
      </c>
      <c r="L1821" s="1" t="str">
        <f ca="1">IFERROR(__xludf.DUMMYFUNCTION("""COMPUTED_VALUE"""),"〇")</f>
        <v>〇</v>
      </c>
      <c r="M1821" s="1" t="str">
        <f ca="1">IFERROR(__xludf.DUMMYFUNCTION("""COMPUTED_VALUE"""),"〇")</f>
        <v>〇</v>
      </c>
      <c r="N1821" s="1"/>
      <c r="O1821" s="1"/>
      <c r="P1821" s="1"/>
    </row>
    <row r="1822" spans="1:16" ht="14.25" customHeight="1" x14ac:dyDescent="0.25">
      <c r="A1822" s="1"/>
      <c r="B1822" s="1">
        <f ca="1"/>
        <v>1810</v>
      </c>
      <c r="C1822" s="1">
        <f ca="1">IFERROR(__xludf.DUMMYFUNCTION("""COMPUTED_VALUE"""),2023)</f>
        <v>2023</v>
      </c>
      <c r="D1822" s="1">
        <f ca="1">IFERROR(__xludf.DUMMYFUNCTION("""COMPUTED_VALUE"""),11119)</f>
        <v>11119</v>
      </c>
      <c r="E1822" s="1" t="str">
        <f ca="1">IFERROR(__xludf.DUMMYFUNCTION("""COMPUTED_VALUE"""),"Precision Agriculture")</f>
        <v>Precision Agriculture</v>
      </c>
      <c r="F1822" s="1" t="str">
        <f ca="1">IFERROR(__xludf.DUMMYFUNCTION("""COMPUTED_VALUE"""),"1573-1618")</f>
        <v>1573-1618</v>
      </c>
      <c r="G1822" s="1" t="str">
        <f ca="1">IFERROR(__xludf.DUMMYFUNCTION("""COMPUTED_VALUE"""),"1385-2256")</f>
        <v>1385-2256</v>
      </c>
      <c r="H1822" s="27" t="str">
        <f ca="1">IFERROR(__xludf.DUMMYFUNCTION("""COMPUTED_VALUE"""),"https://link.springer.com/journal/11119")</f>
        <v>https://link.springer.com/journal/11119</v>
      </c>
      <c r="I1822" s="1" t="str">
        <f ca="1">IFERROR(__xludf.DUMMYFUNCTION("""COMPUTED_VALUE"""),"Springer")</f>
        <v>Springer</v>
      </c>
      <c r="J1822" s="1">
        <f ca="1">IFERROR(__xludf.DUMMYFUNCTION("""COMPUTED_VALUE"""),2000)</f>
        <v>2000</v>
      </c>
      <c r="K1822" s="1" t="str">
        <f ca="1">IFERROR(__xludf.DUMMYFUNCTION("""COMPUTED_VALUE"""),"Biomedical and Life Sciences")</f>
        <v>Biomedical and Life Sciences</v>
      </c>
      <c r="L1822" s="1" t="str">
        <f ca="1">IFERROR(__xludf.DUMMYFUNCTION("""COMPUTED_VALUE"""),"〇")</f>
        <v>〇</v>
      </c>
      <c r="M1822" s="1" t="str">
        <f ca="1">IFERROR(__xludf.DUMMYFUNCTION("""COMPUTED_VALUE"""),"〇")</f>
        <v>〇</v>
      </c>
      <c r="N1822" s="1"/>
      <c r="O1822" s="1"/>
      <c r="P1822" s="1"/>
    </row>
    <row r="1823" spans="1:16" ht="14.25" customHeight="1" x14ac:dyDescent="0.25">
      <c r="A1823" s="1"/>
      <c r="B1823" s="1">
        <f ca="1"/>
        <v>1811</v>
      </c>
      <c r="C1823" s="1">
        <f ca="1">IFERROR(__xludf.DUMMYFUNCTION("""COMPUTED_VALUE"""),2023)</f>
        <v>2023</v>
      </c>
      <c r="D1823" s="1">
        <f ca="1">IFERROR(__xludf.DUMMYFUNCTION("""COMPUTED_VALUE"""),11121)</f>
        <v>11121</v>
      </c>
      <c r="E1823" s="1" t="str">
        <f ca="1">IFERROR(__xludf.DUMMYFUNCTION("""COMPUTED_VALUE"""),"Prevention Science")</f>
        <v>Prevention Science</v>
      </c>
      <c r="F1823" s="1" t="str">
        <f ca="1">IFERROR(__xludf.DUMMYFUNCTION("""COMPUTED_VALUE"""),"1573-6695")</f>
        <v>1573-6695</v>
      </c>
      <c r="G1823" s="1" t="str">
        <f ca="1">IFERROR(__xludf.DUMMYFUNCTION("""COMPUTED_VALUE"""),"1389-4986")</f>
        <v>1389-4986</v>
      </c>
      <c r="H1823" s="27" t="str">
        <f ca="1">IFERROR(__xludf.DUMMYFUNCTION("""COMPUTED_VALUE"""),"https://link.springer.com/journal/11121")</f>
        <v>https://link.springer.com/journal/11121</v>
      </c>
      <c r="I1823" s="1" t="str">
        <f ca="1">IFERROR(__xludf.DUMMYFUNCTION("""COMPUTED_VALUE"""),"Springer")</f>
        <v>Springer</v>
      </c>
      <c r="J1823" s="1">
        <f ca="1">IFERROR(__xludf.DUMMYFUNCTION("""COMPUTED_VALUE"""),2000)</f>
        <v>2000</v>
      </c>
      <c r="K1823" s="1" t="str">
        <f ca="1">IFERROR(__xludf.DUMMYFUNCTION("""COMPUTED_VALUE"""),"Medicine")</f>
        <v>Medicine</v>
      </c>
      <c r="L1823" s="1" t="str">
        <f ca="1">IFERROR(__xludf.DUMMYFUNCTION("""COMPUTED_VALUE"""),"〇")</f>
        <v>〇</v>
      </c>
      <c r="M1823" s="1" t="str">
        <f ca="1">IFERROR(__xludf.DUMMYFUNCTION("""COMPUTED_VALUE"""),"〇")</f>
        <v>〇</v>
      </c>
      <c r="N1823" s="1"/>
      <c r="O1823" s="1"/>
      <c r="P1823" s="1"/>
    </row>
    <row r="1824" spans="1:16" ht="14.25" customHeight="1" x14ac:dyDescent="0.25">
      <c r="A1824" s="1"/>
      <c r="B1824" s="1">
        <f ca="1"/>
        <v>1812</v>
      </c>
      <c r="C1824" s="1">
        <f ca="1">IFERROR(__xludf.DUMMYFUNCTION("""COMPUTED_VALUE"""),2023)</f>
        <v>2023</v>
      </c>
      <c r="D1824" s="1">
        <f ca="1">IFERROR(__xludf.DUMMYFUNCTION("""COMPUTED_VALUE"""),10329)</f>
        <v>10329</v>
      </c>
      <c r="E1824" s="1" t="str">
        <f ca="1">IFERROR(__xludf.DUMMYFUNCTION("""COMPUTED_VALUE"""),"Primates")</f>
        <v>Primates</v>
      </c>
      <c r="F1824" s="1" t="str">
        <f ca="1">IFERROR(__xludf.DUMMYFUNCTION("""COMPUTED_VALUE"""),"1610-7365")</f>
        <v>1610-7365</v>
      </c>
      <c r="G1824" s="1" t="str">
        <f ca="1">IFERROR(__xludf.DUMMYFUNCTION("""COMPUTED_VALUE"""),"0032-8332")</f>
        <v>0032-8332</v>
      </c>
      <c r="H1824" s="27" t="str">
        <f ca="1">IFERROR(__xludf.DUMMYFUNCTION("""COMPUTED_VALUE"""),"https://link.springer.com/journal/10329")</f>
        <v>https://link.springer.com/journal/10329</v>
      </c>
      <c r="I1824" s="1" t="str">
        <f ca="1">IFERROR(__xludf.DUMMYFUNCTION("""COMPUTED_VALUE"""),"Springer")</f>
        <v>Springer</v>
      </c>
      <c r="J1824" s="1">
        <f ca="1">IFERROR(__xludf.DUMMYFUNCTION("""COMPUTED_VALUE"""),2000)</f>
        <v>2000</v>
      </c>
      <c r="K1824" s="1" t="str">
        <f ca="1">IFERROR(__xludf.DUMMYFUNCTION("""COMPUTED_VALUE"""),"Biomedical and Life Sciences")</f>
        <v>Biomedical and Life Sciences</v>
      </c>
      <c r="L1824" s="1" t="str">
        <f ca="1">IFERROR(__xludf.DUMMYFUNCTION("""COMPUTED_VALUE"""),"〇")</f>
        <v>〇</v>
      </c>
      <c r="M1824" s="1" t="str">
        <f ca="1">IFERROR(__xludf.DUMMYFUNCTION("""COMPUTED_VALUE"""),"〇")</f>
        <v>〇</v>
      </c>
      <c r="N1824" s="1"/>
      <c r="O1824" s="1"/>
      <c r="P1824" s="1"/>
    </row>
    <row r="1825" spans="1:16" ht="14.25" customHeight="1" x14ac:dyDescent="0.25">
      <c r="A1825" s="1"/>
      <c r="B1825" s="1">
        <f ca="1"/>
        <v>1813</v>
      </c>
      <c r="C1825" s="1">
        <f ca="1">IFERROR(__xludf.DUMMYFUNCTION("""COMPUTED_VALUE"""),2023)</f>
        <v>2023</v>
      </c>
      <c r="D1825" s="1">
        <f ca="1">IFERROR(__xludf.DUMMYFUNCTION("""COMPUTED_VALUE"""),440)</f>
        <v>440</v>
      </c>
      <c r="E1825" s="1" t="str">
        <f ca="1">IFERROR(__xludf.DUMMYFUNCTION("""COMPUTED_VALUE"""),"Probability Theory and Related Fields")</f>
        <v>Probability Theory and Related Fields</v>
      </c>
      <c r="F1825" s="1" t="str">
        <f ca="1">IFERROR(__xludf.DUMMYFUNCTION("""COMPUTED_VALUE"""),"1432-2064")</f>
        <v>1432-2064</v>
      </c>
      <c r="G1825" s="1" t="str">
        <f ca="1">IFERROR(__xludf.DUMMYFUNCTION("""COMPUTED_VALUE"""),"0178-8051")</f>
        <v>0178-8051</v>
      </c>
      <c r="H1825" s="27" t="str">
        <f ca="1">IFERROR(__xludf.DUMMYFUNCTION("""COMPUTED_VALUE"""),"https://link.springer.com/journal/440")</f>
        <v>https://link.springer.com/journal/440</v>
      </c>
      <c r="I1825" s="1" t="str">
        <f ca="1">IFERROR(__xludf.DUMMYFUNCTION("""COMPUTED_VALUE"""),"Springer")</f>
        <v>Springer</v>
      </c>
      <c r="J1825" s="1">
        <f ca="1">IFERROR(__xludf.DUMMYFUNCTION("""COMPUTED_VALUE"""),2000)</f>
        <v>2000</v>
      </c>
      <c r="K1825" s="1" t="str">
        <f ca="1">IFERROR(__xludf.DUMMYFUNCTION("""COMPUTED_VALUE"""),"Mathematics and Statistics")</f>
        <v>Mathematics and Statistics</v>
      </c>
      <c r="L1825" s="1" t="str">
        <f ca="1">IFERROR(__xludf.DUMMYFUNCTION("""COMPUTED_VALUE"""),"〇")</f>
        <v>〇</v>
      </c>
      <c r="M1825" s="1" t="str">
        <f ca="1">IFERROR(__xludf.DUMMYFUNCTION("""COMPUTED_VALUE"""),"〇")</f>
        <v>〇</v>
      </c>
      <c r="N1825" s="1"/>
      <c r="O1825" s="1"/>
      <c r="P1825" s="1"/>
    </row>
    <row r="1826" spans="1:16" ht="14.25" customHeight="1" x14ac:dyDescent="0.25">
      <c r="A1826" s="1"/>
      <c r="B1826" s="1">
        <f ca="1"/>
        <v>1814</v>
      </c>
      <c r="C1826" s="1">
        <f ca="1">IFERROR(__xludf.DUMMYFUNCTION("""COMPUTED_VALUE"""),2023)</f>
        <v>2023</v>
      </c>
      <c r="D1826" s="1">
        <f ca="1">IFERROR(__xludf.DUMMYFUNCTION("""COMPUTED_VALUE"""),12602)</f>
        <v>12602</v>
      </c>
      <c r="E1826" s="1" t="str">
        <f ca="1">IFERROR(__xludf.DUMMYFUNCTION("""COMPUTED_VALUE"""),"Probiotics and Antimicrobial Proteins")</f>
        <v>Probiotics and Antimicrobial Proteins</v>
      </c>
      <c r="F1826" s="1" t="str">
        <f ca="1">IFERROR(__xludf.DUMMYFUNCTION("""COMPUTED_VALUE"""),"1867-1314")</f>
        <v>1867-1314</v>
      </c>
      <c r="G1826" s="1"/>
      <c r="H1826" s="27" t="str">
        <f ca="1">IFERROR(__xludf.DUMMYFUNCTION("""COMPUTED_VALUE"""),"https://link.springer.com/journal/12602")</f>
        <v>https://link.springer.com/journal/12602</v>
      </c>
      <c r="I1826" s="1" t="str">
        <f ca="1">IFERROR(__xludf.DUMMYFUNCTION("""COMPUTED_VALUE"""),"Springer")</f>
        <v>Springer</v>
      </c>
      <c r="J1826" s="1">
        <f ca="1">IFERROR(__xludf.DUMMYFUNCTION("""COMPUTED_VALUE"""),2009)</f>
        <v>2009</v>
      </c>
      <c r="K1826" s="1" t="str">
        <f ca="1">IFERROR(__xludf.DUMMYFUNCTION("""COMPUTED_VALUE"""),"Chemistry and Materials Science")</f>
        <v>Chemistry and Materials Science</v>
      </c>
      <c r="L1826" s="1"/>
      <c r="M1826" s="1" t="str">
        <f ca="1">IFERROR(__xludf.DUMMYFUNCTION("""COMPUTED_VALUE"""),"〇")</f>
        <v>〇</v>
      </c>
      <c r="N1826" s="1" t="str">
        <f ca="1">IFERROR(__xludf.DUMMYFUNCTION("""COMPUTED_VALUE"""),"SNS9")</f>
        <v>SNS9</v>
      </c>
      <c r="O1826" s="1"/>
      <c r="P1826" s="1"/>
    </row>
    <row r="1827" spans="1:16" ht="14.25" customHeight="1" x14ac:dyDescent="0.25">
      <c r="A1827" s="1"/>
      <c r="B1827" s="1">
        <f ca="1"/>
        <v>1815</v>
      </c>
      <c r="C1827" s="1">
        <f ca="1">IFERROR(__xludf.DUMMYFUNCTION("""COMPUTED_VALUE"""),2023)</f>
        <v>2023</v>
      </c>
      <c r="D1827" s="1">
        <f ca="1">IFERROR(__xludf.DUMMYFUNCTION("""COMPUTED_VALUE"""),11122)</f>
        <v>11122</v>
      </c>
      <c r="E1827" s="1" t="str">
        <f ca="1">IFERROR(__xludf.DUMMYFUNCTION("""COMPUTED_VALUE"""),"Problems of Information Transmission")</f>
        <v>Problems of Information Transmission</v>
      </c>
      <c r="F1827" s="1" t="str">
        <f ca="1">IFERROR(__xludf.DUMMYFUNCTION("""COMPUTED_VALUE"""),"1608-3253")</f>
        <v>1608-3253</v>
      </c>
      <c r="G1827" s="1" t="str">
        <f ca="1">IFERROR(__xludf.DUMMYFUNCTION("""COMPUTED_VALUE"""),"0032-9460")</f>
        <v>0032-9460</v>
      </c>
      <c r="H1827" s="27" t="str">
        <f ca="1">IFERROR(__xludf.DUMMYFUNCTION("""COMPUTED_VALUE"""),"https://link.springer.com/journal/11122")</f>
        <v>https://link.springer.com/journal/11122</v>
      </c>
      <c r="I1827" s="1" t="str">
        <f ca="1">IFERROR(__xludf.DUMMYFUNCTION("""COMPUTED_VALUE"""),"Pleiades Publishing")</f>
        <v>Pleiades Publishing</v>
      </c>
      <c r="J1827" s="1">
        <f ca="1">IFERROR(__xludf.DUMMYFUNCTION("""COMPUTED_VALUE"""),2001)</f>
        <v>2001</v>
      </c>
      <c r="K1827" s="1" t="str">
        <f ca="1">IFERROR(__xludf.DUMMYFUNCTION("""COMPUTED_VALUE"""),"Engineering")</f>
        <v>Engineering</v>
      </c>
      <c r="L1827" s="1" t="str">
        <f ca="1">IFERROR(__xludf.DUMMYFUNCTION("""COMPUTED_VALUE"""),"〇")</f>
        <v>〇</v>
      </c>
      <c r="M1827" s="1" t="str">
        <f ca="1">IFERROR(__xludf.DUMMYFUNCTION("""COMPUTED_VALUE"""),"〇")</f>
        <v>〇</v>
      </c>
      <c r="N1827" s="1"/>
      <c r="O1827" s="1"/>
      <c r="P1827" s="1"/>
    </row>
    <row r="1828" spans="1:16" ht="14.25" customHeight="1" x14ac:dyDescent="0.25">
      <c r="A1828" s="1"/>
      <c r="B1828" s="1">
        <f ca="1"/>
        <v>1816</v>
      </c>
      <c r="C1828" s="1">
        <f ca="1">IFERROR(__xludf.DUMMYFUNCTION("""COMPUTED_VALUE"""),2023)</f>
        <v>2023</v>
      </c>
      <c r="D1828" s="1">
        <f ca="1">IFERROR(__xludf.DUMMYFUNCTION("""COMPUTED_VALUE"""),735)</f>
        <v>735</v>
      </c>
      <c r="E1828" s="1" t="str">
        <f ca="1">IFERROR(__xludf.DUMMYFUNCTION("""COMPUTED_VALUE"""),"ProCare")</f>
        <v>ProCare</v>
      </c>
      <c r="F1828" s="1" t="str">
        <f ca="1">IFERROR(__xludf.DUMMYFUNCTION("""COMPUTED_VALUE"""),"1613-7574")</f>
        <v>1613-7574</v>
      </c>
      <c r="G1828" s="1" t="str">
        <f ca="1">IFERROR(__xludf.DUMMYFUNCTION("""COMPUTED_VALUE"""),"0949-7323")</f>
        <v>0949-7323</v>
      </c>
      <c r="H1828" s="27" t="str">
        <f ca="1">IFERROR(__xludf.DUMMYFUNCTION("""COMPUTED_VALUE"""),"https://link.springer.com/journal/735")</f>
        <v>https://link.springer.com/journal/735</v>
      </c>
      <c r="I1828" s="1" t="str">
        <f ca="1">IFERROR(__xludf.DUMMYFUNCTION("""COMPUTED_VALUE"""),"SpringerMedizin")</f>
        <v>SpringerMedizin</v>
      </c>
      <c r="J1828" s="1">
        <f ca="1">IFERROR(__xludf.DUMMYFUNCTION("""COMPUTED_VALUE"""),2008)</f>
        <v>2008</v>
      </c>
      <c r="K1828" s="1" t="str">
        <f ca="1">IFERROR(__xludf.DUMMYFUNCTION("""COMPUTED_VALUE"""),"Medicine")</f>
        <v>Medicine</v>
      </c>
      <c r="L1828" s="1" t="str">
        <f ca="1">IFERROR(__xludf.DUMMYFUNCTION("""COMPUTED_VALUE"""),"〇")</f>
        <v>〇</v>
      </c>
      <c r="M1828" s="1" t="str">
        <f ca="1">IFERROR(__xludf.DUMMYFUNCTION("""COMPUTED_VALUE"""),"〇")</f>
        <v>〇</v>
      </c>
      <c r="N1828" s="1"/>
      <c r="O1828" s="1"/>
      <c r="P1828" s="1"/>
    </row>
    <row r="1829" spans="1:16" ht="14.25" customHeight="1" x14ac:dyDescent="0.25">
      <c r="A1829" s="1"/>
      <c r="B1829" s="1">
        <f ca="1"/>
        <v>1817</v>
      </c>
      <c r="C1829" s="1">
        <f ca="1">IFERROR(__xludf.DUMMYFUNCTION("""COMPUTED_VALUE"""),2023)</f>
        <v>2023</v>
      </c>
      <c r="D1829" s="1">
        <f ca="1">IFERROR(__xludf.DUMMYFUNCTION("""COMPUTED_VALUE"""),12044)</f>
        <v>12044</v>
      </c>
      <c r="E1829" s="1" t="str">
        <f ca="1">IFERROR(__xludf.DUMMYFUNCTION("""COMPUTED_VALUE"""),"Proceedings - Mathematical Sciences")</f>
        <v>Proceedings - Mathematical Sciences</v>
      </c>
      <c r="F1829" s="1" t="str">
        <f ca="1">IFERROR(__xludf.DUMMYFUNCTION("""COMPUTED_VALUE"""),"0973-7685")</f>
        <v>0973-7685</v>
      </c>
      <c r="G1829" s="1"/>
      <c r="H1829" s="27" t="str">
        <f ca="1">IFERROR(__xludf.DUMMYFUNCTION("""COMPUTED_VALUE"""),"https://link.springer.com/journal/12044")</f>
        <v>https://link.springer.com/journal/12044</v>
      </c>
      <c r="I1829" s="1" t="str">
        <f ca="1">IFERROR(__xludf.DUMMYFUNCTION("""COMPUTED_VALUE"""),"Springer")</f>
        <v>Springer</v>
      </c>
      <c r="J1829" s="1">
        <f ca="1">IFERROR(__xludf.DUMMYFUNCTION("""COMPUTED_VALUE"""),2000)</f>
        <v>2000</v>
      </c>
      <c r="K1829" s="1" t="str">
        <f ca="1">IFERROR(__xludf.DUMMYFUNCTION("""COMPUTED_VALUE"""),"Mathematics and Statistics")</f>
        <v>Mathematics and Statistics</v>
      </c>
      <c r="L1829" s="1"/>
      <c r="M1829" s="1" t="str">
        <f ca="1">IFERROR(__xludf.DUMMYFUNCTION("""COMPUTED_VALUE"""),"〇")</f>
        <v>〇</v>
      </c>
      <c r="N1829" s="1" t="str">
        <f ca="1">IFERROR(__xludf.DUMMYFUNCTION("""COMPUTED_VALUE"""),"SNS7")</f>
        <v>SNS7</v>
      </c>
      <c r="O1829" s="1"/>
      <c r="P1829" s="1"/>
    </row>
    <row r="1830" spans="1:16" ht="14.25" customHeight="1" x14ac:dyDescent="0.25">
      <c r="A1830" s="1"/>
      <c r="B1830" s="1">
        <f ca="1"/>
        <v>1818</v>
      </c>
      <c r="C1830" s="1">
        <f ca="1">IFERROR(__xludf.DUMMYFUNCTION("""COMPUTED_VALUE"""),2023)</f>
        <v>2023</v>
      </c>
      <c r="D1830" s="1">
        <f ca="1">IFERROR(__xludf.DUMMYFUNCTION("""COMPUTED_VALUE"""),40010)</f>
        <v>40010</v>
      </c>
      <c r="E1830" s="1" t="str">
        <f ca="1">IFERROR(__xludf.DUMMYFUNCTION("""COMPUTED_VALUE"""),"Proceedings of the National Academy of Sciences, India Section A: Physical Sciences")</f>
        <v>Proceedings of the National Academy of Sciences, India Section A: Physical Sciences</v>
      </c>
      <c r="F1830" s="1" t="str">
        <f ca="1">IFERROR(__xludf.DUMMYFUNCTION("""COMPUTED_VALUE"""),"2250-1762")</f>
        <v>2250-1762</v>
      </c>
      <c r="G1830" s="1" t="str">
        <f ca="1">IFERROR(__xludf.DUMMYFUNCTION("""COMPUTED_VALUE"""),"0369-8203")</f>
        <v>0369-8203</v>
      </c>
      <c r="H1830" s="27" t="str">
        <f ca="1">IFERROR(__xludf.DUMMYFUNCTION("""COMPUTED_VALUE"""),"https://link.springer.com/journal/40010")</f>
        <v>https://link.springer.com/journal/40010</v>
      </c>
      <c r="I1830" s="1" t="str">
        <f ca="1">IFERROR(__xludf.DUMMYFUNCTION("""COMPUTED_VALUE"""),"Springer")</f>
        <v>Springer</v>
      </c>
      <c r="J1830" s="1">
        <f ca="1">IFERROR(__xludf.DUMMYFUNCTION("""COMPUTED_VALUE"""),2012)</f>
        <v>2012</v>
      </c>
      <c r="K1830" s="1" t="str">
        <f ca="1">IFERROR(__xludf.DUMMYFUNCTION("""COMPUTED_VALUE"""),"Physics and Astronomy")</f>
        <v>Physics and Astronomy</v>
      </c>
      <c r="L1830" s="1" t="str">
        <f ca="1">IFERROR(__xludf.DUMMYFUNCTION("""COMPUTED_VALUE"""),"〇")</f>
        <v>〇</v>
      </c>
      <c r="M1830" s="1"/>
      <c r="N1830" s="1" t="str">
        <f ca="1">IFERROR(__xludf.DUMMYFUNCTION("""COMPUTED_VALUE"""),"TO12")</f>
        <v>TO12</v>
      </c>
      <c r="O1830" s="1"/>
      <c r="P1830" s="1"/>
    </row>
    <row r="1831" spans="1:16" ht="14.25" customHeight="1" x14ac:dyDescent="0.25">
      <c r="A1831" s="1"/>
      <c r="B1831" s="1">
        <f ca="1"/>
        <v>1819</v>
      </c>
      <c r="C1831" s="1">
        <f ca="1">IFERROR(__xludf.DUMMYFUNCTION("""COMPUTED_VALUE"""),2023)</f>
        <v>2023</v>
      </c>
      <c r="D1831" s="1">
        <f ca="1">IFERROR(__xludf.DUMMYFUNCTION("""COMPUTED_VALUE"""),40011)</f>
        <v>40011</v>
      </c>
      <c r="E1831" s="1" t="str">
        <f ca="1">IFERROR(__xludf.DUMMYFUNCTION("""COMPUTED_VALUE"""),"Proceedings of the National Academy of Sciences, India Section B: Biological Sciences")</f>
        <v>Proceedings of the National Academy of Sciences, India Section B: Biological Sciences</v>
      </c>
      <c r="F1831" s="1" t="str">
        <f ca="1">IFERROR(__xludf.DUMMYFUNCTION("""COMPUTED_VALUE"""),"2250-1746")</f>
        <v>2250-1746</v>
      </c>
      <c r="G1831" s="1" t="str">
        <f ca="1">IFERROR(__xludf.DUMMYFUNCTION("""COMPUTED_VALUE"""),"0369-8211")</f>
        <v>0369-8211</v>
      </c>
      <c r="H1831" s="27" t="str">
        <f ca="1">IFERROR(__xludf.DUMMYFUNCTION("""COMPUTED_VALUE"""),"https://link.springer.com/journal/40011")</f>
        <v>https://link.springer.com/journal/40011</v>
      </c>
      <c r="I1831" s="1" t="str">
        <f ca="1">IFERROR(__xludf.DUMMYFUNCTION("""COMPUTED_VALUE"""),"Springer")</f>
        <v>Springer</v>
      </c>
      <c r="J1831" s="1">
        <f ca="1">IFERROR(__xludf.DUMMYFUNCTION("""COMPUTED_VALUE"""),2012)</f>
        <v>2012</v>
      </c>
      <c r="K1831" s="1" t="str">
        <f ca="1">IFERROR(__xludf.DUMMYFUNCTION("""COMPUTED_VALUE"""),"Biomedical and Life Sciences")</f>
        <v>Biomedical and Life Sciences</v>
      </c>
      <c r="L1831" s="1" t="str">
        <f ca="1">IFERROR(__xludf.DUMMYFUNCTION("""COMPUTED_VALUE"""),"〇")</f>
        <v>〇</v>
      </c>
      <c r="M1831" s="1"/>
      <c r="N1831" s="1" t="str">
        <f ca="1">IFERROR(__xludf.DUMMYFUNCTION("""COMPUTED_VALUE"""),"TO12")</f>
        <v>TO12</v>
      </c>
      <c r="O1831" s="1"/>
      <c r="P1831" s="1"/>
    </row>
    <row r="1832" spans="1:16" ht="14.25" customHeight="1" x14ac:dyDescent="0.25">
      <c r="A1832" s="1"/>
      <c r="B1832" s="1">
        <f ca="1"/>
        <v>1820</v>
      </c>
      <c r="C1832" s="1">
        <f ca="1">IFERROR(__xludf.DUMMYFUNCTION("""COMPUTED_VALUE"""),2023)</f>
        <v>2023</v>
      </c>
      <c r="D1832" s="1">
        <f ca="1">IFERROR(__xludf.DUMMYFUNCTION("""COMPUTED_VALUE"""),11501)</f>
        <v>11501</v>
      </c>
      <c r="E1832" s="1" t="str">
        <f ca="1">IFERROR(__xludf.DUMMYFUNCTION("""COMPUTED_VALUE"""),"Proceedings of the Steklov Institute of Mathematics")</f>
        <v>Proceedings of the Steklov Institute of Mathematics</v>
      </c>
      <c r="F1832" s="1" t="str">
        <f ca="1">IFERROR(__xludf.DUMMYFUNCTION("""COMPUTED_VALUE"""),"1531-8605")</f>
        <v>1531-8605</v>
      </c>
      <c r="G1832" s="1" t="str">
        <f ca="1">IFERROR(__xludf.DUMMYFUNCTION("""COMPUTED_VALUE"""),"0081-5438")</f>
        <v>0081-5438</v>
      </c>
      <c r="H1832" s="27" t="str">
        <f ca="1">IFERROR(__xludf.DUMMYFUNCTION("""COMPUTED_VALUE"""),"https://link.springer.com/journal/11501")</f>
        <v>https://link.springer.com/journal/11501</v>
      </c>
      <c r="I1832" s="1" t="str">
        <f ca="1">IFERROR(__xludf.DUMMYFUNCTION("""COMPUTED_VALUE"""),"Pleiades Publishing")</f>
        <v>Pleiades Publishing</v>
      </c>
      <c r="J1832" s="1">
        <f ca="1">IFERROR(__xludf.DUMMYFUNCTION("""COMPUTED_VALUE"""),2006)</f>
        <v>2006</v>
      </c>
      <c r="K1832" s="1" t="str">
        <f ca="1">IFERROR(__xludf.DUMMYFUNCTION("""COMPUTED_VALUE"""),"Mathematics and Statistics")</f>
        <v>Mathematics and Statistics</v>
      </c>
      <c r="L1832" s="1" t="str">
        <f ca="1">IFERROR(__xludf.DUMMYFUNCTION("""COMPUTED_VALUE"""),"〇")</f>
        <v>〇</v>
      </c>
      <c r="M1832" s="1" t="str">
        <f ca="1">IFERROR(__xludf.DUMMYFUNCTION("""COMPUTED_VALUE"""),"〇")</f>
        <v>〇</v>
      </c>
      <c r="N1832" s="1"/>
      <c r="O1832" s="1"/>
      <c r="P1832" s="1"/>
    </row>
    <row r="1833" spans="1:16" ht="14.25" customHeight="1" x14ac:dyDescent="0.25">
      <c r="A1833" s="1"/>
      <c r="B1833" s="1">
        <f ca="1"/>
        <v>1821</v>
      </c>
      <c r="C1833" s="1">
        <f ca="1">IFERROR(__xludf.DUMMYFUNCTION("""COMPUTED_VALUE"""),2023)</f>
        <v>2023</v>
      </c>
      <c r="D1833" s="1">
        <f ca="1">IFERROR(__xludf.DUMMYFUNCTION("""COMPUTED_VALUE"""),12595)</f>
        <v>12595</v>
      </c>
      <c r="E1833" s="1" t="str">
        <f ca="1">IFERROR(__xludf.DUMMYFUNCTION("""COMPUTED_VALUE"""),"Proceedings of the Zoological Society")</f>
        <v>Proceedings of the Zoological Society</v>
      </c>
      <c r="F1833" s="1" t="str">
        <f ca="1">IFERROR(__xludf.DUMMYFUNCTION("""COMPUTED_VALUE"""),"0974-6919")</f>
        <v>0974-6919</v>
      </c>
      <c r="G1833" s="1" t="str">
        <f ca="1">IFERROR(__xludf.DUMMYFUNCTION("""COMPUTED_VALUE"""),"0373-5893")</f>
        <v>0373-5893</v>
      </c>
      <c r="H1833" s="27" t="str">
        <f ca="1">IFERROR(__xludf.DUMMYFUNCTION("""COMPUTED_VALUE"""),"https://link.springer.com/journal/12595")</f>
        <v>https://link.springer.com/journal/12595</v>
      </c>
      <c r="I1833" s="1" t="str">
        <f ca="1">IFERROR(__xludf.DUMMYFUNCTION("""COMPUTED_VALUE"""),"Springer")</f>
        <v>Springer</v>
      </c>
      <c r="J1833" s="1">
        <f ca="1">IFERROR(__xludf.DUMMYFUNCTION("""COMPUTED_VALUE"""),2009)</f>
        <v>2009</v>
      </c>
      <c r="K1833" s="1" t="str">
        <f ca="1">IFERROR(__xludf.DUMMYFUNCTION("""COMPUTED_VALUE"""),"Biomedical and Life Sciences")</f>
        <v>Biomedical and Life Sciences</v>
      </c>
      <c r="L1833" s="1" t="str">
        <f ca="1">IFERROR(__xludf.DUMMYFUNCTION("""COMPUTED_VALUE"""),"〇")</f>
        <v>〇</v>
      </c>
      <c r="M1833" s="1"/>
      <c r="N1833" s="1" t="str">
        <f ca="1">IFERROR(__xludf.DUMMYFUNCTION("""COMPUTED_VALUE"""),"TO9")</f>
        <v>TO9</v>
      </c>
      <c r="O1833" s="1"/>
      <c r="P1833" s="1"/>
    </row>
    <row r="1834" spans="1:16" ht="14.25" customHeight="1" x14ac:dyDescent="0.25">
      <c r="A1834" s="1"/>
      <c r="B1834" s="1">
        <f ca="1"/>
        <v>1822</v>
      </c>
      <c r="C1834" s="1">
        <f ca="1">IFERROR(__xludf.DUMMYFUNCTION("""COMPUTED_VALUE"""),2023)</f>
        <v>2023</v>
      </c>
      <c r="D1834" s="1">
        <f ca="1">IFERROR(__xludf.DUMMYFUNCTION("""COMPUTED_VALUE"""),41660)</f>
        <v>41660</v>
      </c>
      <c r="E1834" s="1" t="str">
        <f ca="1">IFERROR(__xludf.DUMMYFUNCTION("""COMPUTED_VALUE"""),"Process Integration and Optimization for Sustainability")</f>
        <v>Process Integration and Optimization for Sustainability</v>
      </c>
      <c r="F1834" s="1" t="str">
        <f ca="1">IFERROR(__xludf.DUMMYFUNCTION("""COMPUTED_VALUE"""),"2509-4246")</f>
        <v>2509-4246</v>
      </c>
      <c r="G1834" s="1" t="str">
        <f ca="1">IFERROR(__xludf.DUMMYFUNCTION("""COMPUTED_VALUE"""),"2509-4238")</f>
        <v>2509-4238</v>
      </c>
      <c r="H1834" s="27" t="str">
        <f ca="1">IFERROR(__xludf.DUMMYFUNCTION("""COMPUTED_VALUE"""),"https://link.springer.com/journal/41660")</f>
        <v>https://link.springer.com/journal/41660</v>
      </c>
      <c r="I1834" s="1" t="str">
        <f ca="1">IFERROR(__xludf.DUMMYFUNCTION("""COMPUTED_VALUE"""),"Springer")</f>
        <v>Springer</v>
      </c>
      <c r="J1834" s="1">
        <f ca="1">IFERROR(__xludf.DUMMYFUNCTION("""COMPUTED_VALUE"""),2017)</f>
        <v>2017</v>
      </c>
      <c r="K1834" s="1" t="str">
        <f ca="1">IFERROR(__xludf.DUMMYFUNCTION("""COMPUTED_VALUE"""),"Engineering")</f>
        <v>Engineering</v>
      </c>
      <c r="L1834" s="1" t="str">
        <f ca="1">IFERROR(__xludf.DUMMYFUNCTION("""COMPUTED_VALUE"""),"〇")</f>
        <v>〇</v>
      </c>
      <c r="M1834" s="1"/>
      <c r="N1834" s="1" t="str">
        <f ca="1">IFERROR(__xludf.DUMMYFUNCTION("""COMPUTED_VALUE"""),"SNS17")</f>
        <v>SNS17</v>
      </c>
      <c r="O1834" s="1"/>
      <c r="P1834" s="1"/>
    </row>
    <row r="1835" spans="1:16" ht="14.25" customHeight="1" x14ac:dyDescent="0.25">
      <c r="A1835" s="1"/>
      <c r="B1835" s="1">
        <f ca="1"/>
        <v>1823</v>
      </c>
      <c r="C1835" s="1">
        <f ca="1">IFERROR(__xludf.DUMMYFUNCTION("""COMPUTED_VALUE"""),2023)</f>
        <v>2023</v>
      </c>
      <c r="D1835" s="1">
        <f ca="1">IFERROR(__xludf.DUMMYFUNCTION("""COMPUTED_VALUE"""),11740)</f>
        <v>11740</v>
      </c>
      <c r="E1835" s="1" t="str">
        <f ca="1">IFERROR(__xludf.DUMMYFUNCTION("""COMPUTED_VALUE"""),"Production Engineering")</f>
        <v>Production Engineering</v>
      </c>
      <c r="F1835" s="1" t="str">
        <f ca="1">IFERROR(__xludf.DUMMYFUNCTION("""COMPUTED_VALUE"""),"1863-7353")</f>
        <v>1863-7353</v>
      </c>
      <c r="G1835" s="1" t="str">
        <f ca="1">IFERROR(__xludf.DUMMYFUNCTION("""COMPUTED_VALUE"""),"0944-6524")</f>
        <v>0944-6524</v>
      </c>
      <c r="H1835" s="27" t="str">
        <f ca="1">IFERROR(__xludf.DUMMYFUNCTION("""COMPUTED_VALUE"""),"https://link.springer.com/journal/11740")</f>
        <v>https://link.springer.com/journal/11740</v>
      </c>
      <c r="I1835" s="1" t="str">
        <f ca="1">IFERROR(__xludf.DUMMYFUNCTION("""COMPUTED_VALUE"""),"Springer")</f>
        <v>Springer</v>
      </c>
      <c r="J1835" s="1">
        <f ca="1">IFERROR(__xludf.DUMMYFUNCTION("""COMPUTED_VALUE"""),2007)</f>
        <v>2007</v>
      </c>
      <c r="K1835" s="1" t="str">
        <f ca="1">IFERROR(__xludf.DUMMYFUNCTION("""COMPUTED_VALUE"""),"Engineering")</f>
        <v>Engineering</v>
      </c>
      <c r="L1835" s="1" t="str">
        <f ca="1">IFERROR(__xludf.DUMMYFUNCTION("""COMPUTED_VALUE"""),"〇")</f>
        <v>〇</v>
      </c>
      <c r="M1835" s="1" t="str">
        <f ca="1">IFERROR(__xludf.DUMMYFUNCTION("""COMPUTED_VALUE"""),"〇")</f>
        <v>〇</v>
      </c>
      <c r="N1835" s="1" t="str">
        <f ca="1">IFERROR(__xludf.DUMMYFUNCTION("""COMPUTED_VALUE"""),"SNS7")</f>
        <v>SNS7</v>
      </c>
      <c r="O1835" s="1"/>
      <c r="P1835" s="1"/>
    </row>
    <row r="1836" spans="1:16" ht="14.25" customHeight="1" x14ac:dyDescent="0.25">
      <c r="A1836" s="1"/>
      <c r="B1836" s="1">
        <f ca="1"/>
        <v>1824</v>
      </c>
      <c r="C1836" s="1">
        <f ca="1">IFERROR(__xludf.DUMMYFUNCTION("""COMPUTED_VALUE"""),2023)</f>
        <v>2023</v>
      </c>
      <c r="D1836" s="1">
        <f ca="1">IFERROR(__xludf.DUMMYFUNCTION("""COMPUTED_VALUE"""),11086)</f>
        <v>11086</v>
      </c>
      <c r="E1836" s="1" t="str">
        <f ca="1">IFERROR(__xludf.DUMMYFUNCTION("""COMPUTED_VALUE"""),"Programming and Computer Software")</f>
        <v>Programming and Computer Software</v>
      </c>
      <c r="F1836" s="1" t="str">
        <f ca="1">IFERROR(__xludf.DUMMYFUNCTION("""COMPUTED_VALUE"""),"1608-3261")</f>
        <v>1608-3261</v>
      </c>
      <c r="G1836" s="1" t="str">
        <f ca="1">IFERROR(__xludf.DUMMYFUNCTION("""COMPUTED_VALUE"""),"0361-7688")</f>
        <v>0361-7688</v>
      </c>
      <c r="H1836" s="27" t="str">
        <f ca="1">IFERROR(__xludf.DUMMYFUNCTION("""COMPUTED_VALUE"""),"https://link.springer.com/journal/11086")</f>
        <v>https://link.springer.com/journal/11086</v>
      </c>
      <c r="I1836" s="1" t="str">
        <f ca="1">IFERROR(__xludf.DUMMYFUNCTION("""COMPUTED_VALUE"""),"Pleiades Publishing")</f>
        <v>Pleiades Publishing</v>
      </c>
      <c r="J1836" s="1">
        <f ca="1">IFERROR(__xludf.DUMMYFUNCTION("""COMPUTED_VALUE"""),2000)</f>
        <v>2000</v>
      </c>
      <c r="K1836" s="1" t="str">
        <f ca="1">IFERROR(__xludf.DUMMYFUNCTION("""COMPUTED_VALUE"""),"Computer Science")</f>
        <v>Computer Science</v>
      </c>
      <c r="L1836" s="1" t="str">
        <f ca="1">IFERROR(__xludf.DUMMYFUNCTION("""COMPUTED_VALUE"""),"〇")</f>
        <v>〇</v>
      </c>
      <c r="M1836" s="1" t="str">
        <f ca="1">IFERROR(__xludf.DUMMYFUNCTION("""COMPUTED_VALUE"""),"〇")</f>
        <v>〇</v>
      </c>
      <c r="N1836" s="1"/>
      <c r="O1836" s="1"/>
      <c r="P1836" s="1"/>
    </row>
    <row r="1837" spans="1:16" ht="14.25" customHeight="1" x14ac:dyDescent="0.25">
      <c r="A1837" s="1"/>
      <c r="B1837" s="1">
        <f ca="1"/>
        <v>1825</v>
      </c>
      <c r="C1837" s="1">
        <f ca="1">IFERROR(__xludf.DUMMYFUNCTION("""COMPUTED_VALUE"""),2023)</f>
        <v>2023</v>
      </c>
      <c r="D1837" s="1">
        <f ca="1">IFERROR(__xludf.DUMMYFUNCTION("""COMPUTED_VALUE"""),40964)</f>
        <v>40964</v>
      </c>
      <c r="E1837" s="1" t="str">
        <f ca="1">IFERROR(__xludf.DUMMYFUNCTION("""COMPUTED_VALUE"""),"Progress in Additive Manufacturing")</f>
        <v>Progress in Additive Manufacturing</v>
      </c>
      <c r="F1837" s="1" t="str">
        <f ca="1">IFERROR(__xludf.DUMMYFUNCTION("""COMPUTED_VALUE"""),"2363-9520")</f>
        <v>2363-9520</v>
      </c>
      <c r="G1837" s="1" t="str">
        <f ca="1">IFERROR(__xludf.DUMMYFUNCTION("""COMPUTED_VALUE"""),"2363-9512")</f>
        <v>2363-9512</v>
      </c>
      <c r="H1837" s="27" t="str">
        <f ca="1">IFERROR(__xludf.DUMMYFUNCTION("""COMPUTED_VALUE"""),"https://link.springer.com/journal/40964")</f>
        <v>https://link.springer.com/journal/40964</v>
      </c>
      <c r="I1837" s="1" t="str">
        <f ca="1">IFERROR(__xludf.DUMMYFUNCTION("""COMPUTED_VALUE"""),"Springer")</f>
        <v>Springer</v>
      </c>
      <c r="J1837" s="1">
        <f ca="1">IFERROR(__xludf.DUMMYFUNCTION("""COMPUTED_VALUE"""),2016)</f>
        <v>2016</v>
      </c>
      <c r="K1837" s="1" t="str">
        <f ca="1">IFERROR(__xludf.DUMMYFUNCTION("""COMPUTED_VALUE"""),"Engineering")</f>
        <v>Engineering</v>
      </c>
      <c r="L1837" s="1" t="str">
        <f ca="1">IFERROR(__xludf.DUMMYFUNCTION("""COMPUTED_VALUE"""),"〇")</f>
        <v>〇</v>
      </c>
      <c r="M1837" s="1"/>
      <c r="N1837" s="1" t="str">
        <f ca="1">IFERROR(__xludf.DUMMYFUNCTION("""COMPUTED_VALUE"""),"SNS16")</f>
        <v>SNS16</v>
      </c>
      <c r="O1837" s="1"/>
      <c r="P1837" s="1"/>
    </row>
    <row r="1838" spans="1:16" ht="14.25" customHeight="1" x14ac:dyDescent="0.25">
      <c r="A1838" s="1"/>
      <c r="B1838" s="1">
        <f ca="1"/>
        <v>1826</v>
      </c>
      <c r="C1838" s="1">
        <f ca="1">IFERROR(__xludf.DUMMYFUNCTION("""COMPUTED_VALUE"""),2023)</f>
        <v>2023</v>
      </c>
      <c r="D1838" s="1">
        <f ca="1">IFERROR(__xludf.DUMMYFUNCTION("""COMPUTED_VALUE"""),13748)</f>
        <v>13748</v>
      </c>
      <c r="E1838" s="1" t="str">
        <f ca="1">IFERROR(__xludf.DUMMYFUNCTION("""COMPUTED_VALUE"""),"Progress in Artificial Intelligence")</f>
        <v>Progress in Artificial Intelligence</v>
      </c>
      <c r="F1838" s="1" t="str">
        <f ca="1">IFERROR(__xludf.DUMMYFUNCTION("""COMPUTED_VALUE"""),"2192-6360")</f>
        <v>2192-6360</v>
      </c>
      <c r="G1838" s="1" t="str">
        <f ca="1">IFERROR(__xludf.DUMMYFUNCTION("""COMPUTED_VALUE"""),"2192-6352")</f>
        <v>2192-6352</v>
      </c>
      <c r="H1838" s="27" t="str">
        <f ca="1">IFERROR(__xludf.DUMMYFUNCTION("""COMPUTED_VALUE"""),"https://link.springer.com/journal/13748")</f>
        <v>https://link.springer.com/journal/13748</v>
      </c>
      <c r="I1838" s="1" t="str">
        <f ca="1">IFERROR(__xludf.DUMMYFUNCTION("""COMPUTED_VALUE"""),"Springer")</f>
        <v>Springer</v>
      </c>
      <c r="J1838" s="1">
        <f ca="1">IFERROR(__xludf.DUMMYFUNCTION("""COMPUTED_VALUE"""),2012)</f>
        <v>2012</v>
      </c>
      <c r="K1838" s="1" t="str">
        <f ca="1">IFERROR(__xludf.DUMMYFUNCTION("""COMPUTED_VALUE"""),"Computer Science")</f>
        <v>Computer Science</v>
      </c>
      <c r="L1838" s="1" t="str">
        <f ca="1">IFERROR(__xludf.DUMMYFUNCTION("""COMPUTED_VALUE"""),"〇")</f>
        <v>〇</v>
      </c>
      <c r="M1838" s="1"/>
      <c r="N1838" s="1" t="str">
        <f ca="1">IFERROR(__xludf.DUMMYFUNCTION("""COMPUTED_VALUE"""),"SNS12")</f>
        <v>SNS12</v>
      </c>
      <c r="O1838" s="1"/>
      <c r="P1838" s="1"/>
    </row>
    <row r="1839" spans="1:16" ht="14.25" customHeight="1" x14ac:dyDescent="0.25">
      <c r="A1839" s="1"/>
      <c r="B1839" s="1">
        <f ca="1"/>
        <v>1827</v>
      </c>
      <c r="C1839" s="1">
        <f ca="1">IFERROR(__xludf.DUMMYFUNCTION("""COMPUTED_VALUE"""),2023)</f>
        <v>2023</v>
      </c>
      <c r="D1839" s="1">
        <f ca="1">IFERROR(__xludf.DUMMYFUNCTION("""COMPUTED_VALUE"""),40204)</f>
        <v>40204</v>
      </c>
      <c r="E1839" s="1" t="str">
        <f ca="1">IFERROR(__xludf.DUMMYFUNCTION("""COMPUTED_VALUE"""),"Progress in Biomaterials")</f>
        <v>Progress in Biomaterials</v>
      </c>
      <c r="F1839" s="1" t="str">
        <f ca="1">IFERROR(__xludf.DUMMYFUNCTION("""COMPUTED_VALUE"""),"2194-0517")</f>
        <v>2194-0517</v>
      </c>
      <c r="G1839" s="1"/>
      <c r="H1839" s="27" t="str">
        <f ca="1">IFERROR(__xludf.DUMMYFUNCTION("""COMPUTED_VALUE"""),"https://link.springer.com/journal/40204")</f>
        <v>https://link.springer.com/journal/40204</v>
      </c>
      <c r="I1839" s="1" t="str">
        <f ca="1">IFERROR(__xludf.DUMMYFUNCTION("""COMPUTED_VALUE"""),"Springer")</f>
        <v>Springer</v>
      </c>
      <c r="J1839" s="1">
        <f ca="1">IFERROR(__xludf.DUMMYFUNCTION("""COMPUTED_VALUE"""),2012)</f>
        <v>2012</v>
      </c>
      <c r="K1839" s="1" t="str">
        <f ca="1">IFERROR(__xludf.DUMMYFUNCTION("""COMPUTED_VALUE"""),"Chemistry and Materials Science")</f>
        <v>Chemistry and Materials Science</v>
      </c>
      <c r="L1839" s="1"/>
      <c r="M1839" s="1"/>
      <c r="N1839" s="1"/>
      <c r="O1839" s="1"/>
      <c r="P1839" s="1"/>
    </row>
    <row r="1840" spans="1:16" ht="14.25" customHeight="1" x14ac:dyDescent="0.25">
      <c r="A1840" s="1"/>
      <c r="B1840" s="1">
        <f ca="1"/>
        <v>1828</v>
      </c>
      <c r="C1840" s="1">
        <f ca="1">IFERROR(__xludf.DUMMYFUNCTION("""COMPUTED_VALUE"""),2023)</f>
        <v>2023</v>
      </c>
      <c r="D1840" s="1">
        <f ca="1">IFERROR(__xludf.DUMMYFUNCTION("""COMPUTED_VALUE"""),11125)</f>
        <v>11125</v>
      </c>
      <c r="E1840" s="1" t="str">
        <f ca="1">IFERROR(__xludf.DUMMYFUNCTION("""COMPUTED_VALUE"""),"PROSPECTS")</f>
        <v>PROSPECTS</v>
      </c>
      <c r="F1840" s="1" t="str">
        <f ca="1">IFERROR(__xludf.DUMMYFUNCTION("""COMPUTED_VALUE"""),"1573-9090")</f>
        <v>1573-9090</v>
      </c>
      <c r="G1840" s="1" t="str">
        <f ca="1">IFERROR(__xludf.DUMMYFUNCTION("""COMPUTED_VALUE"""),"0033-1538")</f>
        <v>0033-1538</v>
      </c>
      <c r="H1840" s="27" t="str">
        <f ca="1">IFERROR(__xludf.DUMMYFUNCTION("""COMPUTED_VALUE"""),"https://link.springer.com/journal/11125")</f>
        <v>https://link.springer.com/journal/11125</v>
      </c>
      <c r="I1840" s="1" t="str">
        <f ca="1">IFERROR(__xludf.DUMMYFUNCTION("""COMPUTED_VALUE"""),"Springer")</f>
        <v>Springer</v>
      </c>
      <c r="J1840" s="1">
        <f ca="1">IFERROR(__xludf.DUMMYFUNCTION("""COMPUTED_VALUE"""),2000)</f>
        <v>2000</v>
      </c>
      <c r="K1840" s="1" t="str">
        <f ca="1">IFERROR(__xludf.DUMMYFUNCTION("""COMPUTED_VALUE"""),"Education")</f>
        <v>Education</v>
      </c>
      <c r="L1840" s="1" t="str">
        <f ca="1">IFERROR(__xludf.DUMMYFUNCTION("""COMPUTED_VALUE"""),"〇")</f>
        <v>〇</v>
      </c>
      <c r="M1840" s="1" t="str">
        <f ca="1">IFERROR(__xludf.DUMMYFUNCTION("""COMPUTED_VALUE"""),"〇")</f>
        <v>〇</v>
      </c>
      <c r="N1840" s="1"/>
      <c r="O1840" s="1"/>
      <c r="P1840" s="1"/>
    </row>
    <row r="1841" spans="1:16" ht="14.25" customHeight="1" x14ac:dyDescent="0.25">
      <c r="A1841" s="1"/>
      <c r="B1841" s="1">
        <f ca="1"/>
        <v>1829</v>
      </c>
      <c r="C1841" s="1">
        <f ca="1">IFERROR(__xludf.DUMMYFUNCTION("""COMPUTED_VALUE"""),2023)</f>
        <v>2023</v>
      </c>
      <c r="D1841" s="1">
        <f ca="1">IFERROR(__xludf.DUMMYFUNCTION("""COMPUTED_VALUE"""),11124)</f>
        <v>11124</v>
      </c>
      <c r="E1841" s="1" t="str">
        <f ca="1">IFERROR(__xludf.DUMMYFUNCTION("""COMPUTED_VALUE"""),"Protection of Metals and Physical Chemistry of Surfaces")</f>
        <v>Protection of Metals and Physical Chemistry of Surfaces</v>
      </c>
      <c r="F1841" s="1" t="str">
        <f ca="1">IFERROR(__xludf.DUMMYFUNCTION("""COMPUTED_VALUE"""),"2070-206X")</f>
        <v>2070-206X</v>
      </c>
      <c r="G1841" s="1" t="str">
        <f ca="1">IFERROR(__xludf.DUMMYFUNCTION("""COMPUTED_VALUE"""),"2070-2051")</f>
        <v>2070-2051</v>
      </c>
      <c r="H1841" s="27" t="str">
        <f ca="1">IFERROR(__xludf.DUMMYFUNCTION("""COMPUTED_VALUE"""),"https://link.springer.com/journal/11124")</f>
        <v>https://link.springer.com/journal/11124</v>
      </c>
      <c r="I1841" s="1" t="str">
        <f ca="1">IFERROR(__xludf.DUMMYFUNCTION("""COMPUTED_VALUE"""),"Pleiades Publishing")</f>
        <v>Pleiades Publishing</v>
      </c>
      <c r="J1841" s="1">
        <f ca="1">IFERROR(__xludf.DUMMYFUNCTION("""COMPUTED_VALUE"""),2000)</f>
        <v>2000</v>
      </c>
      <c r="K1841" s="1" t="str">
        <f ca="1">IFERROR(__xludf.DUMMYFUNCTION("""COMPUTED_VALUE"""),"Chemistry and Materials Science")</f>
        <v>Chemistry and Materials Science</v>
      </c>
      <c r="L1841" s="1" t="str">
        <f ca="1">IFERROR(__xludf.DUMMYFUNCTION("""COMPUTED_VALUE"""),"〇")</f>
        <v>〇</v>
      </c>
      <c r="M1841" s="1" t="str">
        <f ca="1">IFERROR(__xludf.DUMMYFUNCTION("""COMPUTED_VALUE"""),"〇")</f>
        <v>〇</v>
      </c>
      <c r="N1841" s="1"/>
      <c r="O1841" s="1"/>
      <c r="P1841" s="1"/>
    </row>
    <row r="1842" spans="1:16" ht="14.25" customHeight="1" x14ac:dyDescent="0.25">
      <c r="A1842" s="1"/>
      <c r="B1842" s="1">
        <f ca="1"/>
        <v>1830</v>
      </c>
      <c r="C1842" s="1">
        <f ca="1">IFERROR(__xludf.DUMMYFUNCTION("""COMPUTED_VALUE"""),2023)</f>
        <v>2023</v>
      </c>
      <c r="D1842" s="1">
        <f ca="1">IFERROR(__xludf.DUMMYFUNCTION("""COMPUTED_VALUE"""),709)</f>
        <v>709</v>
      </c>
      <c r="E1842" s="1" t="str">
        <f ca="1">IFERROR(__xludf.DUMMYFUNCTION("""COMPUTED_VALUE"""),"Protoplasma")</f>
        <v>Protoplasma</v>
      </c>
      <c r="F1842" s="1" t="str">
        <f ca="1">IFERROR(__xludf.DUMMYFUNCTION("""COMPUTED_VALUE"""),"1615-6102")</f>
        <v>1615-6102</v>
      </c>
      <c r="G1842" s="1" t="str">
        <f ca="1">IFERROR(__xludf.DUMMYFUNCTION("""COMPUTED_VALUE"""),"0033-183X")</f>
        <v>0033-183X</v>
      </c>
      <c r="H1842" s="27" t="str">
        <f ca="1">IFERROR(__xludf.DUMMYFUNCTION("""COMPUTED_VALUE"""),"https://link.springer.com/journal/709")</f>
        <v>https://link.springer.com/journal/709</v>
      </c>
      <c r="I1842" s="1" t="str">
        <f ca="1">IFERROR(__xludf.DUMMYFUNCTION("""COMPUTED_VALUE"""),"Springer")</f>
        <v>Springer</v>
      </c>
      <c r="J1842" s="1">
        <f ca="1">IFERROR(__xludf.DUMMYFUNCTION("""COMPUTED_VALUE"""),2000)</f>
        <v>2000</v>
      </c>
      <c r="K1842" s="1" t="str">
        <f ca="1">IFERROR(__xludf.DUMMYFUNCTION("""COMPUTED_VALUE"""),"Biomedical and Life Sciences")</f>
        <v>Biomedical and Life Sciences</v>
      </c>
      <c r="L1842" s="1" t="str">
        <f ca="1">IFERROR(__xludf.DUMMYFUNCTION("""COMPUTED_VALUE"""),"〇")</f>
        <v>〇</v>
      </c>
      <c r="M1842" s="1" t="str">
        <f ca="1">IFERROR(__xludf.DUMMYFUNCTION("""COMPUTED_VALUE"""),"〇")</f>
        <v>〇</v>
      </c>
      <c r="N1842" s="1"/>
      <c r="O1842" s="1"/>
      <c r="P1842" s="1"/>
    </row>
    <row r="1843" spans="1:16" ht="14.25" customHeight="1" x14ac:dyDescent="0.25">
      <c r="A1843" s="1"/>
      <c r="B1843" s="1">
        <f ca="1"/>
        <v>1831</v>
      </c>
      <c r="C1843" s="1">
        <f ca="1">IFERROR(__xludf.DUMMYFUNCTION("""COMPUTED_VALUE"""),2023)</f>
        <v>2023</v>
      </c>
      <c r="D1843" s="1">
        <f ca="1">IFERROR(__xludf.DUMMYFUNCTION("""COMPUTED_VALUE"""),11126)</f>
        <v>11126</v>
      </c>
      <c r="E1843" s="1" t="str">
        <f ca="1">IFERROR(__xludf.DUMMYFUNCTION("""COMPUTED_VALUE"""),"Psychiatric Quarterly")</f>
        <v>Psychiatric Quarterly</v>
      </c>
      <c r="F1843" s="1" t="str">
        <f ca="1">IFERROR(__xludf.DUMMYFUNCTION("""COMPUTED_VALUE"""),"1573-6709")</f>
        <v>1573-6709</v>
      </c>
      <c r="G1843" s="1" t="str">
        <f ca="1">IFERROR(__xludf.DUMMYFUNCTION("""COMPUTED_VALUE"""),"0033-2720")</f>
        <v>0033-2720</v>
      </c>
      <c r="H1843" s="27" t="str">
        <f ca="1">IFERROR(__xludf.DUMMYFUNCTION("""COMPUTED_VALUE"""),"https://link.springer.com/journal/11126")</f>
        <v>https://link.springer.com/journal/11126</v>
      </c>
      <c r="I1843" s="1" t="str">
        <f ca="1">IFERROR(__xludf.DUMMYFUNCTION("""COMPUTED_VALUE"""),"Springer")</f>
        <v>Springer</v>
      </c>
      <c r="J1843" s="1">
        <f ca="1">IFERROR(__xludf.DUMMYFUNCTION("""COMPUTED_VALUE"""),2000)</f>
        <v>2000</v>
      </c>
      <c r="K1843" s="1" t="str">
        <f ca="1">IFERROR(__xludf.DUMMYFUNCTION("""COMPUTED_VALUE"""),"Medicine")</f>
        <v>Medicine</v>
      </c>
      <c r="L1843" s="1" t="str">
        <f ca="1">IFERROR(__xludf.DUMMYFUNCTION("""COMPUTED_VALUE"""),"〇")</f>
        <v>〇</v>
      </c>
      <c r="M1843" s="1" t="str">
        <f ca="1">IFERROR(__xludf.DUMMYFUNCTION("""COMPUTED_VALUE"""),"〇")</f>
        <v>〇</v>
      </c>
      <c r="N1843" s="1"/>
      <c r="O1843" s="1"/>
      <c r="P1843" s="1"/>
    </row>
    <row r="1844" spans="1:16" ht="14.25" customHeight="1" x14ac:dyDescent="0.25">
      <c r="A1844" s="1"/>
      <c r="B1844" s="1">
        <f ca="1"/>
        <v>1832</v>
      </c>
      <c r="C1844" s="1">
        <f ca="1">IFERROR(__xludf.DUMMYFUNCTION("""COMPUTED_VALUE"""),2023)</f>
        <v>2023</v>
      </c>
      <c r="D1844" s="1">
        <f ca="1">IFERROR(__xludf.DUMMYFUNCTION("""COMPUTED_VALUE"""),12207)</f>
        <v>12207</v>
      </c>
      <c r="E1844" s="1" t="str">
        <f ca="1">IFERROR(__xludf.DUMMYFUNCTION("""COMPUTED_VALUE"""),"Psychological Injury and Law")</f>
        <v>Psychological Injury and Law</v>
      </c>
      <c r="F1844" s="1" t="str">
        <f ca="1">IFERROR(__xludf.DUMMYFUNCTION("""COMPUTED_VALUE"""),"1938-9728")</f>
        <v>1938-9728</v>
      </c>
      <c r="G1844" s="1"/>
      <c r="H1844" s="27" t="str">
        <f ca="1">IFERROR(__xludf.DUMMYFUNCTION("""COMPUTED_VALUE"""),"https://link.springer.com/journal/12207")</f>
        <v>https://link.springer.com/journal/12207</v>
      </c>
      <c r="I1844" s="1" t="str">
        <f ca="1">IFERROR(__xludf.DUMMYFUNCTION("""COMPUTED_VALUE"""),"Springer")</f>
        <v>Springer</v>
      </c>
      <c r="J1844" s="1">
        <f ca="1">IFERROR(__xludf.DUMMYFUNCTION("""COMPUTED_VALUE"""),2008)</f>
        <v>2008</v>
      </c>
      <c r="K1844" s="1" t="str">
        <f ca="1">IFERROR(__xludf.DUMMYFUNCTION("""COMPUTED_VALUE"""),"Behavioral Science and Psychology")</f>
        <v>Behavioral Science and Psychology</v>
      </c>
      <c r="L1844" s="1"/>
      <c r="M1844" s="1" t="str">
        <f ca="1">IFERROR(__xludf.DUMMYFUNCTION("""COMPUTED_VALUE"""),"〇")</f>
        <v>〇</v>
      </c>
      <c r="N1844" s="1" t="str">
        <f ca="1">IFERROR(__xludf.DUMMYFUNCTION("""COMPUTED_VALUE"""),"SNS8")</f>
        <v>SNS8</v>
      </c>
      <c r="O1844" s="1"/>
      <c r="P1844" s="1"/>
    </row>
    <row r="1845" spans="1:16" ht="14.25" customHeight="1" x14ac:dyDescent="0.25">
      <c r="A1845" s="1"/>
      <c r="B1845" s="1">
        <f ca="1"/>
        <v>1833</v>
      </c>
      <c r="C1845" s="1">
        <f ca="1">IFERROR(__xludf.DUMMYFUNCTION("""COMPUTED_VALUE"""),2023)</f>
        <v>2023</v>
      </c>
      <c r="D1845" s="1">
        <f ca="1">IFERROR(__xludf.DUMMYFUNCTION("""COMPUTED_VALUE"""),426)</f>
        <v>426</v>
      </c>
      <c r="E1845" s="1" t="str">
        <f ca="1">IFERROR(__xludf.DUMMYFUNCTION("""COMPUTED_VALUE"""),"Psychological Research")</f>
        <v>Psychological Research</v>
      </c>
      <c r="F1845" s="1" t="str">
        <f ca="1">IFERROR(__xludf.DUMMYFUNCTION("""COMPUTED_VALUE"""),"1430-2772")</f>
        <v>1430-2772</v>
      </c>
      <c r="G1845" s="1" t="str">
        <f ca="1">IFERROR(__xludf.DUMMYFUNCTION("""COMPUTED_VALUE"""),"0340-0727")</f>
        <v>0340-0727</v>
      </c>
      <c r="H1845" s="27" t="str">
        <f ca="1">IFERROR(__xludf.DUMMYFUNCTION("""COMPUTED_VALUE"""),"https://link.springer.com/journal/426")</f>
        <v>https://link.springer.com/journal/426</v>
      </c>
      <c r="I1845" s="1" t="str">
        <f ca="1">IFERROR(__xludf.DUMMYFUNCTION("""COMPUTED_VALUE"""),"Springer")</f>
        <v>Springer</v>
      </c>
      <c r="J1845" s="1">
        <f ca="1">IFERROR(__xludf.DUMMYFUNCTION("""COMPUTED_VALUE"""),2000)</f>
        <v>2000</v>
      </c>
      <c r="K1845" s="1" t="str">
        <f ca="1">IFERROR(__xludf.DUMMYFUNCTION("""COMPUTED_VALUE"""),"Behavioral Science and Psychology")</f>
        <v>Behavioral Science and Psychology</v>
      </c>
      <c r="L1845" s="1" t="str">
        <f ca="1">IFERROR(__xludf.DUMMYFUNCTION("""COMPUTED_VALUE"""),"〇")</f>
        <v>〇</v>
      </c>
      <c r="M1845" s="1" t="str">
        <f ca="1">IFERROR(__xludf.DUMMYFUNCTION("""COMPUTED_VALUE"""),"〇")</f>
        <v>〇</v>
      </c>
      <c r="N1845" s="1"/>
      <c r="O1845" s="1"/>
      <c r="P1845" s="1"/>
    </row>
    <row r="1846" spans="1:16" ht="14.25" customHeight="1" x14ac:dyDescent="0.25">
      <c r="A1846" s="1"/>
      <c r="B1846" s="1">
        <f ca="1"/>
        <v>1834</v>
      </c>
      <c r="C1846" s="1">
        <f ca="1">IFERROR(__xludf.DUMMYFUNCTION("""COMPUTED_VALUE"""),2023)</f>
        <v>2023</v>
      </c>
      <c r="D1846" s="1">
        <f ca="1">IFERROR(__xludf.DUMMYFUNCTION("""COMPUTED_VALUE"""),12646)</f>
        <v>12646</v>
      </c>
      <c r="E1846" s="1" t="str">
        <f ca="1">IFERROR(__xludf.DUMMYFUNCTION("""COMPUTED_VALUE"""),"Psychological Studies")</f>
        <v>Psychological Studies</v>
      </c>
      <c r="F1846" s="1" t="str">
        <f ca="1">IFERROR(__xludf.DUMMYFUNCTION("""COMPUTED_VALUE"""),"0974-9861")</f>
        <v>0974-9861</v>
      </c>
      <c r="G1846" s="1" t="str">
        <f ca="1">IFERROR(__xludf.DUMMYFUNCTION("""COMPUTED_VALUE"""),"0033-2968")</f>
        <v>0033-2968</v>
      </c>
      <c r="H1846" s="27" t="str">
        <f ca="1">IFERROR(__xludf.DUMMYFUNCTION("""COMPUTED_VALUE"""),"https://link.springer.com/journal/12646")</f>
        <v>https://link.springer.com/journal/12646</v>
      </c>
      <c r="I1846" s="1" t="str">
        <f ca="1">IFERROR(__xludf.DUMMYFUNCTION("""COMPUTED_VALUE"""),"Springer")</f>
        <v>Springer</v>
      </c>
      <c r="J1846" s="1">
        <f ca="1">IFERROR(__xludf.DUMMYFUNCTION("""COMPUTED_VALUE"""),2009)</f>
        <v>2009</v>
      </c>
      <c r="K1846" s="1" t="str">
        <f ca="1">IFERROR(__xludf.DUMMYFUNCTION("""COMPUTED_VALUE"""),"Behavioral Science and Psychology")</f>
        <v>Behavioral Science and Psychology</v>
      </c>
      <c r="L1846" s="1" t="str">
        <f ca="1">IFERROR(__xludf.DUMMYFUNCTION("""COMPUTED_VALUE"""),"〇")</f>
        <v>〇</v>
      </c>
      <c r="M1846" s="1"/>
      <c r="N1846" s="1" t="str">
        <f ca="1">IFERROR(__xludf.DUMMYFUNCTION("""COMPUTED_VALUE"""),"TO9")</f>
        <v>TO9</v>
      </c>
      <c r="O1846" s="1"/>
      <c r="P1846" s="1"/>
    </row>
    <row r="1847" spans="1:16" ht="14.25" customHeight="1" x14ac:dyDescent="0.25">
      <c r="A1847" s="1"/>
      <c r="B1847" s="1">
        <f ca="1"/>
        <v>1835</v>
      </c>
      <c r="C1847" s="1">
        <f ca="1">IFERROR(__xludf.DUMMYFUNCTION("""COMPUTED_VALUE"""),2023)</f>
        <v>2023</v>
      </c>
      <c r="D1847" s="1">
        <f ca="1">IFERROR(__xludf.DUMMYFUNCTION("""COMPUTED_VALUE"""),11336)</f>
        <v>11336</v>
      </c>
      <c r="E1847" s="1" t="str">
        <f ca="1">IFERROR(__xludf.DUMMYFUNCTION("""COMPUTED_VALUE"""),"Psychometrika")</f>
        <v>Psychometrika</v>
      </c>
      <c r="F1847" s="1" t="str">
        <f ca="1">IFERROR(__xludf.DUMMYFUNCTION("""COMPUTED_VALUE"""),"1860-0980")</f>
        <v>1860-0980</v>
      </c>
      <c r="G1847" s="1" t="str">
        <f ca="1">IFERROR(__xludf.DUMMYFUNCTION("""COMPUTED_VALUE"""),"0033-3123")</f>
        <v>0033-3123</v>
      </c>
      <c r="H1847" s="27" t="str">
        <f ca="1">IFERROR(__xludf.DUMMYFUNCTION("""COMPUTED_VALUE"""),"https://link.springer.com/journal/11336")</f>
        <v>https://link.springer.com/journal/11336</v>
      </c>
      <c r="I1847" s="1" t="str">
        <f ca="1">IFERROR(__xludf.DUMMYFUNCTION("""COMPUTED_VALUE"""),"Springer")</f>
        <v>Springer</v>
      </c>
      <c r="J1847" s="1">
        <f ca="1">IFERROR(__xludf.DUMMYFUNCTION("""COMPUTED_VALUE"""),2000)</f>
        <v>2000</v>
      </c>
      <c r="K1847" s="1" t="str">
        <f ca="1">IFERROR(__xludf.DUMMYFUNCTION("""COMPUTED_VALUE"""),"Behavioral Science and Psychology")</f>
        <v>Behavioral Science and Psychology</v>
      </c>
      <c r="L1847" s="1" t="str">
        <f ca="1">IFERROR(__xludf.DUMMYFUNCTION("""COMPUTED_VALUE"""),"〇")</f>
        <v>〇</v>
      </c>
      <c r="M1847" s="1" t="str">
        <f ca="1">IFERROR(__xludf.DUMMYFUNCTION("""COMPUTED_VALUE"""),"〇")</f>
        <v>〇</v>
      </c>
      <c r="N1847" s="1"/>
      <c r="O1847" s="1"/>
      <c r="P1847" s="1"/>
    </row>
    <row r="1848" spans="1:16" ht="14.25" customHeight="1" x14ac:dyDescent="0.25">
      <c r="A1848" s="1"/>
      <c r="B1848" s="1">
        <f ca="1"/>
        <v>1836</v>
      </c>
      <c r="C1848" s="1">
        <f ca="1">IFERROR(__xludf.DUMMYFUNCTION("""COMPUTED_VALUE"""),2023)</f>
        <v>2023</v>
      </c>
      <c r="D1848" s="1">
        <f ca="1">IFERROR(__xludf.DUMMYFUNCTION("""COMPUTED_VALUE"""),13423)</f>
        <v>13423</v>
      </c>
      <c r="E1848" s="1" t="str">
        <f ca="1">IFERROR(__xludf.DUMMYFUNCTION("""COMPUTED_VALUE"""),"Psychonomic Bulletin &amp; Review")</f>
        <v>Psychonomic Bulletin &amp; Review</v>
      </c>
      <c r="F1848" s="1" t="str">
        <f ca="1">IFERROR(__xludf.DUMMYFUNCTION("""COMPUTED_VALUE"""),"1531-5320")</f>
        <v>1531-5320</v>
      </c>
      <c r="G1848" s="1" t="str">
        <f ca="1">IFERROR(__xludf.DUMMYFUNCTION("""COMPUTED_VALUE"""),"1069-9384")</f>
        <v>1069-9384</v>
      </c>
      <c r="H1848" s="27" t="str">
        <f ca="1">IFERROR(__xludf.DUMMYFUNCTION("""COMPUTED_VALUE"""),"https://link.springer.com/journal/13423")</f>
        <v>https://link.springer.com/journal/13423</v>
      </c>
      <c r="I1848" s="1" t="str">
        <f ca="1">IFERROR(__xludf.DUMMYFUNCTION("""COMPUTED_VALUE"""),"Springer")</f>
        <v>Springer</v>
      </c>
      <c r="J1848" s="1">
        <f ca="1">IFERROR(__xludf.DUMMYFUNCTION("""COMPUTED_VALUE"""),2000)</f>
        <v>2000</v>
      </c>
      <c r="K1848" s="1" t="str">
        <f ca="1">IFERROR(__xludf.DUMMYFUNCTION("""COMPUTED_VALUE"""),"Behavioral Science and Psychology")</f>
        <v>Behavioral Science and Psychology</v>
      </c>
      <c r="L1848" s="1" t="str">
        <f ca="1">IFERROR(__xludf.DUMMYFUNCTION("""COMPUTED_VALUE"""),"〇")</f>
        <v>〇</v>
      </c>
      <c r="M1848" s="1"/>
      <c r="N1848" s="1" t="str">
        <f ca="1">IFERROR(__xludf.DUMMYFUNCTION("""COMPUTED_VALUE"""),"TO11")</f>
        <v>TO11</v>
      </c>
      <c r="O1848" s="1"/>
      <c r="P1848" s="1"/>
    </row>
    <row r="1849" spans="1:16" ht="14.25" customHeight="1" x14ac:dyDescent="0.25">
      <c r="A1849" s="1"/>
      <c r="B1849" s="1">
        <f ca="1"/>
        <v>1837</v>
      </c>
      <c r="C1849" s="1">
        <f ca="1">IFERROR(__xludf.DUMMYFUNCTION("""COMPUTED_VALUE"""),2023)</f>
        <v>2023</v>
      </c>
      <c r="D1849" s="1">
        <f ca="1">IFERROR(__xludf.DUMMYFUNCTION("""COMPUTED_VALUE"""),213)</f>
        <v>213</v>
      </c>
      <c r="E1849" s="1" t="str">
        <f ca="1">IFERROR(__xludf.DUMMYFUNCTION("""COMPUTED_VALUE"""),"Psychopharmacology")</f>
        <v>Psychopharmacology</v>
      </c>
      <c r="F1849" s="1" t="str">
        <f ca="1">IFERROR(__xludf.DUMMYFUNCTION("""COMPUTED_VALUE"""),"1432-2072")</f>
        <v>1432-2072</v>
      </c>
      <c r="G1849" s="1" t="str">
        <f ca="1">IFERROR(__xludf.DUMMYFUNCTION("""COMPUTED_VALUE"""),"0033-3158")</f>
        <v>0033-3158</v>
      </c>
      <c r="H1849" s="27" t="str">
        <f ca="1">IFERROR(__xludf.DUMMYFUNCTION("""COMPUTED_VALUE"""),"https://link.springer.com/journal/213")</f>
        <v>https://link.springer.com/journal/213</v>
      </c>
      <c r="I1849" s="1" t="str">
        <f ca="1">IFERROR(__xludf.DUMMYFUNCTION("""COMPUTED_VALUE"""),"Springer")</f>
        <v>Springer</v>
      </c>
      <c r="J1849" s="1">
        <f ca="1">IFERROR(__xludf.DUMMYFUNCTION("""COMPUTED_VALUE"""),2000)</f>
        <v>2000</v>
      </c>
      <c r="K1849" s="1" t="str">
        <f ca="1">IFERROR(__xludf.DUMMYFUNCTION("""COMPUTED_VALUE"""),"Biomedical and Life Sciences")</f>
        <v>Biomedical and Life Sciences</v>
      </c>
      <c r="L1849" s="1" t="str">
        <f ca="1">IFERROR(__xludf.DUMMYFUNCTION("""COMPUTED_VALUE"""),"〇")</f>
        <v>〇</v>
      </c>
      <c r="M1849" s="1" t="str">
        <f ca="1">IFERROR(__xludf.DUMMYFUNCTION("""COMPUTED_VALUE"""),"〇")</f>
        <v>〇</v>
      </c>
      <c r="N1849" s="1"/>
      <c r="O1849" s="1"/>
      <c r="P1849" s="1"/>
    </row>
    <row r="1850" spans="1:16" ht="14.25" customHeight="1" x14ac:dyDescent="0.25">
      <c r="A1850" s="1"/>
      <c r="B1850" s="1">
        <f ca="1"/>
        <v>1838</v>
      </c>
      <c r="C1850" s="1">
        <f ca="1">IFERROR(__xludf.DUMMYFUNCTION("""COMPUTED_VALUE"""),2023)</f>
        <v>2023</v>
      </c>
      <c r="D1850" s="1">
        <f ca="1">IFERROR(__xludf.DUMMYFUNCTION("""COMPUTED_VALUE"""),739)</f>
        <v>739</v>
      </c>
      <c r="E1850" s="1" t="str">
        <f ca="1">IFERROR(__xludf.DUMMYFUNCTION("""COMPUTED_VALUE"""),"psychopraxis. neuropraxis")</f>
        <v>psychopraxis. neuropraxis</v>
      </c>
      <c r="F1850" s="1" t="str">
        <f ca="1">IFERROR(__xludf.DUMMYFUNCTION("""COMPUTED_VALUE"""),"2197-9715")</f>
        <v>2197-9715</v>
      </c>
      <c r="G1850" s="1" t="str">
        <f ca="1">IFERROR(__xludf.DUMMYFUNCTION("""COMPUTED_VALUE"""),"2197-9707")</f>
        <v>2197-9707</v>
      </c>
      <c r="H1850" s="27" t="str">
        <f ca="1">IFERROR(__xludf.DUMMYFUNCTION("""COMPUTED_VALUE"""),"https://link.springer.com/journal/739")</f>
        <v>https://link.springer.com/journal/739</v>
      </c>
      <c r="I1850" s="1" t="str">
        <f ca="1">IFERROR(__xludf.DUMMYFUNCTION("""COMPUTED_VALUE"""),"SpringerMedizin")</f>
        <v>SpringerMedizin</v>
      </c>
      <c r="J1850" s="1">
        <f ca="1">IFERROR(__xludf.DUMMYFUNCTION("""COMPUTED_VALUE"""),2008)</f>
        <v>2008</v>
      </c>
      <c r="K1850" s="1" t="str">
        <f ca="1">IFERROR(__xludf.DUMMYFUNCTION("""COMPUTED_VALUE"""),"Medicine")</f>
        <v>Medicine</v>
      </c>
      <c r="L1850" s="1" t="str">
        <f ca="1">IFERROR(__xludf.DUMMYFUNCTION("""COMPUTED_VALUE"""),"〇")</f>
        <v>〇</v>
      </c>
      <c r="M1850" s="1" t="str">
        <f ca="1">IFERROR(__xludf.DUMMYFUNCTION("""COMPUTED_VALUE"""),"〇")</f>
        <v>〇</v>
      </c>
      <c r="N1850" s="1"/>
      <c r="O1850" s="1"/>
      <c r="P1850" s="1"/>
    </row>
    <row r="1851" spans="1:16" ht="14.25" customHeight="1" x14ac:dyDescent="0.25">
      <c r="A1851" s="1"/>
      <c r="B1851" s="1">
        <f ca="1"/>
        <v>1839</v>
      </c>
      <c r="C1851" s="1">
        <f ca="1">IFERROR(__xludf.DUMMYFUNCTION("""COMPUTED_VALUE"""),2023)</f>
        <v>2023</v>
      </c>
      <c r="D1851" s="1">
        <f ca="1">IFERROR(__xludf.DUMMYFUNCTION("""COMPUTED_VALUE"""),278)</f>
        <v>278</v>
      </c>
      <c r="E1851" s="1" t="str">
        <f ca="1">IFERROR(__xludf.DUMMYFUNCTION("""COMPUTED_VALUE"""),"Die Psychotherapie")</f>
        <v>Die Psychotherapie</v>
      </c>
      <c r="F1851" s="1" t="str">
        <f ca="1">IFERROR(__xludf.DUMMYFUNCTION("""COMPUTED_VALUE"""),"2731-717X")</f>
        <v>2731-717X</v>
      </c>
      <c r="G1851" s="1" t="str">
        <f ca="1">IFERROR(__xludf.DUMMYFUNCTION("""COMPUTED_VALUE"""),"2731-7161")</f>
        <v>2731-7161</v>
      </c>
      <c r="H1851" s="27" t="str">
        <f ca="1">IFERROR(__xludf.DUMMYFUNCTION("""COMPUTED_VALUE"""),"https://link.springer.com/journal/278")</f>
        <v>https://link.springer.com/journal/278</v>
      </c>
      <c r="I1851" s="1" t="str">
        <f ca="1">IFERROR(__xludf.DUMMYFUNCTION("""COMPUTED_VALUE"""),"SpringerMedizin")</f>
        <v>SpringerMedizin</v>
      </c>
      <c r="J1851" s="1">
        <f ca="1">IFERROR(__xludf.DUMMYFUNCTION("""COMPUTED_VALUE"""),2000)</f>
        <v>2000</v>
      </c>
      <c r="K1851" s="1" t="str">
        <f ca="1">IFERROR(__xludf.DUMMYFUNCTION("""COMPUTED_VALUE"""),"Medicine")</f>
        <v>Medicine</v>
      </c>
      <c r="L1851" s="1" t="str">
        <f ca="1">IFERROR(__xludf.DUMMYFUNCTION("""COMPUTED_VALUE"""),"〇")</f>
        <v>〇</v>
      </c>
      <c r="M1851" s="1" t="str">
        <f ca="1">IFERROR(__xludf.DUMMYFUNCTION("""COMPUTED_VALUE"""),"〇")</f>
        <v>〇</v>
      </c>
      <c r="N1851" s="1"/>
      <c r="O1851" s="1"/>
      <c r="P1851" s="1"/>
    </row>
    <row r="1852" spans="1:16" ht="14.25" customHeight="1" x14ac:dyDescent="0.25">
      <c r="A1852" s="1"/>
      <c r="B1852" s="1">
        <f ca="1"/>
        <v>1840</v>
      </c>
      <c r="C1852" s="1">
        <f ca="1">IFERROR(__xludf.DUMMYFUNCTION("""COMPUTED_VALUE"""),2023)</f>
        <v>2023</v>
      </c>
      <c r="D1852" s="1">
        <f ca="1">IFERROR(__xludf.DUMMYFUNCTION("""COMPUTED_VALUE"""),729)</f>
        <v>729</v>
      </c>
      <c r="E1852" s="1" t="str">
        <f ca="1">IFERROR(__xludf.DUMMYFUNCTION("""COMPUTED_VALUE"""),"Psychotherapie Forum")</f>
        <v>Psychotherapie Forum</v>
      </c>
      <c r="F1852" s="1" t="str">
        <f ca="1">IFERROR(__xludf.DUMMYFUNCTION("""COMPUTED_VALUE"""),"1613-7604")</f>
        <v>1613-7604</v>
      </c>
      <c r="G1852" s="1"/>
      <c r="H1852" s="27" t="str">
        <f ca="1">IFERROR(__xludf.DUMMYFUNCTION("""COMPUTED_VALUE"""),"https://link.springer.com/journal/729")</f>
        <v>https://link.springer.com/journal/729</v>
      </c>
      <c r="I1852" s="1" t="str">
        <f ca="1">IFERROR(__xludf.DUMMYFUNCTION("""COMPUTED_VALUE"""),"SpringerMedizin")</f>
        <v>SpringerMedizin</v>
      </c>
      <c r="J1852" s="1">
        <f ca="1">IFERROR(__xludf.DUMMYFUNCTION("""COMPUTED_VALUE"""),2004)</f>
        <v>2004</v>
      </c>
      <c r="K1852" s="1" t="str">
        <f ca="1">IFERROR(__xludf.DUMMYFUNCTION("""COMPUTED_VALUE"""),"Medicine")</f>
        <v>Medicine</v>
      </c>
      <c r="L1852" s="1"/>
      <c r="M1852" s="1"/>
      <c r="N1852" s="1"/>
      <c r="O1852" s="1"/>
      <c r="P1852" s="1"/>
    </row>
    <row r="1853" spans="1:16" ht="14.25" customHeight="1" x14ac:dyDescent="0.25">
      <c r="A1853" s="1"/>
      <c r="B1853" s="1">
        <f ca="1"/>
        <v>1841</v>
      </c>
      <c r="C1853" s="1">
        <f ca="1">IFERROR(__xludf.DUMMYFUNCTION("""COMPUTED_VALUE"""),2023)</f>
        <v>2023</v>
      </c>
      <c r="D1853" s="1">
        <f ca="1">IFERROR(__xludf.DUMMYFUNCTION("""COMPUTED_VALUE"""),11127)</f>
        <v>11127</v>
      </c>
      <c r="E1853" s="1" t="str">
        <f ca="1">IFERROR(__xludf.DUMMYFUNCTION("""COMPUTED_VALUE"""),"Public Choice")</f>
        <v>Public Choice</v>
      </c>
      <c r="F1853" s="1" t="str">
        <f ca="1">IFERROR(__xludf.DUMMYFUNCTION("""COMPUTED_VALUE"""),"1573-7101")</f>
        <v>1573-7101</v>
      </c>
      <c r="G1853" s="1" t="str">
        <f ca="1">IFERROR(__xludf.DUMMYFUNCTION("""COMPUTED_VALUE"""),"0048-5829")</f>
        <v>0048-5829</v>
      </c>
      <c r="H1853" s="27" t="str">
        <f ca="1">IFERROR(__xludf.DUMMYFUNCTION("""COMPUTED_VALUE"""),"https://link.springer.com/journal/11127")</f>
        <v>https://link.springer.com/journal/11127</v>
      </c>
      <c r="I1853" s="1" t="str">
        <f ca="1">IFERROR(__xludf.DUMMYFUNCTION("""COMPUTED_VALUE"""),"Springer")</f>
        <v>Springer</v>
      </c>
      <c r="J1853" s="1">
        <f ca="1">IFERROR(__xludf.DUMMYFUNCTION("""COMPUTED_VALUE"""),2000)</f>
        <v>2000</v>
      </c>
      <c r="K1853" s="1" t="str">
        <f ca="1">IFERROR(__xludf.DUMMYFUNCTION("""COMPUTED_VALUE"""),"Economics and Finance")</f>
        <v>Economics and Finance</v>
      </c>
      <c r="L1853" s="1" t="str">
        <f ca="1">IFERROR(__xludf.DUMMYFUNCTION("""COMPUTED_VALUE"""),"〇")</f>
        <v>〇</v>
      </c>
      <c r="M1853" s="1" t="str">
        <f ca="1">IFERROR(__xludf.DUMMYFUNCTION("""COMPUTED_VALUE"""),"〇")</f>
        <v>〇</v>
      </c>
      <c r="N1853" s="1"/>
      <c r="O1853" s="1"/>
      <c r="P1853" s="1"/>
    </row>
    <row r="1854" spans="1:16" ht="14.25" customHeight="1" x14ac:dyDescent="0.25">
      <c r="A1854" s="1"/>
      <c r="B1854" s="1">
        <f ca="1"/>
        <v>1842</v>
      </c>
      <c r="C1854" s="1">
        <f ca="1">IFERROR(__xludf.DUMMYFUNCTION("""COMPUTED_VALUE"""),2023)</f>
        <v>2023</v>
      </c>
      <c r="D1854" s="1">
        <f ca="1">IFERROR(__xludf.DUMMYFUNCTION("""COMPUTED_VALUE"""),11115)</f>
        <v>11115</v>
      </c>
      <c r="E1854" s="1" t="str">
        <f ca="1">IFERROR(__xludf.DUMMYFUNCTION("""COMPUTED_VALUE"""),"Public Organization Review")</f>
        <v>Public Organization Review</v>
      </c>
      <c r="F1854" s="1" t="str">
        <f ca="1">IFERROR(__xludf.DUMMYFUNCTION("""COMPUTED_VALUE"""),"1573-7098")</f>
        <v>1573-7098</v>
      </c>
      <c r="G1854" s="1" t="str">
        <f ca="1">IFERROR(__xludf.DUMMYFUNCTION("""COMPUTED_VALUE"""),"1566-7170")</f>
        <v>1566-7170</v>
      </c>
      <c r="H1854" s="27" t="str">
        <f ca="1">IFERROR(__xludf.DUMMYFUNCTION("""COMPUTED_VALUE"""),"https://link.springer.com/journal/11115")</f>
        <v>https://link.springer.com/journal/11115</v>
      </c>
      <c r="I1854" s="1" t="str">
        <f ca="1">IFERROR(__xludf.DUMMYFUNCTION("""COMPUTED_VALUE"""),"Springer")</f>
        <v>Springer</v>
      </c>
      <c r="J1854" s="1">
        <f ca="1">IFERROR(__xludf.DUMMYFUNCTION("""COMPUTED_VALUE"""),2001)</f>
        <v>2001</v>
      </c>
      <c r="K1854" s="1" t="str">
        <f ca="1">IFERROR(__xludf.DUMMYFUNCTION("""COMPUTED_VALUE"""),"Political Science and International Studies")</f>
        <v>Political Science and International Studies</v>
      </c>
      <c r="L1854" s="1" t="str">
        <f ca="1">IFERROR(__xludf.DUMMYFUNCTION("""COMPUTED_VALUE"""),"〇")</f>
        <v>〇</v>
      </c>
      <c r="M1854" s="1" t="str">
        <f ca="1">IFERROR(__xludf.DUMMYFUNCTION("""COMPUTED_VALUE"""),"〇")</f>
        <v>〇</v>
      </c>
      <c r="N1854" s="1"/>
      <c r="O1854" s="1"/>
      <c r="P1854" s="1"/>
    </row>
    <row r="1855" spans="1:16" ht="14.25" customHeight="1" x14ac:dyDescent="0.25">
      <c r="A1855" s="1"/>
      <c r="B1855" s="1">
        <f ca="1"/>
        <v>1843</v>
      </c>
      <c r="C1855" s="1">
        <f ca="1">IFERROR(__xludf.DUMMYFUNCTION("""COMPUTED_VALUE"""),2023)</f>
        <v>2023</v>
      </c>
      <c r="D1855" s="1">
        <f ca="1">IFERROR(__xludf.DUMMYFUNCTION("""COMPUTED_VALUE"""),12469)</f>
        <v>12469</v>
      </c>
      <c r="E1855" s="1" t="str">
        <f ca="1">IFERROR(__xludf.DUMMYFUNCTION("""COMPUTED_VALUE"""),"Public Transport")</f>
        <v>Public Transport</v>
      </c>
      <c r="F1855" s="1" t="str">
        <f ca="1">IFERROR(__xludf.DUMMYFUNCTION("""COMPUTED_VALUE"""),"1613-7159")</f>
        <v>1613-7159</v>
      </c>
      <c r="G1855" s="1"/>
      <c r="H1855" s="27" t="str">
        <f ca="1">IFERROR(__xludf.DUMMYFUNCTION("""COMPUTED_VALUE"""),"https://link.springer.com/journal/12469")</f>
        <v>https://link.springer.com/journal/12469</v>
      </c>
      <c r="I1855" s="1" t="str">
        <f ca="1">IFERROR(__xludf.DUMMYFUNCTION("""COMPUTED_VALUE"""),"Springer")</f>
        <v>Springer</v>
      </c>
      <c r="J1855" s="1">
        <f ca="1">IFERROR(__xludf.DUMMYFUNCTION("""COMPUTED_VALUE"""),2009)</f>
        <v>2009</v>
      </c>
      <c r="K1855" s="1" t="str">
        <f ca="1">IFERROR(__xludf.DUMMYFUNCTION("""COMPUTED_VALUE"""),"Business and Management")</f>
        <v>Business and Management</v>
      </c>
      <c r="L1855" s="1"/>
      <c r="M1855" s="1" t="str">
        <f ca="1">IFERROR(__xludf.DUMMYFUNCTION("""COMPUTED_VALUE"""),"〇")</f>
        <v>〇</v>
      </c>
      <c r="N1855" s="1" t="str">
        <f ca="1">IFERROR(__xludf.DUMMYFUNCTION("""COMPUTED_VALUE"""),"SNS9")</f>
        <v>SNS9</v>
      </c>
      <c r="O1855" s="1"/>
      <c r="P1855" s="1"/>
    </row>
    <row r="1856" spans="1:16" ht="14.25" customHeight="1" x14ac:dyDescent="0.25">
      <c r="A1856" s="1"/>
      <c r="B1856" s="1">
        <f ca="1"/>
        <v>1844</v>
      </c>
      <c r="C1856" s="1">
        <f ca="1">IFERROR(__xludf.DUMMYFUNCTION("""COMPUTED_VALUE"""),2023)</f>
        <v>2023</v>
      </c>
      <c r="D1856" s="1">
        <f ca="1">IFERROR(__xludf.DUMMYFUNCTION("""COMPUTED_VALUE"""),12109)</f>
        <v>12109</v>
      </c>
      <c r="E1856" s="1" t="str">
        <f ca="1">IFERROR(__xludf.DUMMYFUNCTION("""COMPUTED_VALUE"""),"Publishing Research Quarterly")</f>
        <v>Publishing Research Quarterly</v>
      </c>
      <c r="F1856" s="1" t="str">
        <f ca="1">IFERROR(__xludf.DUMMYFUNCTION("""COMPUTED_VALUE"""),"1936-4792")</f>
        <v>1936-4792</v>
      </c>
      <c r="G1856" s="1" t="str">
        <f ca="1">IFERROR(__xludf.DUMMYFUNCTION("""COMPUTED_VALUE"""),"1053-8801")</f>
        <v>1053-8801</v>
      </c>
      <c r="H1856" s="27" t="str">
        <f ca="1">IFERROR(__xludf.DUMMYFUNCTION("""COMPUTED_VALUE"""),"https://link.springer.com/journal/12109")</f>
        <v>https://link.springer.com/journal/12109</v>
      </c>
      <c r="I1856" s="1" t="str">
        <f ca="1">IFERROR(__xludf.DUMMYFUNCTION("""COMPUTED_VALUE"""),"Springer")</f>
        <v>Springer</v>
      </c>
      <c r="J1856" s="1">
        <f ca="1">IFERROR(__xludf.DUMMYFUNCTION("""COMPUTED_VALUE"""),2000)</f>
        <v>2000</v>
      </c>
      <c r="K1856" s="1" t="str">
        <f ca="1">IFERROR(__xludf.DUMMYFUNCTION("""COMPUTED_VALUE"""),"Social Sciences")</f>
        <v>Social Sciences</v>
      </c>
      <c r="L1856" s="1" t="str">
        <f ca="1">IFERROR(__xludf.DUMMYFUNCTION("""COMPUTED_VALUE"""),"〇")</f>
        <v>〇</v>
      </c>
      <c r="M1856" s="1" t="str">
        <f ca="1">IFERROR(__xludf.DUMMYFUNCTION("""COMPUTED_VALUE"""),"〇")</f>
        <v>〇</v>
      </c>
      <c r="N1856" s="1" t="str">
        <f ca="1">IFERROR(__xludf.DUMMYFUNCTION("""COMPUTED_VALUE"""),"TO7")</f>
        <v>TO7</v>
      </c>
      <c r="O1856" s="1"/>
      <c r="P1856" s="1"/>
    </row>
    <row r="1857" spans="1:16" ht="14.25" customHeight="1" x14ac:dyDescent="0.25">
      <c r="A1857" s="1"/>
      <c r="B1857" s="1">
        <f ca="1"/>
        <v>1845</v>
      </c>
      <c r="C1857" s="1">
        <f ca="1">IFERROR(__xludf.DUMMYFUNCTION("""COMPUTED_VALUE"""),2023)</f>
        <v>2023</v>
      </c>
      <c r="D1857" s="1">
        <f ca="1">IFERROR(__xludf.DUMMYFUNCTION("""COMPUTED_VALUE"""),11616)</f>
        <v>11616</v>
      </c>
      <c r="E1857" s="1" t="str">
        <f ca="1">IFERROR(__xludf.DUMMYFUNCTION("""COMPUTED_VALUE"""),"Publizistik")</f>
        <v>Publizistik</v>
      </c>
      <c r="F1857" s="1" t="str">
        <f ca="1">IFERROR(__xludf.DUMMYFUNCTION("""COMPUTED_VALUE"""),"1862-2569")</f>
        <v>1862-2569</v>
      </c>
      <c r="G1857" s="1" t="str">
        <f ca="1">IFERROR(__xludf.DUMMYFUNCTION("""COMPUTED_VALUE"""),"0033-4006")</f>
        <v>0033-4006</v>
      </c>
      <c r="H1857" s="27" t="str">
        <f ca="1">IFERROR(__xludf.DUMMYFUNCTION("""COMPUTED_VALUE"""),"https://link.springer.com/journal/11616")</f>
        <v>https://link.springer.com/journal/11616</v>
      </c>
      <c r="I1857" s="1" t="str">
        <f ca="1">IFERROR(__xludf.DUMMYFUNCTION("""COMPUTED_VALUE"""),"Springer VS")</f>
        <v>Springer VS</v>
      </c>
      <c r="J1857" s="1">
        <f ca="1">IFERROR(__xludf.DUMMYFUNCTION("""COMPUTED_VALUE"""),2000)</f>
        <v>2000</v>
      </c>
      <c r="K1857" s="1" t="str">
        <f ca="1">IFERROR(__xludf.DUMMYFUNCTION("""COMPUTED_VALUE"""),"Social Sciences")</f>
        <v>Social Sciences</v>
      </c>
      <c r="L1857" s="1" t="str">
        <f ca="1">IFERROR(__xludf.DUMMYFUNCTION("""COMPUTED_VALUE"""),"〇")</f>
        <v>〇</v>
      </c>
      <c r="M1857" s="1" t="str">
        <f ca="1">IFERROR(__xludf.DUMMYFUNCTION("""COMPUTED_VALUE"""),"〇")</f>
        <v>〇</v>
      </c>
      <c r="N1857" s="1" t="str">
        <f ca="1">IFERROR(__xludf.DUMMYFUNCTION("""COMPUTED_VALUE"""),"SNS7")</f>
        <v>SNS7</v>
      </c>
      <c r="O1857" s="1"/>
      <c r="P1857" s="1"/>
    </row>
    <row r="1858" spans="1:16" ht="14.25" customHeight="1" x14ac:dyDescent="0.25">
      <c r="A1858" s="1"/>
      <c r="B1858" s="1">
        <f ca="1"/>
        <v>1846</v>
      </c>
      <c r="C1858" s="1">
        <f ca="1">IFERROR(__xludf.DUMMYFUNCTION("""COMPUTED_VALUE"""),2023)</f>
        <v>2023</v>
      </c>
      <c r="D1858" s="1">
        <f ca="1">IFERROR(__xludf.DUMMYFUNCTION("""COMPUTED_VALUE"""),24)</f>
        <v>24</v>
      </c>
      <c r="E1858" s="1" t="str">
        <f ca="1">IFERROR(__xludf.DUMMYFUNCTION("""COMPUTED_VALUE"""),"Pure and Applied Geophysics")</f>
        <v>Pure and Applied Geophysics</v>
      </c>
      <c r="F1858" s="1" t="str">
        <f ca="1">IFERROR(__xludf.DUMMYFUNCTION("""COMPUTED_VALUE"""),"1420-9136")</f>
        <v>1420-9136</v>
      </c>
      <c r="G1858" s="1" t="str">
        <f ca="1">IFERROR(__xludf.DUMMYFUNCTION("""COMPUTED_VALUE"""),"0033-4553")</f>
        <v>0033-4553</v>
      </c>
      <c r="H1858" s="27" t="str">
        <f ca="1">IFERROR(__xludf.DUMMYFUNCTION("""COMPUTED_VALUE"""),"https://link.springer.com/journal/24")</f>
        <v>https://link.springer.com/journal/24</v>
      </c>
      <c r="I1858" s="1" t="str">
        <f ca="1">IFERROR(__xludf.DUMMYFUNCTION("""COMPUTED_VALUE"""),"Birkhäuser")</f>
        <v>Birkhäuser</v>
      </c>
      <c r="J1858" s="1">
        <f ca="1">IFERROR(__xludf.DUMMYFUNCTION("""COMPUTED_VALUE"""),2000)</f>
        <v>2000</v>
      </c>
      <c r="K1858" s="1" t="str">
        <f ca="1">IFERROR(__xludf.DUMMYFUNCTION("""COMPUTED_VALUE"""),"Earth and Environmental Science")</f>
        <v>Earth and Environmental Science</v>
      </c>
      <c r="L1858" s="1" t="str">
        <f ca="1">IFERROR(__xludf.DUMMYFUNCTION("""COMPUTED_VALUE"""),"〇")</f>
        <v>〇</v>
      </c>
      <c r="M1858" s="1" t="str">
        <f ca="1">IFERROR(__xludf.DUMMYFUNCTION("""COMPUTED_VALUE"""),"〇")</f>
        <v>〇</v>
      </c>
      <c r="N1858" s="1"/>
      <c r="O1858" s="1"/>
      <c r="P1858" s="1"/>
    </row>
    <row r="1859" spans="1:16" ht="14.25" customHeight="1" x14ac:dyDescent="0.25">
      <c r="A1859" s="1"/>
      <c r="B1859" s="1">
        <f ca="1"/>
        <v>1847</v>
      </c>
      <c r="C1859" s="1">
        <f ca="1">IFERROR(__xludf.DUMMYFUNCTION("""COMPUTED_VALUE"""),2023)</f>
        <v>2023</v>
      </c>
      <c r="D1859" s="1">
        <f ca="1">IFERROR(__xludf.DUMMYFUNCTION("""COMPUTED_VALUE"""),11302)</f>
        <v>11302</v>
      </c>
      <c r="E1859" s="1" t="str">
        <f ca="1">IFERROR(__xludf.DUMMYFUNCTION("""COMPUTED_VALUE"""),"Purinergic Signalling")</f>
        <v>Purinergic Signalling</v>
      </c>
      <c r="F1859" s="1" t="str">
        <f ca="1">IFERROR(__xludf.DUMMYFUNCTION("""COMPUTED_VALUE"""),"1573-9546")</f>
        <v>1573-9546</v>
      </c>
      <c r="G1859" s="1"/>
      <c r="H1859" s="27" t="str">
        <f ca="1">IFERROR(__xludf.DUMMYFUNCTION("""COMPUTED_VALUE"""),"https://link.springer.com/journal/11302")</f>
        <v>https://link.springer.com/journal/11302</v>
      </c>
      <c r="I1859" s="1" t="str">
        <f ca="1">IFERROR(__xludf.DUMMYFUNCTION("""COMPUTED_VALUE"""),"Springer")</f>
        <v>Springer</v>
      </c>
      <c r="J1859" s="1">
        <f ca="1">IFERROR(__xludf.DUMMYFUNCTION("""COMPUTED_VALUE"""),2004)</f>
        <v>2004</v>
      </c>
      <c r="K1859" s="1" t="str">
        <f ca="1">IFERROR(__xludf.DUMMYFUNCTION("""COMPUTED_VALUE"""),"Biomedical and Life Sciences")</f>
        <v>Biomedical and Life Sciences</v>
      </c>
      <c r="L1859" s="1"/>
      <c r="M1859" s="1" t="str">
        <f ca="1">IFERROR(__xludf.DUMMYFUNCTION("""COMPUTED_VALUE"""),"〇")</f>
        <v>〇</v>
      </c>
      <c r="N1859" s="1"/>
      <c r="O1859" s="1"/>
      <c r="P1859" s="1"/>
    </row>
    <row r="1860" spans="1:16" ht="14.25" customHeight="1" x14ac:dyDescent="0.25">
      <c r="A1860" s="1"/>
      <c r="B1860" s="1">
        <f ca="1"/>
        <v>1848</v>
      </c>
      <c r="C1860" s="1">
        <f ca="1">IFERROR(__xludf.DUMMYFUNCTION("""COMPUTED_VALUE"""),2023)</f>
        <v>2023</v>
      </c>
      <c r="D1860" s="1">
        <f ca="1">IFERROR(__xludf.DUMMYFUNCTION("""COMPUTED_VALUE"""),11133)</f>
        <v>11133</v>
      </c>
      <c r="E1860" s="1" t="str">
        <f ca="1">IFERROR(__xludf.DUMMYFUNCTION("""COMPUTED_VALUE"""),"Qualitative Sociology")</f>
        <v>Qualitative Sociology</v>
      </c>
      <c r="F1860" s="1" t="str">
        <f ca="1">IFERROR(__xludf.DUMMYFUNCTION("""COMPUTED_VALUE"""),"1573-7837")</f>
        <v>1573-7837</v>
      </c>
      <c r="G1860" s="1" t="str">
        <f ca="1">IFERROR(__xludf.DUMMYFUNCTION("""COMPUTED_VALUE"""),"0162-0436")</f>
        <v>0162-0436</v>
      </c>
      <c r="H1860" s="27" t="str">
        <f ca="1">IFERROR(__xludf.DUMMYFUNCTION("""COMPUTED_VALUE"""),"https://link.springer.com/journal/11133")</f>
        <v>https://link.springer.com/journal/11133</v>
      </c>
      <c r="I1860" s="1" t="str">
        <f ca="1">IFERROR(__xludf.DUMMYFUNCTION("""COMPUTED_VALUE"""),"Springer")</f>
        <v>Springer</v>
      </c>
      <c r="J1860" s="1">
        <f ca="1">IFERROR(__xludf.DUMMYFUNCTION("""COMPUTED_VALUE"""),2000)</f>
        <v>2000</v>
      </c>
      <c r="K1860" s="1" t="str">
        <f ca="1">IFERROR(__xludf.DUMMYFUNCTION("""COMPUTED_VALUE"""),"Social Sciences")</f>
        <v>Social Sciences</v>
      </c>
      <c r="L1860" s="1" t="str">
        <f ca="1">IFERROR(__xludf.DUMMYFUNCTION("""COMPUTED_VALUE"""),"〇")</f>
        <v>〇</v>
      </c>
      <c r="M1860" s="1" t="str">
        <f ca="1">IFERROR(__xludf.DUMMYFUNCTION("""COMPUTED_VALUE"""),"〇")</f>
        <v>〇</v>
      </c>
      <c r="N1860" s="1"/>
      <c r="O1860" s="1"/>
      <c r="P1860" s="1"/>
    </row>
    <row r="1861" spans="1:16" ht="14.25" customHeight="1" x14ac:dyDescent="0.25">
      <c r="A1861" s="1"/>
      <c r="B1861" s="1">
        <f ca="1"/>
        <v>1849</v>
      </c>
      <c r="C1861" s="1">
        <f ca="1">IFERROR(__xludf.DUMMYFUNCTION("""COMPUTED_VALUE"""),2023)</f>
        <v>2023</v>
      </c>
      <c r="D1861" s="1">
        <f ca="1">IFERROR(__xludf.DUMMYFUNCTION("""COMPUTED_VALUE"""),12346)</f>
        <v>12346</v>
      </c>
      <c r="E1861" s="1" t="str">
        <f ca="1">IFERROR(__xludf.DUMMYFUNCTION("""COMPUTED_VALUE"""),"Qualitative Theory of Dynamical Systems")</f>
        <v>Qualitative Theory of Dynamical Systems</v>
      </c>
      <c r="F1861" s="1" t="str">
        <f ca="1">IFERROR(__xludf.DUMMYFUNCTION("""COMPUTED_VALUE"""),"1662-3592")</f>
        <v>1662-3592</v>
      </c>
      <c r="G1861" s="1" t="str">
        <f ca="1">IFERROR(__xludf.DUMMYFUNCTION("""COMPUTED_VALUE"""),"1575-5460")</f>
        <v>1575-5460</v>
      </c>
      <c r="H1861" s="27" t="str">
        <f ca="1">IFERROR(__xludf.DUMMYFUNCTION("""COMPUTED_VALUE"""),"https://link.springer.com/journal/12346")</f>
        <v>https://link.springer.com/journal/12346</v>
      </c>
      <c r="I1861" s="1" t="str">
        <f ca="1">IFERROR(__xludf.DUMMYFUNCTION("""COMPUTED_VALUE"""),"Birkhäuser")</f>
        <v>Birkhäuser</v>
      </c>
      <c r="J1861" s="1">
        <f ca="1">IFERROR(__xludf.DUMMYFUNCTION("""COMPUTED_VALUE"""),2000)</f>
        <v>2000</v>
      </c>
      <c r="K1861" s="1" t="str">
        <f ca="1">IFERROR(__xludf.DUMMYFUNCTION("""COMPUTED_VALUE"""),"Mathematics and Statistics")</f>
        <v>Mathematics and Statistics</v>
      </c>
      <c r="L1861" s="1" t="str">
        <f ca="1">IFERROR(__xludf.DUMMYFUNCTION("""COMPUTED_VALUE"""),"〇")</f>
        <v>〇</v>
      </c>
      <c r="M1861" s="1" t="str">
        <f ca="1">IFERROR(__xludf.DUMMYFUNCTION("""COMPUTED_VALUE"""),"〇")</f>
        <v>〇</v>
      </c>
      <c r="N1861" s="1" t="str">
        <f ca="1">IFERROR(__xludf.DUMMYFUNCTION("""COMPUTED_VALUE"""),"TO8")</f>
        <v>TO8</v>
      </c>
      <c r="O1861" s="1"/>
      <c r="P1861" s="1"/>
    </row>
    <row r="1862" spans="1:16" ht="14.25" customHeight="1" x14ac:dyDescent="0.25">
      <c r="A1862" s="1"/>
      <c r="B1862" s="1">
        <f ca="1"/>
        <v>1850</v>
      </c>
      <c r="C1862" s="1">
        <f ca="1">IFERROR(__xludf.DUMMYFUNCTION("""COMPUTED_VALUE"""),2023)</f>
        <v>2023</v>
      </c>
      <c r="D1862" s="1">
        <f ca="1">IFERROR(__xludf.DUMMYFUNCTION("""COMPUTED_VALUE"""),11135)</f>
        <v>11135</v>
      </c>
      <c r="E1862" s="1" t="str">
        <f ca="1">IFERROR(__xludf.DUMMYFUNCTION("""COMPUTED_VALUE"""),"Quality &amp; Quantity")</f>
        <v>Quality &amp; Quantity</v>
      </c>
      <c r="F1862" s="1" t="str">
        <f ca="1">IFERROR(__xludf.DUMMYFUNCTION("""COMPUTED_VALUE"""),"1573-7845")</f>
        <v>1573-7845</v>
      </c>
      <c r="G1862" s="1" t="str">
        <f ca="1">IFERROR(__xludf.DUMMYFUNCTION("""COMPUTED_VALUE"""),"0033-5177")</f>
        <v>0033-5177</v>
      </c>
      <c r="H1862" s="27" t="str">
        <f ca="1">IFERROR(__xludf.DUMMYFUNCTION("""COMPUTED_VALUE"""),"https://link.springer.com/journal/11135")</f>
        <v>https://link.springer.com/journal/11135</v>
      </c>
      <c r="I1862" s="1" t="str">
        <f ca="1">IFERROR(__xludf.DUMMYFUNCTION("""COMPUTED_VALUE"""),"Springer")</f>
        <v>Springer</v>
      </c>
      <c r="J1862" s="1">
        <f ca="1">IFERROR(__xludf.DUMMYFUNCTION("""COMPUTED_VALUE"""),2000)</f>
        <v>2000</v>
      </c>
      <c r="K1862" s="1" t="str">
        <f ca="1">IFERROR(__xludf.DUMMYFUNCTION("""COMPUTED_VALUE"""),"Social Sciences")</f>
        <v>Social Sciences</v>
      </c>
      <c r="L1862" s="1" t="str">
        <f ca="1">IFERROR(__xludf.DUMMYFUNCTION("""COMPUTED_VALUE"""),"〇")</f>
        <v>〇</v>
      </c>
      <c r="M1862" s="1" t="str">
        <f ca="1">IFERROR(__xludf.DUMMYFUNCTION("""COMPUTED_VALUE"""),"〇")</f>
        <v>〇</v>
      </c>
      <c r="N1862" s="1"/>
      <c r="O1862" s="1"/>
      <c r="P1862" s="1"/>
    </row>
    <row r="1863" spans="1:16" ht="14.25" customHeight="1" x14ac:dyDescent="0.25">
      <c r="A1863" s="1"/>
      <c r="B1863" s="1">
        <f ca="1"/>
        <v>1851</v>
      </c>
      <c r="C1863" s="1">
        <f ca="1">IFERROR(__xludf.DUMMYFUNCTION("""COMPUTED_VALUE"""),2023)</f>
        <v>2023</v>
      </c>
      <c r="D1863" s="1">
        <f ca="1">IFERROR(__xludf.DUMMYFUNCTION("""COMPUTED_VALUE"""),41233)</f>
        <v>41233</v>
      </c>
      <c r="E1863" s="1" t="str">
        <f ca="1">IFERROR(__xludf.DUMMYFUNCTION("""COMPUTED_VALUE"""),"Quality and User Experience")</f>
        <v>Quality and User Experience</v>
      </c>
      <c r="F1863" s="1" t="str">
        <f ca="1">IFERROR(__xludf.DUMMYFUNCTION("""COMPUTED_VALUE"""),"2366-0147")</f>
        <v>2366-0147</v>
      </c>
      <c r="G1863" s="1" t="str">
        <f ca="1">IFERROR(__xludf.DUMMYFUNCTION("""COMPUTED_VALUE"""),"2366-0139")</f>
        <v>2366-0139</v>
      </c>
      <c r="H1863" s="27" t="str">
        <f ca="1">IFERROR(__xludf.DUMMYFUNCTION("""COMPUTED_VALUE"""),"https://link.springer.com/journal/41233")</f>
        <v>https://link.springer.com/journal/41233</v>
      </c>
      <c r="I1863" s="1" t="str">
        <f ca="1">IFERROR(__xludf.DUMMYFUNCTION("""COMPUTED_VALUE"""),"Springer")</f>
        <v>Springer</v>
      </c>
      <c r="J1863" s="1">
        <f ca="1">IFERROR(__xludf.DUMMYFUNCTION("""COMPUTED_VALUE"""),2016)</f>
        <v>2016</v>
      </c>
      <c r="K1863" s="1" t="str">
        <f ca="1">IFERROR(__xludf.DUMMYFUNCTION("""COMPUTED_VALUE"""),"Engineering")</f>
        <v>Engineering</v>
      </c>
      <c r="L1863" s="1" t="str">
        <f ca="1">IFERROR(__xludf.DUMMYFUNCTION("""COMPUTED_VALUE"""),"〇")</f>
        <v>〇</v>
      </c>
      <c r="M1863" s="1"/>
      <c r="N1863" s="1" t="str">
        <f ca="1">IFERROR(__xludf.DUMMYFUNCTION("""COMPUTED_VALUE"""),"SNS16")</f>
        <v>SNS16</v>
      </c>
      <c r="O1863" s="1"/>
      <c r="P1863" s="1"/>
    </row>
    <row r="1864" spans="1:16" ht="14.25" customHeight="1" x14ac:dyDescent="0.25">
      <c r="A1864" s="1"/>
      <c r="B1864" s="1">
        <f ca="1"/>
        <v>1852</v>
      </c>
      <c r="C1864" s="1">
        <f ca="1">IFERROR(__xludf.DUMMYFUNCTION("""COMPUTED_VALUE"""),2023)</f>
        <v>2023</v>
      </c>
      <c r="D1864" s="1">
        <f ca="1">IFERROR(__xludf.DUMMYFUNCTION("""COMPUTED_VALUE"""),11136)</f>
        <v>11136</v>
      </c>
      <c r="E1864" s="1" t="str">
        <f ca="1">IFERROR(__xludf.DUMMYFUNCTION("""COMPUTED_VALUE"""),"Quality of Life Research")</f>
        <v>Quality of Life Research</v>
      </c>
      <c r="F1864" s="1" t="str">
        <f ca="1">IFERROR(__xludf.DUMMYFUNCTION("""COMPUTED_VALUE"""),"1573-2649")</f>
        <v>1573-2649</v>
      </c>
      <c r="G1864" s="1" t="str">
        <f ca="1">IFERROR(__xludf.DUMMYFUNCTION("""COMPUTED_VALUE"""),"0962-9343")</f>
        <v>0962-9343</v>
      </c>
      <c r="H1864" s="27" t="str">
        <f ca="1">IFERROR(__xludf.DUMMYFUNCTION("""COMPUTED_VALUE"""),"https://link.springer.com/journal/11136")</f>
        <v>https://link.springer.com/journal/11136</v>
      </c>
      <c r="I1864" s="1" t="str">
        <f ca="1">IFERROR(__xludf.DUMMYFUNCTION("""COMPUTED_VALUE"""),"Springer")</f>
        <v>Springer</v>
      </c>
      <c r="J1864" s="1">
        <f ca="1">IFERROR(__xludf.DUMMYFUNCTION("""COMPUTED_VALUE"""),2000)</f>
        <v>2000</v>
      </c>
      <c r="K1864" s="1" t="str">
        <f ca="1">IFERROR(__xludf.DUMMYFUNCTION("""COMPUTED_VALUE"""),"Medicine")</f>
        <v>Medicine</v>
      </c>
      <c r="L1864" s="1" t="str">
        <f ca="1">IFERROR(__xludf.DUMMYFUNCTION("""COMPUTED_VALUE"""),"〇")</f>
        <v>〇</v>
      </c>
      <c r="M1864" s="1" t="str">
        <f ca="1">IFERROR(__xludf.DUMMYFUNCTION("""COMPUTED_VALUE"""),"〇")</f>
        <v>〇</v>
      </c>
      <c r="N1864" s="1"/>
      <c r="O1864" s="1"/>
      <c r="P1864" s="1"/>
    </row>
    <row r="1865" spans="1:16" ht="14.25" customHeight="1" x14ac:dyDescent="0.25">
      <c r="A1865" s="1"/>
      <c r="B1865" s="1">
        <f ca="1"/>
        <v>1853</v>
      </c>
      <c r="C1865" s="1">
        <f ca="1">IFERROR(__xludf.DUMMYFUNCTION("""COMPUTED_VALUE"""),2023)</f>
        <v>2023</v>
      </c>
      <c r="D1865" s="1">
        <f ca="1">IFERROR(__xludf.DUMMYFUNCTION("""COMPUTED_VALUE"""),11129)</f>
        <v>11129</v>
      </c>
      <c r="E1865" s="1" t="str">
        <f ca="1">IFERROR(__xludf.DUMMYFUNCTION("""COMPUTED_VALUE"""),"Quantitative Marketing and Economics")</f>
        <v>Quantitative Marketing and Economics</v>
      </c>
      <c r="F1865" s="1" t="str">
        <f ca="1">IFERROR(__xludf.DUMMYFUNCTION("""COMPUTED_VALUE"""),"1573-711X")</f>
        <v>1573-711X</v>
      </c>
      <c r="G1865" s="1" t="str">
        <f ca="1">IFERROR(__xludf.DUMMYFUNCTION("""COMPUTED_VALUE"""),"1570-7156")</f>
        <v>1570-7156</v>
      </c>
      <c r="H1865" s="27" t="str">
        <f ca="1">IFERROR(__xludf.DUMMYFUNCTION("""COMPUTED_VALUE"""),"https://link.springer.com/journal/11129")</f>
        <v>https://link.springer.com/journal/11129</v>
      </c>
      <c r="I1865" s="1" t="str">
        <f ca="1">IFERROR(__xludf.DUMMYFUNCTION("""COMPUTED_VALUE"""),"Springer")</f>
        <v>Springer</v>
      </c>
      <c r="J1865" s="1">
        <f ca="1">IFERROR(__xludf.DUMMYFUNCTION("""COMPUTED_VALUE"""),2003)</f>
        <v>2003</v>
      </c>
      <c r="K1865" s="1" t="str">
        <f ca="1">IFERROR(__xludf.DUMMYFUNCTION("""COMPUTED_VALUE"""),"Business and Management")</f>
        <v>Business and Management</v>
      </c>
      <c r="L1865" s="1" t="str">
        <f ca="1">IFERROR(__xludf.DUMMYFUNCTION("""COMPUTED_VALUE"""),"〇")</f>
        <v>〇</v>
      </c>
      <c r="M1865" s="1" t="str">
        <f ca="1">IFERROR(__xludf.DUMMYFUNCTION("""COMPUTED_VALUE"""),"〇")</f>
        <v>〇</v>
      </c>
      <c r="N1865" s="1"/>
      <c r="O1865" s="1"/>
      <c r="P1865" s="1"/>
    </row>
    <row r="1866" spans="1:16" ht="14.25" customHeight="1" x14ac:dyDescent="0.25">
      <c r="A1866" s="1"/>
      <c r="B1866" s="1">
        <f ca="1"/>
        <v>1854</v>
      </c>
      <c r="C1866" s="1">
        <f ca="1">IFERROR(__xludf.DUMMYFUNCTION("""COMPUTED_VALUE"""),2023)</f>
        <v>2023</v>
      </c>
      <c r="D1866" s="1">
        <f ca="1">IFERROR(__xludf.DUMMYFUNCTION("""COMPUTED_VALUE"""),11128)</f>
        <v>11128</v>
      </c>
      <c r="E1866" s="1" t="str">
        <f ca="1">IFERROR(__xludf.DUMMYFUNCTION("""COMPUTED_VALUE"""),"Quantum Information Processing")</f>
        <v>Quantum Information Processing</v>
      </c>
      <c r="F1866" s="1" t="str">
        <f ca="1">IFERROR(__xludf.DUMMYFUNCTION("""COMPUTED_VALUE"""),"1573-1332")</f>
        <v>1573-1332</v>
      </c>
      <c r="G1866" s="1"/>
      <c r="H1866" s="27" t="str">
        <f ca="1">IFERROR(__xludf.DUMMYFUNCTION("""COMPUTED_VALUE"""),"https://link.springer.com/journal/11128")</f>
        <v>https://link.springer.com/journal/11128</v>
      </c>
      <c r="I1866" s="1" t="str">
        <f ca="1">IFERROR(__xludf.DUMMYFUNCTION("""COMPUTED_VALUE"""),"Springer")</f>
        <v>Springer</v>
      </c>
      <c r="J1866" s="1">
        <f ca="1">IFERROR(__xludf.DUMMYFUNCTION("""COMPUTED_VALUE"""),2002)</f>
        <v>2002</v>
      </c>
      <c r="K1866" s="1" t="str">
        <f ca="1">IFERROR(__xludf.DUMMYFUNCTION("""COMPUTED_VALUE"""),"Physics and Astronomy")</f>
        <v>Physics and Astronomy</v>
      </c>
      <c r="L1866" s="1"/>
      <c r="M1866" s="1" t="str">
        <f ca="1">IFERROR(__xludf.DUMMYFUNCTION("""COMPUTED_VALUE"""),"〇")</f>
        <v>〇</v>
      </c>
      <c r="N1866" s="1"/>
      <c r="O1866" s="1"/>
      <c r="P1866" s="1"/>
    </row>
    <row r="1867" spans="1:16" ht="14.25" customHeight="1" x14ac:dyDescent="0.25">
      <c r="A1867" s="1"/>
      <c r="B1867" s="1">
        <f ca="1"/>
        <v>1855</v>
      </c>
      <c r="C1867" s="1">
        <f ca="1">IFERROR(__xludf.DUMMYFUNCTION("""COMPUTED_VALUE"""),2023)</f>
        <v>2023</v>
      </c>
      <c r="D1867" s="1">
        <f ca="1">IFERROR(__xludf.DUMMYFUNCTION("""COMPUTED_VALUE"""),42484)</f>
        <v>42484</v>
      </c>
      <c r="E1867" s="1" t="str">
        <f ca="1">IFERROR(__xludf.DUMMYFUNCTION("""COMPUTED_VALUE"""),"Quantum Machine Intelligence")</f>
        <v>Quantum Machine Intelligence</v>
      </c>
      <c r="F1867" s="1" t="str">
        <f ca="1">IFERROR(__xludf.DUMMYFUNCTION("""COMPUTED_VALUE"""),"2524-4914")</f>
        <v>2524-4914</v>
      </c>
      <c r="G1867" s="1" t="str">
        <f ca="1">IFERROR(__xludf.DUMMYFUNCTION("""COMPUTED_VALUE"""),"2524-4906")</f>
        <v>2524-4906</v>
      </c>
      <c r="H1867" s="27" t="str">
        <f ca="1">IFERROR(__xludf.DUMMYFUNCTION("""COMPUTED_VALUE"""),"https://link.springer.com/journal/42484")</f>
        <v>https://link.springer.com/journal/42484</v>
      </c>
      <c r="I1867" s="1" t="str">
        <f ca="1">IFERROR(__xludf.DUMMYFUNCTION("""COMPUTED_VALUE"""),"Springer")</f>
        <v>Springer</v>
      </c>
      <c r="J1867" s="1">
        <f ca="1">IFERROR(__xludf.DUMMYFUNCTION("""COMPUTED_VALUE"""),2019)</f>
        <v>2019</v>
      </c>
      <c r="K1867" s="1" t="str">
        <f ca="1">IFERROR(__xludf.DUMMYFUNCTION("""COMPUTED_VALUE"""),"Engineering")</f>
        <v>Engineering</v>
      </c>
      <c r="L1867" s="1" t="str">
        <f ca="1">IFERROR(__xludf.DUMMYFUNCTION("""COMPUTED_VALUE"""),"〇")</f>
        <v>〇</v>
      </c>
      <c r="M1867" s="1"/>
      <c r="N1867" s="1" t="str">
        <f ca="1">IFERROR(__xludf.DUMMYFUNCTION("""COMPUTED_VALUE"""),"SNS19")</f>
        <v>SNS19</v>
      </c>
      <c r="O1867" s="1"/>
      <c r="P1867" s="1"/>
    </row>
    <row r="1868" spans="1:16" ht="14.25" customHeight="1" x14ac:dyDescent="0.25">
      <c r="A1868" s="1"/>
      <c r="B1868" s="1">
        <f ca="1"/>
        <v>1856</v>
      </c>
      <c r="C1868" s="1">
        <f ca="1">IFERROR(__xludf.DUMMYFUNCTION("""COMPUTED_VALUE"""),2023)</f>
        <v>2023</v>
      </c>
      <c r="D1868" s="1">
        <f ca="1">IFERROR(__xludf.DUMMYFUNCTION("""COMPUTED_VALUE"""),40509)</f>
        <v>40509</v>
      </c>
      <c r="E1868" s="1" t="str">
        <f ca="1">IFERROR(__xludf.DUMMYFUNCTION("""COMPUTED_VALUE"""),"Quantum Studies: Mathematics and Foundations")</f>
        <v>Quantum Studies: Mathematics and Foundations</v>
      </c>
      <c r="F1868" s="1" t="str">
        <f ca="1">IFERROR(__xludf.DUMMYFUNCTION("""COMPUTED_VALUE"""),"2196-5617")</f>
        <v>2196-5617</v>
      </c>
      <c r="G1868" s="1" t="str">
        <f ca="1">IFERROR(__xludf.DUMMYFUNCTION("""COMPUTED_VALUE"""),"2196-5609")</f>
        <v>2196-5609</v>
      </c>
      <c r="H1868" s="27" t="str">
        <f ca="1">IFERROR(__xludf.DUMMYFUNCTION("""COMPUTED_VALUE"""),"https://link.springer.com/journal/40509")</f>
        <v>https://link.springer.com/journal/40509</v>
      </c>
      <c r="I1868" s="1" t="str">
        <f ca="1">IFERROR(__xludf.DUMMYFUNCTION("""COMPUTED_VALUE"""),"Birkhäuser")</f>
        <v>Birkhäuser</v>
      </c>
      <c r="J1868" s="1">
        <f ca="1">IFERROR(__xludf.DUMMYFUNCTION("""COMPUTED_VALUE"""),2014)</f>
        <v>2014</v>
      </c>
      <c r="K1868" s="1" t="str">
        <f ca="1">IFERROR(__xludf.DUMMYFUNCTION("""COMPUTED_VALUE"""),"Mathematics and Statistics")</f>
        <v>Mathematics and Statistics</v>
      </c>
      <c r="L1868" s="1" t="str">
        <f ca="1">IFERROR(__xludf.DUMMYFUNCTION("""COMPUTED_VALUE"""),"〇")</f>
        <v>〇</v>
      </c>
      <c r="M1868" s="1"/>
      <c r="N1868" s="1" t="str">
        <f ca="1">IFERROR(__xludf.DUMMYFUNCTION("""COMPUTED_VALUE"""),"SNS14")</f>
        <v>SNS14</v>
      </c>
      <c r="O1868" s="1"/>
      <c r="P1868" s="1"/>
    </row>
    <row r="1869" spans="1:16" ht="14.25" customHeight="1" x14ac:dyDescent="0.25">
      <c r="A1869" s="1"/>
      <c r="B1869" s="1">
        <f ca="1"/>
        <v>1857</v>
      </c>
      <c r="C1869" s="1">
        <f ca="1">IFERROR(__xludf.DUMMYFUNCTION("""COMPUTED_VALUE"""),2023)</f>
        <v>2023</v>
      </c>
      <c r="D1869" s="1">
        <f ca="1">IFERROR(__xludf.DUMMYFUNCTION("""COMPUTED_VALUE"""),11134)</f>
        <v>11134</v>
      </c>
      <c r="E1869" s="1" t="str">
        <f ca="1">IFERROR(__xludf.DUMMYFUNCTION("""COMPUTED_VALUE"""),"Queueing Systems")</f>
        <v>Queueing Systems</v>
      </c>
      <c r="F1869" s="1" t="str">
        <f ca="1">IFERROR(__xludf.DUMMYFUNCTION("""COMPUTED_VALUE"""),"1572-9443")</f>
        <v>1572-9443</v>
      </c>
      <c r="G1869" s="1" t="str">
        <f ca="1">IFERROR(__xludf.DUMMYFUNCTION("""COMPUTED_VALUE"""),"0257-0130")</f>
        <v>0257-0130</v>
      </c>
      <c r="H1869" s="27" t="str">
        <f ca="1">IFERROR(__xludf.DUMMYFUNCTION("""COMPUTED_VALUE"""),"https://link.springer.com/journal/11134")</f>
        <v>https://link.springer.com/journal/11134</v>
      </c>
      <c r="I1869" s="1" t="str">
        <f ca="1">IFERROR(__xludf.DUMMYFUNCTION("""COMPUTED_VALUE"""),"Springer")</f>
        <v>Springer</v>
      </c>
      <c r="J1869" s="1">
        <f ca="1">IFERROR(__xludf.DUMMYFUNCTION("""COMPUTED_VALUE"""),2000)</f>
        <v>2000</v>
      </c>
      <c r="K1869" s="1" t="str">
        <f ca="1">IFERROR(__xludf.DUMMYFUNCTION("""COMPUTED_VALUE"""),"Business and Management")</f>
        <v>Business and Management</v>
      </c>
      <c r="L1869" s="1" t="str">
        <f ca="1">IFERROR(__xludf.DUMMYFUNCTION("""COMPUTED_VALUE"""),"〇")</f>
        <v>〇</v>
      </c>
      <c r="M1869" s="1" t="str">
        <f ca="1">IFERROR(__xludf.DUMMYFUNCTION("""COMPUTED_VALUE"""),"〇")</f>
        <v>〇</v>
      </c>
      <c r="N1869" s="1"/>
      <c r="O1869" s="1"/>
      <c r="P1869" s="1"/>
    </row>
    <row r="1870" spans="1:16" ht="14.25" customHeight="1" x14ac:dyDescent="0.25">
      <c r="A1870" s="1"/>
      <c r="B1870" s="1">
        <f ca="1"/>
        <v>1858</v>
      </c>
      <c r="C1870" s="1">
        <f ca="1">IFERROR(__xludf.DUMMYFUNCTION("""COMPUTED_VALUE"""),2023)</f>
        <v>2023</v>
      </c>
      <c r="D1870" s="1">
        <f ca="1">IFERROR(__xludf.DUMMYFUNCTION("""COMPUTED_VALUE"""),12552)</f>
        <v>12552</v>
      </c>
      <c r="E1870" s="1" t="str">
        <f ca="1">IFERROR(__xludf.DUMMYFUNCTION("""COMPUTED_VALUE"""),"Race and Social Problems")</f>
        <v>Race and Social Problems</v>
      </c>
      <c r="F1870" s="1" t="str">
        <f ca="1">IFERROR(__xludf.DUMMYFUNCTION("""COMPUTED_VALUE"""),"1867-1756")</f>
        <v>1867-1756</v>
      </c>
      <c r="G1870" s="1" t="str">
        <f ca="1">IFERROR(__xludf.DUMMYFUNCTION("""COMPUTED_VALUE"""),"1867-1748")</f>
        <v>1867-1748</v>
      </c>
      <c r="H1870" s="27" t="str">
        <f ca="1">IFERROR(__xludf.DUMMYFUNCTION("""COMPUTED_VALUE"""),"https://link.springer.com/journal/12552")</f>
        <v>https://link.springer.com/journal/12552</v>
      </c>
      <c r="I1870" s="1" t="str">
        <f ca="1">IFERROR(__xludf.DUMMYFUNCTION("""COMPUTED_VALUE"""),"Springer")</f>
        <v>Springer</v>
      </c>
      <c r="J1870" s="1">
        <f ca="1">IFERROR(__xludf.DUMMYFUNCTION("""COMPUTED_VALUE"""),2009)</f>
        <v>2009</v>
      </c>
      <c r="K1870" s="1" t="str">
        <f ca="1">IFERROR(__xludf.DUMMYFUNCTION("""COMPUTED_VALUE"""),"Social Sciences")</f>
        <v>Social Sciences</v>
      </c>
      <c r="L1870" s="1" t="str">
        <f ca="1">IFERROR(__xludf.DUMMYFUNCTION("""COMPUTED_VALUE"""),"〇")</f>
        <v>〇</v>
      </c>
      <c r="M1870" s="1" t="str">
        <f ca="1">IFERROR(__xludf.DUMMYFUNCTION("""COMPUTED_VALUE"""),"〇")</f>
        <v>〇</v>
      </c>
      <c r="N1870" s="1" t="str">
        <f ca="1">IFERROR(__xludf.DUMMYFUNCTION("""COMPUTED_VALUE"""),"SNS9")</f>
        <v>SNS9</v>
      </c>
      <c r="O1870" s="1"/>
      <c r="P1870" s="1"/>
    </row>
    <row r="1871" spans="1:16" ht="14.25" customHeight="1" x14ac:dyDescent="0.25">
      <c r="A1871" s="1"/>
      <c r="B1871" s="1">
        <f ca="1"/>
        <v>1859</v>
      </c>
      <c r="C1871" s="1">
        <f ca="1">IFERROR(__xludf.DUMMYFUNCTION("""COMPUTED_VALUE"""),2023)</f>
        <v>2023</v>
      </c>
      <c r="D1871" s="1">
        <f ca="1">IFERROR(__xludf.DUMMYFUNCTION("""COMPUTED_VALUE"""),411)</f>
        <v>411</v>
      </c>
      <c r="E1871" s="1" t="str">
        <f ca="1">IFERROR(__xludf.DUMMYFUNCTION("""COMPUTED_VALUE"""),"Radiation and Environmental Biophysics")</f>
        <v>Radiation and Environmental Biophysics</v>
      </c>
      <c r="F1871" s="1" t="str">
        <f ca="1">IFERROR(__xludf.DUMMYFUNCTION("""COMPUTED_VALUE"""),"1432-2099")</f>
        <v>1432-2099</v>
      </c>
      <c r="G1871" s="1" t="str">
        <f ca="1">IFERROR(__xludf.DUMMYFUNCTION("""COMPUTED_VALUE"""),"0301-634X")</f>
        <v>0301-634X</v>
      </c>
      <c r="H1871" s="27" t="str">
        <f ca="1">IFERROR(__xludf.DUMMYFUNCTION("""COMPUTED_VALUE"""),"https://link.springer.com/journal/411")</f>
        <v>https://link.springer.com/journal/411</v>
      </c>
      <c r="I1871" s="1" t="str">
        <f ca="1">IFERROR(__xludf.DUMMYFUNCTION("""COMPUTED_VALUE"""),"Springer")</f>
        <v>Springer</v>
      </c>
      <c r="J1871" s="1">
        <f ca="1">IFERROR(__xludf.DUMMYFUNCTION("""COMPUTED_VALUE"""),2000)</f>
        <v>2000</v>
      </c>
      <c r="K1871" s="1" t="str">
        <f ca="1">IFERROR(__xludf.DUMMYFUNCTION("""COMPUTED_VALUE"""),"Physics and Astronomy")</f>
        <v>Physics and Astronomy</v>
      </c>
      <c r="L1871" s="1" t="str">
        <f ca="1">IFERROR(__xludf.DUMMYFUNCTION("""COMPUTED_VALUE"""),"〇")</f>
        <v>〇</v>
      </c>
      <c r="M1871" s="1" t="str">
        <f ca="1">IFERROR(__xludf.DUMMYFUNCTION("""COMPUTED_VALUE"""),"〇")</f>
        <v>〇</v>
      </c>
      <c r="N1871" s="1"/>
      <c r="O1871" s="1"/>
      <c r="P1871" s="1"/>
    </row>
    <row r="1872" spans="1:16" ht="14.25" customHeight="1" x14ac:dyDescent="0.25">
      <c r="A1872" s="1"/>
      <c r="B1872" s="1">
        <f ca="1"/>
        <v>1860</v>
      </c>
      <c r="C1872" s="1">
        <f ca="1">IFERROR(__xludf.DUMMYFUNCTION("""COMPUTED_VALUE"""),2023)</f>
        <v>2023</v>
      </c>
      <c r="D1872" s="1">
        <f ca="1">IFERROR(__xludf.DUMMYFUNCTION("""COMPUTED_VALUE"""),41605)</f>
        <v>41605</v>
      </c>
      <c r="E1872" s="1" t="str">
        <f ca="1">IFERROR(__xludf.DUMMYFUNCTION("""COMPUTED_VALUE"""),"Radiation Detection Technology and Methods")</f>
        <v>Radiation Detection Technology and Methods</v>
      </c>
      <c r="F1872" s="1" t="str">
        <f ca="1">IFERROR(__xludf.DUMMYFUNCTION("""COMPUTED_VALUE"""),"2509-9949")</f>
        <v>2509-9949</v>
      </c>
      <c r="G1872" s="1" t="str">
        <f ca="1">IFERROR(__xludf.DUMMYFUNCTION("""COMPUTED_VALUE"""),"2509-9930")</f>
        <v>2509-9930</v>
      </c>
      <c r="H1872" s="27" t="str">
        <f ca="1">IFERROR(__xludf.DUMMYFUNCTION("""COMPUTED_VALUE"""),"https://link.springer.com/journal/41605")</f>
        <v>https://link.springer.com/journal/41605</v>
      </c>
      <c r="I1872" s="1" t="str">
        <f ca="1">IFERROR(__xludf.DUMMYFUNCTION("""COMPUTED_VALUE"""),"Springer")</f>
        <v>Springer</v>
      </c>
      <c r="J1872" s="1">
        <f ca="1">IFERROR(__xludf.DUMMYFUNCTION("""COMPUTED_VALUE"""),2017)</f>
        <v>2017</v>
      </c>
      <c r="K1872" s="1" t="str">
        <f ca="1">IFERROR(__xludf.DUMMYFUNCTION("""COMPUTED_VALUE"""),"Physics and Astronomy")</f>
        <v>Physics and Astronomy</v>
      </c>
      <c r="L1872" s="1" t="str">
        <f ca="1">IFERROR(__xludf.DUMMYFUNCTION("""COMPUTED_VALUE"""),"〇")</f>
        <v>〇</v>
      </c>
      <c r="M1872" s="1"/>
      <c r="N1872" s="1" t="str">
        <f ca="1">IFERROR(__xludf.DUMMYFUNCTION("""COMPUTED_VALUE"""),"SNS17")</f>
        <v>SNS17</v>
      </c>
      <c r="O1872" s="1"/>
      <c r="P1872" s="1"/>
    </row>
    <row r="1873" spans="1:16" ht="14.25" customHeight="1" x14ac:dyDescent="0.25">
      <c r="A1873" s="1"/>
      <c r="B1873" s="1">
        <f ca="1"/>
        <v>1861</v>
      </c>
      <c r="C1873" s="1">
        <f ca="1">IFERROR(__xludf.DUMMYFUNCTION("""COMPUTED_VALUE"""),2023)</f>
        <v>2023</v>
      </c>
      <c r="D1873" s="1">
        <f ca="1">IFERROR(__xludf.DUMMYFUNCTION("""COMPUTED_VALUE"""),11137)</f>
        <v>11137</v>
      </c>
      <c r="E1873" s="1" t="str">
        <f ca="1">IFERROR(__xludf.DUMMYFUNCTION("""COMPUTED_VALUE"""),"Radiochemistry")</f>
        <v>Radiochemistry</v>
      </c>
      <c r="F1873" s="1" t="str">
        <f ca="1">IFERROR(__xludf.DUMMYFUNCTION("""COMPUTED_VALUE"""),"1608-3288")</f>
        <v>1608-3288</v>
      </c>
      <c r="G1873" s="1" t="str">
        <f ca="1">IFERROR(__xludf.DUMMYFUNCTION("""COMPUTED_VALUE"""),"1066-3622")</f>
        <v>1066-3622</v>
      </c>
      <c r="H1873" s="27" t="str">
        <f ca="1">IFERROR(__xludf.DUMMYFUNCTION("""COMPUTED_VALUE"""),"https://link.springer.com/journal/11137")</f>
        <v>https://link.springer.com/journal/11137</v>
      </c>
      <c r="I1873" s="1" t="str">
        <f ca="1">IFERROR(__xludf.DUMMYFUNCTION("""COMPUTED_VALUE"""),"Pleiades Publishing")</f>
        <v>Pleiades Publishing</v>
      </c>
      <c r="J1873" s="1">
        <f ca="1">IFERROR(__xludf.DUMMYFUNCTION("""COMPUTED_VALUE"""),2001)</f>
        <v>2001</v>
      </c>
      <c r="K1873" s="1" t="str">
        <f ca="1">IFERROR(__xludf.DUMMYFUNCTION("""COMPUTED_VALUE"""),"Chemistry and Materials Science")</f>
        <v>Chemistry and Materials Science</v>
      </c>
      <c r="L1873" s="1" t="str">
        <f ca="1">IFERROR(__xludf.DUMMYFUNCTION("""COMPUTED_VALUE"""),"〇")</f>
        <v>〇</v>
      </c>
      <c r="M1873" s="1" t="str">
        <f ca="1">IFERROR(__xludf.DUMMYFUNCTION("""COMPUTED_VALUE"""),"〇")</f>
        <v>〇</v>
      </c>
      <c r="N1873" s="1"/>
      <c r="O1873" s="1"/>
      <c r="P1873" s="1"/>
    </row>
    <row r="1874" spans="1:16" ht="14.25" customHeight="1" x14ac:dyDescent="0.25">
      <c r="A1874" s="1"/>
      <c r="B1874" s="1">
        <f ca="1"/>
        <v>1862</v>
      </c>
      <c r="C1874" s="1">
        <f ca="1">IFERROR(__xludf.DUMMYFUNCTION("""COMPUTED_VALUE"""),2023)</f>
        <v>2023</v>
      </c>
      <c r="D1874" s="1">
        <f ca="1">IFERROR(__xludf.DUMMYFUNCTION("""COMPUTED_VALUE"""),11976)</f>
        <v>11976</v>
      </c>
      <c r="E1874" s="1" t="str">
        <f ca="1">IFERROR(__xludf.DUMMYFUNCTION("""COMPUTED_VALUE"""),"Radioelectronics and Communications Systems")</f>
        <v>Radioelectronics and Communications Systems</v>
      </c>
      <c r="F1874" s="1" t="str">
        <f ca="1">IFERROR(__xludf.DUMMYFUNCTION("""COMPUTED_VALUE"""),"1934-8061")</f>
        <v>1934-8061</v>
      </c>
      <c r="G1874" s="1" t="str">
        <f ca="1">IFERROR(__xludf.DUMMYFUNCTION("""COMPUTED_VALUE"""),"0735-2727")</f>
        <v>0735-2727</v>
      </c>
      <c r="H1874" s="27" t="str">
        <f ca="1">IFERROR(__xludf.DUMMYFUNCTION("""COMPUTED_VALUE"""),"https://link.springer.com/journal/11976")</f>
        <v>https://link.springer.com/journal/11976</v>
      </c>
      <c r="I1874" s="1" t="str">
        <f ca="1">IFERROR(__xludf.DUMMYFUNCTION("""COMPUTED_VALUE"""),"Pleiades Publishing")</f>
        <v>Pleiades Publishing</v>
      </c>
      <c r="J1874" s="1">
        <f ca="1">IFERROR(__xludf.DUMMYFUNCTION("""COMPUTED_VALUE"""),2007)</f>
        <v>2007</v>
      </c>
      <c r="K1874" s="1" t="str">
        <f ca="1">IFERROR(__xludf.DUMMYFUNCTION("""COMPUTED_VALUE"""),"Engineering")</f>
        <v>Engineering</v>
      </c>
      <c r="L1874" s="1" t="str">
        <f ca="1">IFERROR(__xludf.DUMMYFUNCTION("""COMPUTED_VALUE"""),"〇")</f>
        <v>〇</v>
      </c>
      <c r="M1874" s="1" t="str">
        <f ca="1">IFERROR(__xludf.DUMMYFUNCTION("""COMPUTED_VALUE"""),"〇")</f>
        <v>〇</v>
      </c>
      <c r="N1874" s="1" t="str">
        <f ca="1">IFERROR(__xludf.DUMMYFUNCTION("""COMPUTED_VALUE"""),"TO7")</f>
        <v>TO7</v>
      </c>
      <c r="O1874" s="1"/>
      <c r="P1874" s="1"/>
    </row>
    <row r="1875" spans="1:16" ht="14.25" customHeight="1" x14ac:dyDescent="0.25">
      <c r="A1875" s="1"/>
      <c r="B1875" s="1">
        <f ca="1"/>
        <v>1863</v>
      </c>
      <c r="C1875" s="1">
        <f ca="1">IFERROR(__xludf.DUMMYFUNCTION("""COMPUTED_VALUE"""),2023)</f>
        <v>2023</v>
      </c>
      <c r="D1875" s="1">
        <f ca="1">IFERROR(__xludf.DUMMYFUNCTION("""COMPUTED_VALUE"""),12194)</f>
        <v>12194</v>
      </c>
      <c r="E1875" s="1" t="str">
        <f ca="1">IFERROR(__xludf.DUMMYFUNCTION("""COMPUTED_VALUE"""),"Radiological Physics and Technology")</f>
        <v>Radiological Physics and Technology</v>
      </c>
      <c r="F1875" s="1" t="str">
        <f ca="1">IFERROR(__xludf.DUMMYFUNCTION("""COMPUTED_VALUE"""),"1865-0341")</f>
        <v>1865-0341</v>
      </c>
      <c r="G1875" s="1" t="str">
        <f ca="1">IFERROR(__xludf.DUMMYFUNCTION("""COMPUTED_VALUE"""),"1865-0333")</f>
        <v>1865-0333</v>
      </c>
      <c r="H1875" s="27" t="str">
        <f ca="1">IFERROR(__xludf.DUMMYFUNCTION("""COMPUTED_VALUE"""),"https://link.springer.com/journal/12194")</f>
        <v>https://link.springer.com/journal/12194</v>
      </c>
      <c r="I1875" s="1" t="str">
        <f ca="1">IFERROR(__xludf.DUMMYFUNCTION("""COMPUTED_VALUE"""),"Springer")</f>
        <v>Springer</v>
      </c>
      <c r="J1875" s="1">
        <f ca="1">IFERROR(__xludf.DUMMYFUNCTION("""COMPUTED_VALUE"""),2008)</f>
        <v>2008</v>
      </c>
      <c r="K1875" s="1" t="str">
        <f ca="1">IFERROR(__xludf.DUMMYFUNCTION("""COMPUTED_VALUE"""),"Medicine")</f>
        <v>Medicine</v>
      </c>
      <c r="L1875" s="1" t="str">
        <f ca="1">IFERROR(__xludf.DUMMYFUNCTION("""COMPUTED_VALUE"""),"〇")</f>
        <v>〇</v>
      </c>
      <c r="M1875" s="1" t="str">
        <f ca="1">IFERROR(__xludf.DUMMYFUNCTION("""COMPUTED_VALUE"""),"〇")</f>
        <v>〇</v>
      </c>
      <c r="N1875" s="1" t="str">
        <f ca="1">IFERROR(__xludf.DUMMYFUNCTION("""COMPUTED_VALUE"""),"SNS8")</f>
        <v>SNS8</v>
      </c>
      <c r="O1875" s="1"/>
      <c r="P1875" s="1"/>
    </row>
    <row r="1876" spans="1:16" ht="14.25" customHeight="1" x14ac:dyDescent="0.25">
      <c r="A1876" s="1"/>
      <c r="B1876" s="1">
        <f ca="1"/>
        <v>1864</v>
      </c>
      <c r="C1876" s="1">
        <f ca="1">IFERROR(__xludf.DUMMYFUNCTION("""COMPUTED_VALUE"""),2023)</f>
        <v>2023</v>
      </c>
      <c r="D1876" s="1">
        <f ca="1">IFERROR(__xludf.DUMMYFUNCTION("""COMPUTED_VALUE"""),11141)</f>
        <v>11141</v>
      </c>
      <c r="E1876" s="1" t="str">
        <f ca="1">IFERROR(__xludf.DUMMYFUNCTION("""COMPUTED_VALUE"""),"Radiophysics and Quantum Electronics")</f>
        <v>Radiophysics and Quantum Electronics</v>
      </c>
      <c r="F1876" s="1" t="str">
        <f ca="1">IFERROR(__xludf.DUMMYFUNCTION("""COMPUTED_VALUE"""),"1573-9120")</f>
        <v>1573-9120</v>
      </c>
      <c r="G1876" s="1" t="str">
        <f ca="1">IFERROR(__xludf.DUMMYFUNCTION("""COMPUTED_VALUE"""),"0033-8443")</f>
        <v>0033-8443</v>
      </c>
      <c r="H1876" s="27" t="str">
        <f ca="1">IFERROR(__xludf.DUMMYFUNCTION("""COMPUTED_VALUE"""),"https://link.springer.com/journal/11141")</f>
        <v>https://link.springer.com/journal/11141</v>
      </c>
      <c r="I1876" s="1" t="str">
        <f ca="1">IFERROR(__xludf.DUMMYFUNCTION("""COMPUTED_VALUE"""),"Springer")</f>
        <v>Springer</v>
      </c>
      <c r="J1876" s="1">
        <f ca="1">IFERROR(__xludf.DUMMYFUNCTION("""COMPUTED_VALUE"""),2000)</f>
        <v>2000</v>
      </c>
      <c r="K1876" s="1" t="str">
        <f ca="1">IFERROR(__xludf.DUMMYFUNCTION("""COMPUTED_VALUE"""),"Physics and Astronomy")</f>
        <v>Physics and Astronomy</v>
      </c>
      <c r="L1876" s="1" t="str">
        <f ca="1">IFERROR(__xludf.DUMMYFUNCTION("""COMPUTED_VALUE"""),"〇")</f>
        <v>〇</v>
      </c>
      <c r="M1876" s="1" t="str">
        <f ca="1">IFERROR(__xludf.DUMMYFUNCTION("""COMPUTED_VALUE"""),"〇")</f>
        <v>〇</v>
      </c>
      <c r="N1876" s="1"/>
      <c r="O1876" s="1"/>
      <c r="P1876" s="1"/>
    </row>
    <row r="1877" spans="1:16" ht="14.25" customHeight="1" x14ac:dyDescent="0.25">
      <c r="A1877" s="1"/>
      <c r="B1877" s="1">
        <f ca="1"/>
        <v>1865</v>
      </c>
      <c r="C1877" s="1">
        <f ca="1">IFERROR(__xludf.DUMMYFUNCTION("""COMPUTED_VALUE"""),2023)</f>
        <v>2023</v>
      </c>
      <c r="D1877" s="1">
        <f ca="1">IFERROR(__xludf.DUMMYFUNCTION("""COMPUTED_VALUE"""),12598)</f>
        <v>12598</v>
      </c>
      <c r="E1877" s="1" t="str">
        <f ca="1">IFERROR(__xludf.DUMMYFUNCTION("""COMPUTED_VALUE"""),"Rare Metals")</f>
        <v>Rare Metals</v>
      </c>
      <c r="F1877" s="1" t="str">
        <f ca="1">IFERROR(__xludf.DUMMYFUNCTION("""COMPUTED_VALUE"""),"1867-7185")</f>
        <v>1867-7185</v>
      </c>
      <c r="G1877" s="1" t="str">
        <f ca="1">IFERROR(__xludf.DUMMYFUNCTION("""COMPUTED_VALUE"""),"1001-0521")</f>
        <v>1001-0521</v>
      </c>
      <c r="H1877" s="27" t="str">
        <f ca="1">IFERROR(__xludf.DUMMYFUNCTION("""COMPUTED_VALUE"""),"https://link.springer.com/journal/12598")</f>
        <v>https://link.springer.com/journal/12598</v>
      </c>
      <c r="I1877" s="1" t="str">
        <f ca="1">IFERROR(__xludf.DUMMYFUNCTION("""COMPUTED_VALUE"""),"Nonferrous Metals Society of China, co-published with Springer")</f>
        <v>Nonferrous Metals Society of China, co-published with Springer</v>
      </c>
      <c r="J1877" s="1">
        <f ca="1">IFERROR(__xludf.DUMMYFUNCTION("""COMPUTED_VALUE"""),2009)</f>
        <v>2009</v>
      </c>
      <c r="K1877" s="1" t="str">
        <f ca="1">IFERROR(__xludf.DUMMYFUNCTION("""COMPUTED_VALUE"""),"Chemistry and Materials Science")</f>
        <v>Chemistry and Materials Science</v>
      </c>
      <c r="L1877" s="1" t="str">
        <f ca="1">IFERROR(__xludf.DUMMYFUNCTION("""COMPUTED_VALUE"""),"〇")</f>
        <v>〇</v>
      </c>
      <c r="M1877" s="1"/>
      <c r="N1877" s="1" t="str">
        <f ca="1">IFERROR(__xludf.DUMMYFUNCTION("""COMPUTED_VALUE"""),"TO9")</f>
        <v>TO9</v>
      </c>
      <c r="O1877" s="1"/>
      <c r="P1877" s="1"/>
    </row>
    <row r="1878" spans="1:16" ht="14.25" customHeight="1" x14ac:dyDescent="0.25">
      <c r="A1878" s="1"/>
      <c r="B1878" s="1">
        <f ca="1"/>
        <v>1866</v>
      </c>
      <c r="C1878" s="1">
        <f ca="1">IFERROR(__xludf.DUMMYFUNCTION("""COMPUTED_VALUE"""),2023)</f>
        <v>2023</v>
      </c>
      <c r="D1878" s="1">
        <f ca="1">IFERROR(__xludf.DUMMYFUNCTION("""COMPUTED_VALUE"""),11144)</f>
        <v>11144</v>
      </c>
      <c r="E1878" s="1" t="str">
        <f ca="1">IFERROR(__xludf.DUMMYFUNCTION("""COMPUTED_VALUE"""),"Reaction Kinetics, Mechanisms and Catalysis")</f>
        <v>Reaction Kinetics, Mechanisms and Catalysis</v>
      </c>
      <c r="F1878" s="1" t="str">
        <f ca="1">IFERROR(__xludf.DUMMYFUNCTION("""COMPUTED_VALUE"""),"1878-5204")</f>
        <v>1878-5204</v>
      </c>
      <c r="G1878" s="1" t="str">
        <f ca="1">IFERROR(__xludf.DUMMYFUNCTION("""COMPUTED_VALUE"""),"1878-5190")</f>
        <v>1878-5190</v>
      </c>
      <c r="H1878" s="27" t="str">
        <f ca="1">IFERROR(__xludf.DUMMYFUNCTION("""COMPUTED_VALUE"""),"https://link.springer.com/journal/11144")</f>
        <v>https://link.springer.com/journal/11144</v>
      </c>
      <c r="I1878" s="1" t="str">
        <f ca="1">IFERROR(__xludf.DUMMYFUNCTION("""COMPUTED_VALUE"""),"Akadémiai Kiadó, co-published with Springer")</f>
        <v>Akadémiai Kiadó, co-published with Springer</v>
      </c>
      <c r="J1878" s="1">
        <f ca="1">IFERROR(__xludf.DUMMYFUNCTION("""COMPUTED_VALUE"""),2000)</f>
        <v>2000</v>
      </c>
      <c r="K1878" s="1" t="str">
        <f ca="1">IFERROR(__xludf.DUMMYFUNCTION("""COMPUTED_VALUE"""),"Chemistry and Materials Science")</f>
        <v>Chemistry and Materials Science</v>
      </c>
      <c r="L1878" s="1" t="str">
        <f ca="1">IFERROR(__xludf.DUMMYFUNCTION("""COMPUTED_VALUE"""),"〇")</f>
        <v>〇</v>
      </c>
      <c r="M1878" s="1" t="str">
        <f ca="1">IFERROR(__xludf.DUMMYFUNCTION("""COMPUTED_VALUE"""),"〇")</f>
        <v>〇</v>
      </c>
      <c r="N1878" s="1"/>
      <c r="O1878" s="1"/>
      <c r="P1878" s="1"/>
    </row>
    <row r="1879" spans="1:16" ht="14.25" customHeight="1" x14ac:dyDescent="0.25">
      <c r="A1879" s="1"/>
      <c r="B1879" s="1">
        <f ca="1"/>
        <v>1867</v>
      </c>
      <c r="C1879" s="1">
        <f ca="1">IFERROR(__xludf.DUMMYFUNCTION("""COMPUTED_VALUE"""),2023)</f>
        <v>2023</v>
      </c>
      <c r="D1879" s="1">
        <f ca="1">IFERROR(__xludf.DUMMYFUNCTION("""COMPUTED_VALUE"""),11145)</f>
        <v>11145</v>
      </c>
      <c r="E1879" s="1" t="str">
        <f ca="1">IFERROR(__xludf.DUMMYFUNCTION("""COMPUTED_VALUE"""),"Reading and Writing")</f>
        <v>Reading and Writing</v>
      </c>
      <c r="F1879" s="1" t="str">
        <f ca="1">IFERROR(__xludf.DUMMYFUNCTION("""COMPUTED_VALUE"""),"1573-0905")</f>
        <v>1573-0905</v>
      </c>
      <c r="G1879" s="1" t="str">
        <f ca="1">IFERROR(__xludf.DUMMYFUNCTION("""COMPUTED_VALUE"""),"0922-4777")</f>
        <v>0922-4777</v>
      </c>
      <c r="H1879" s="27" t="str">
        <f ca="1">IFERROR(__xludf.DUMMYFUNCTION("""COMPUTED_VALUE"""),"https://link.springer.com/journal/11145")</f>
        <v>https://link.springer.com/journal/11145</v>
      </c>
      <c r="I1879" s="1" t="str">
        <f ca="1">IFERROR(__xludf.DUMMYFUNCTION("""COMPUTED_VALUE"""),"Springer")</f>
        <v>Springer</v>
      </c>
      <c r="J1879" s="1">
        <f ca="1">IFERROR(__xludf.DUMMYFUNCTION("""COMPUTED_VALUE"""),2000)</f>
        <v>2000</v>
      </c>
      <c r="K1879" s="1" t="str">
        <f ca="1">IFERROR(__xludf.DUMMYFUNCTION("""COMPUTED_VALUE"""),"Social Sciences")</f>
        <v>Social Sciences</v>
      </c>
      <c r="L1879" s="1" t="str">
        <f ca="1">IFERROR(__xludf.DUMMYFUNCTION("""COMPUTED_VALUE"""),"〇")</f>
        <v>〇</v>
      </c>
      <c r="M1879" s="1" t="str">
        <f ca="1">IFERROR(__xludf.DUMMYFUNCTION("""COMPUTED_VALUE"""),"〇")</f>
        <v>〇</v>
      </c>
      <c r="N1879" s="1"/>
      <c r="O1879" s="1"/>
      <c r="P1879" s="1"/>
    </row>
    <row r="1880" spans="1:16" ht="14.25" customHeight="1" x14ac:dyDescent="0.25">
      <c r="A1880" s="1"/>
      <c r="B1880" s="1">
        <f ca="1"/>
        <v>1868</v>
      </c>
      <c r="C1880" s="1">
        <f ca="1">IFERROR(__xludf.DUMMYFUNCTION("""COMPUTED_VALUE"""),2023)</f>
        <v>2023</v>
      </c>
      <c r="D1880" s="1">
        <f ca="1">IFERROR(__xludf.DUMMYFUNCTION("""COMPUTED_VALUE"""),11241)</f>
        <v>11241</v>
      </c>
      <c r="E1880" s="1" t="str">
        <f ca="1">IFERROR(__xludf.DUMMYFUNCTION("""COMPUTED_VALUE"""),"Real-Time Systems")</f>
        <v>Real-Time Systems</v>
      </c>
      <c r="F1880" s="1" t="str">
        <f ca="1">IFERROR(__xludf.DUMMYFUNCTION("""COMPUTED_VALUE"""),"1573-1383")</f>
        <v>1573-1383</v>
      </c>
      <c r="G1880" s="1" t="str">
        <f ca="1">IFERROR(__xludf.DUMMYFUNCTION("""COMPUTED_VALUE"""),"0922-6443")</f>
        <v>0922-6443</v>
      </c>
      <c r="H1880" s="27" t="str">
        <f ca="1">IFERROR(__xludf.DUMMYFUNCTION("""COMPUTED_VALUE"""),"https://link.springer.com/journal/11241")</f>
        <v>https://link.springer.com/journal/11241</v>
      </c>
      <c r="I1880" s="1" t="str">
        <f ca="1">IFERROR(__xludf.DUMMYFUNCTION("""COMPUTED_VALUE"""),"Springer")</f>
        <v>Springer</v>
      </c>
      <c r="J1880" s="1">
        <f ca="1">IFERROR(__xludf.DUMMYFUNCTION("""COMPUTED_VALUE"""),2000)</f>
        <v>2000</v>
      </c>
      <c r="K1880" s="1" t="str">
        <f ca="1">IFERROR(__xludf.DUMMYFUNCTION("""COMPUTED_VALUE"""),"Computer Science")</f>
        <v>Computer Science</v>
      </c>
      <c r="L1880" s="1" t="str">
        <f ca="1">IFERROR(__xludf.DUMMYFUNCTION("""COMPUTED_VALUE"""),"〇")</f>
        <v>〇</v>
      </c>
      <c r="M1880" s="1" t="str">
        <f ca="1">IFERROR(__xludf.DUMMYFUNCTION("""COMPUTED_VALUE"""),"〇")</f>
        <v>〇</v>
      </c>
      <c r="N1880" s="1"/>
      <c r="O1880" s="1"/>
      <c r="P1880" s="1"/>
    </row>
    <row r="1881" spans="1:16" ht="14.25" customHeight="1" x14ac:dyDescent="0.25">
      <c r="A1881" s="1"/>
      <c r="B1881" s="1">
        <f ca="1"/>
        <v>1869</v>
      </c>
      <c r="C1881" s="1">
        <f ca="1">IFERROR(__xludf.DUMMYFUNCTION("""COMPUTED_VALUE"""),2023)</f>
        <v>2023</v>
      </c>
      <c r="D1881" s="1">
        <f ca="1">IFERROR(__xludf.DUMMYFUNCTION("""COMPUTED_VALUE"""),194)</f>
        <v>194</v>
      </c>
      <c r="E1881" s="1" t="str">
        <f ca="1">IFERROR(__xludf.DUMMYFUNCTION("""COMPUTED_VALUE"""),"Rechtsmedizin")</f>
        <v>Rechtsmedizin</v>
      </c>
      <c r="F1881" s="1" t="str">
        <f ca="1">IFERROR(__xludf.DUMMYFUNCTION("""COMPUTED_VALUE"""),"1434-5196")</f>
        <v>1434-5196</v>
      </c>
      <c r="G1881" s="1" t="str">
        <f ca="1">IFERROR(__xludf.DUMMYFUNCTION("""COMPUTED_VALUE"""),"0937-9819")</f>
        <v>0937-9819</v>
      </c>
      <c r="H1881" s="27" t="str">
        <f ca="1">IFERROR(__xludf.DUMMYFUNCTION("""COMPUTED_VALUE"""),"https://link.springer.com/journal/194")</f>
        <v>https://link.springer.com/journal/194</v>
      </c>
      <c r="I1881" s="1" t="str">
        <f ca="1">IFERROR(__xludf.DUMMYFUNCTION("""COMPUTED_VALUE"""),"SpringerMedizin")</f>
        <v>SpringerMedizin</v>
      </c>
      <c r="J1881" s="1">
        <f ca="1">IFERROR(__xludf.DUMMYFUNCTION("""COMPUTED_VALUE"""),2000)</f>
        <v>2000</v>
      </c>
      <c r="K1881" s="1" t="str">
        <f ca="1">IFERROR(__xludf.DUMMYFUNCTION("""COMPUTED_VALUE"""),"Medicine")</f>
        <v>Medicine</v>
      </c>
      <c r="L1881" s="1" t="str">
        <f ca="1">IFERROR(__xludf.DUMMYFUNCTION("""COMPUTED_VALUE"""),"〇")</f>
        <v>〇</v>
      </c>
      <c r="M1881" s="1" t="str">
        <f ca="1">IFERROR(__xludf.DUMMYFUNCTION("""COMPUTED_VALUE"""),"〇")</f>
        <v>〇</v>
      </c>
      <c r="N1881" s="1"/>
      <c r="O1881" s="1"/>
      <c r="P1881" s="1"/>
    </row>
    <row r="1882" spans="1:16" ht="14.25" customHeight="1" x14ac:dyDescent="0.25">
      <c r="A1882" s="1"/>
      <c r="B1882" s="1">
        <f ca="1"/>
        <v>1870</v>
      </c>
      <c r="C1882" s="1">
        <f ca="1">IFERROR(__xludf.DUMMYFUNCTION("""COMPUTED_VALUE"""),2023)</f>
        <v>2023</v>
      </c>
      <c r="D1882" s="1">
        <f ca="1">IFERROR(__xludf.DUMMYFUNCTION("""COMPUTED_VALUE"""),11148)</f>
        <v>11148</v>
      </c>
      <c r="E1882" s="1" t="str">
        <f ca="1">IFERROR(__xludf.DUMMYFUNCTION("""COMPUTED_VALUE"""),"Refractories and Industrial Ceramics")</f>
        <v>Refractories and Industrial Ceramics</v>
      </c>
      <c r="F1882" s="1" t="str">
        <f ca="1">IFERROR(__xludf.DUMMYFUNCTION("""COMPUTED_VALUE"""),"1573-9139")</f>
        <v>1573-9139</v>
      </c>
      <c r="G1882" s="1" t="str">
        <f ca="1">IFERROR(__xludf.DUMMYFUNCTION("""COMPUTED_VALUE"""),"1083-4877")</f>
        <v>1083-4877</v>
      </c>
      <c r="H1882" s="27" t="str">
        <f ca="1">IFERROR(__xludf.DUMMYFUNCTION("""COMPUTED_VALUE"""),"https://link.springer.com/journal/11148")</f>
        <v>https://link.springer.com/journal/11148</v>
      </c>
      <c r="I1882" s="1" t="str">
        <f ca="1">IFERROR(__xludf.DUMMYFUNCTION("""COMPUTED_VALUE"""),"Springer")</f>
        <v>Springer</v>
      </c>
      <c r="J1882" s="1">
        <f ca="1">IFERROR(__xludf.DUMMYFUNCTION("""COMPUTED_VALUE"""),2000)</f>
        <v>2000</v>
      </c>
      <c r="K1882" s="1" t="str">
        <f ca="1">IFERROR(__xludf.DUMMYFUNCTION("""COMPUTED_VALUE"""),"Chemistry and Materials Science")</f>
        <v>Chemistry and Materials Science</v>
      </c>
      <c r="L1882" s="1" t="str">
        <f ca="1">IFERROR(__xludf.DUMMYFUNCTION("""COMPUTED_VALUE"""),"〇")</f>
        <v>〇</v>
      </c>
      <c r="M1882" s="1" t="str">
        <f ca="1">IFERROR(__xludf.DUMMYFUNCTION("""COMPUTED_VALUE"""),"〇")</f>
        <v>〇</v>
      </c>
      <c r="N1882" s="1"/>
      <c r="O1882" s="1"/>
      <c r="P1882" s="1"/>
    </row>
    <row r="1883" spans="1:16" ht="14.25" customHeight="1" x14ac:dyDescent="0.25">
      <c r="A1883" s="1"/>
      <c r="B1883" s="1">
        <f ca="1"/>
        <v>1871</v>
      </c>
      <c r="C1883" s="1">
        <f ca="1">IFERROR(__xludf.DUMMYFUNCTION("""COMPUTED_VALUE"""),2023)</f>
        <v>2023</v>
      </c>
      <c r="D1883" s="1">
        <f ca="1">IFERROR(__xludf.DUMMYFUNCTION("""COMPUTED_VALUE"""),40883)</f>
        <v>40883</v>
      </c>
      <c r="E1883" s="1" t="str">
        <f ca="1">IFERROR(__xludf.DUMMYFUNCTION("""COMPUTED_VALUE"""),"Regenerative Engineering and Translational Medicine")</f>
        <v>Regenerative Engineering and Translational Medicine</v>
      </c>
      <c r="F1883" s="1" t="str">
        <f ca="1">IFERROR(__xludf.DUMMYFUNCTION("""COMPUTED_VALUE"""),"2364-4141")</f>
        <v>2364-4141</v>
      </c>
      <c r="G1883" s="1" t="str">
        <f ca="1">IFERROR(__xludf.DUMMYFUNCTION("""COMPUTED_VALUE"""),"2364-4133")</f>
        <v>2364-4133</v>
      </c>
      <c r="H1883" s="27" t="str">
        <f ca="1">IFERROR(__xludf.DUMMYFUNCTION("""COMPUTED_VALUE"""),"https://link.springer.com/journal/40883")</f>
        <v>https://link.springer.com/journal/40883</v>
      </c>
      <c r="I1883" s="1" t="str">
        <f ca="1">IFERROR(__xludf.DUMMYFUNCTION("""COMPUTED_VALUE"""),"Springer")</f>
        <v>Springer</v>
      </c>
      <c r="J1883" s="1">
        <f ca="1">IFERROR(__xludf.DUMMYFUNCTION("""COMPUTED_VALUE"""),2015)</f>
        <v>2015</v>
      </c>
      <c r="K1883" s="1" t="str">
        <f ca="1">IFERROR(__xludf.DUMMYFUNCTION("""COMPUTED_VALUE"""),"Chemistry and Materials Science")</f>
        <v>Chemistry and Materials Science</v>
      </c>
      <c r="L1883" s="1" t="str">
        <f ca="1">IFERROR(__xludf.DUMMYFUNCTION("""COMPUTED_VALUE"""),"〇")</f>
        <v>〇</v>
      </c>
      <c r="M1883" s="1"/>
      <c r="N1883" s="1" t="str">
        <f ca="1">IFERROR(__xludf.DUMMYFUNCTION("""COMPUTED_VALUE"""),"SNS15")</f>
        <v>SNS15</v>
      </c>
      <c r="O1883" s="1"/>
      <c r="P1883" s="1"/>
    </row>
    <row r="1884" spans="1:16" ht="14.25" customHeight="1" x14ac:dyDescent="0.25">
      <c r="A1884" s="1"/>
      <c r="B1884" s="1">
        <f ca="1"/>
        <v>1872</v>
      </c>
      <c r="C1884" s="1">
        <f ca="1">IFERROR(__xludf.DUMMYFUNCTION("""COMPUTED_VALUE"""),2023)</f>
        <v>2023</v>
      </c>
      <c r="D1884" s="1">
        <f ca="1">IFERROR(__xludf.DUMMYFUNCTION("""COMPUTED_VALUE"""),10113)</f>
        <v>10113</v>
      </c>
      <c r="E1884" s="1" t="str">
        <f ca="1">IFERROR(__xludf.DUMMYFUNCTION("""COMPUTED_VALUE"""),"Regional Environmental Change")</f>
        <v>Regional Environmental Change</v>
      </c>
      <c r="F1884" s="1" t="str">
        <f ca="1">IFERROR(__xludf.DUMMYFUNCTION("""COMPUTED_VALUE"""),"1436-378X")</f>
        <v>1436-378X</v>
      </c>
      <c r="G1884" s="1" t="str">
        <f ca="1">IFERROR(__xludf.DUMMYFUNCTION("""COMPUTED_VALUE"""),"1436-3798")</f>
        <v>1436-3798</v>
      </c>
      <c r="H1884" s="27" t="str">
        <f ca="1">IFERROR(__xludf.DUMMYFUNCTION("""COMPUTED_VALUE"""),"https://link.springer.com/journal/10113")</f>
        <v>https://link.springer.com/journal/10113</v>
      </c>
      <c r="I1884" s="1" t="str">
        <f ca="1">IFERROR(__xludf.DUMMYFUNCTION("""COMPUTED_VALUE"""),"Springer")</f>
        <v>Springer</v>
      </c>
      <c r="J1884" s="1">
        <f ca="1">IFERROR(__xludf.DUMMYFUNCTION("""COMPUTED_VALUE"""),2000)</f>
        <v>2000</v>
      </c>
      <c r="K1884" s="1" t="str">
        <f ca="1">IFERROR(__xludf.DUMMYFUNCTION("""COMPUTED_VALUE"""),"Earth and Environmental Science")</f>
        <v>Earth and Environmental Science</v>
      </c>
      <c r="L1884" s="1" t="str">
        <f ca="1">IFERROR(__xludf.DUMMYFUNCTION("""COMPUTED_VALUE"""),"〇")</f>
        <v>〇</v>
      </c>
      <c r="M1884" s="1" t="str">
        <f ca="1">IFERROR(__xludf.DUMMYFUNCTION("""COMPUTED_VALUE"""),"〇")</f>
        <v>〇</v>
      </c>
      <c r="N1884" s="1"/>
      <c r="O1884" s="1"/>
      <c r="P1884" s="1"/>
    </row>
    <row r="1885" spans="1:16" ht="14.25" customHeight="1" x14ac:dyDescent="0.25">
      <c r="A1885" s="1"/>
      <c r="B1885" s="1">
        <f ca="1"/>
        <v>1873</v>
      </c>
      <c r="C1885" s="1">
        <f ca="1">IFERROR(__xludf.DUMMYFUNCTION("""COMPUTED_VALUE"""),2023)</f>
        <v>2023</v>
      </c>
      <c r="D1885" s="1">
        <f ca="1">IFERROR(__xludf.DUMMYFUNCTION("""COMPUTED_VALUE"""),13393)</f>
        <v>13393</v>
      </c>
      <c r="E1885" s="1" t="str">
        <f ca="1">IFERROR(__xludf.DUMMYFUNCTION("""COMPUTED_VALUE"""),"Regional Research of Russia")</f>
        <v>Regional Research of Russia</v>
      </c>
      <c r="F1885" s="1" t="str">
        <f ca="1">IFERROR(__xludf.DUMMYFUNCTION("""COMPUTED_VALUE"""),"2079-9713")</f>
        <v>2079-9713</v>
      </c>
      <c r="G1885" s="1" t="str">
        <f ca="1">IFERROR(__xludf.DUMMYFUNCTION("""COMPUTED_VALUE"""),"2079-9705")</f>
        <v>2079-9705</v>
      </c>
      <c r="H1885" s="27" t="str">
        <f ca="1">IFERROR(__xludf.DUMMYFUNCTION("""COMPUTED_VALUE"""),"https://link.springer.com/journal/13393")</f>
        <v>https://link.springer.com/journal/13393</v>
      </c>
      <c r="I1885" s="1" t="str">
        <f ca="1">IFERROR(__xludf.DUMMYFUNCTION("""COMPUTED_VALUE"""),"Pleiades Publishing")</f>
        <v>Pleiades Publishing</v>
      </c>
      <c r="J1885" s="1">
        <f ca="1">IFERROR(__xludf.DUMMYFUNCTION("""COMPUTED_VALUE"""),2011)</f>
        <v>2011</v>
      </c>
      <c r="K1885" s="1" t="str">
        <f ca="1">IFERROR(__xludf.DUMMYFUNCTION("""COMPUTED_VALUE"""),"Economics and Finance")</f>
        <v>Economics and Finance</v>
      </c>
      <c r="L1885" s="1" t="str">
        <f ca="1">IFERROR(__xludf.DUMMYFUNCTION("""COMPUTED_VALUE"""),"〇")</f>
        <v>〇</v>
      </c>
      <c r="M1885" s="1"/>
      <c r="N1885" s="1" t="str">
        <f ca="1">IFERROR(__xludf.DUMMYFUNCTION("""COMPUTED_VALUE"""),"SNS11")</f>
        <v>SNS11</v>
      </c>
      <c r="O1885" s="1"/>
      <c r="P1885" s="1"/>
    </row>
    <row r="1886" spans="1:16" ht="14.25" customHeight="1" x14ac:dyDescent="0.25">
      <c r="A1886" s="1"/>
      <c r="B1886" s="1">
        <f ca="1"/>
        <v>1874</v>
      </c>
      <c r="C1886" s="1">
        <f ca="1">IFERROR(__xludf.DUMMYFUNCTION("""COMPUTED_VALUE"""),2023)</f>
        <v>2023</v>
      </c>
      <c r="D1886" s="1">
        <f ca="1">IFERROR(__xludf.DUMMYFUNCTION("""COMPUTED_VALUE"""),11819)</f>
        <v>11819</v>
      </c>
      <c r="E1886" s="1" t="str">
        <f ca="1">IFERROR(__xludf.DUMMYFUNCTION("""COMPUTED_VALUE"""),"Regular and Chaotic Dynamics")</f>
        <v>Regular and Chaotic Dynamics</v>
      </c>
      <c r="F1886" s="1" t="str">
        <f ca="1">IFERROR(__xludf.DUMMYFUNCTION("""COMPUTED_VALUE"""),"1468-4845")</f>
        <v>1468-4845</v>
      </c>
      <c r="G1886" s="1" t="str">
        <f ca="1">IFERROR(__xludf.DUMMYFUNCTION("""COMPUTED_VALUE"""),"1560-3547")</f>
        <v>1560-3547</v>
      </c>
      <c r="H1886" s="27" t="str">
        <f ca="1">IFERROR(__xludf.DUMMYFUNCTION("""COMPUTED_VALUE"""),"https://link.springer.com/journal/11819")</f>
        <v>https://link.springer.com/journal/11819</v>
      </c>
      <c r="I1886" s="1" t="str">
        <f ca="1">IFERROR(__xludf.DUMMYFUNCTION("""COMPUTED_VALUE"""),"Pleiades Publishing")</f>
        <v>Pleiades Publishing</v>
      </c>
      <c r="J1886" s="1">
        <f ca="1">IFERROR(__xludf.DUMMYFUNCTION("""COMPUTED_VALUE"""),2007)</f>
        <v>2007</v>
      </c>
      <c r="K1886" s="1" t="str">
        <f ca="1">IFERROR(__xludf.DUMMYFUNCTION("""COMPUTED_VALUE"""),"Mathematics and Statistics")</f>
        <v>Mathematics and Statistics</v>
      </c>
      <c r="L1886" s="1" t="str">
        <f ca="1">IFERROR(__xludf.DUMMYFUNCTION("""COMPUTED_VALUE"""),"〇")</f>
        <v>〇</v>
      </c>
      <c r="M1886" s="1" t="str">
        <f ca="1">IFERROR(__xludf.DUMMYFUNCTION("""COMPUTED_VALUE"""),"〇")</f>
        <v>〇</v>
      </c>
      <c r="N1886" s="1" t="str">
        <f ca="1">IFERROR(__xludf.DUMMYFUNCTION("""COMPUTED_VALUE"""),"TO7")</f>
        <v>TO7</v>
      </c>
      <c r="O1886" s="1"/>
      <c r="P1886" s="1"/>
    </row>
    <row r="1887" spans="1:16" ht="14.25" customHeight="1" x14ac:dyDescent="0.25">
      <c r="A1887" s="1"/>
      <c r="B1887" s="1">
        <f ca="1"/>
        <v>1875</v>
      </c>
      <c r="C1887" s="1">
        <f ca="1">IFERROR(__xludf.DUMMYFUNCTION("""COMPUTED_VALUE"""),2023)</f>
        <v>2023</v>
      </c>
      <c r="D1887" s="1">
        <f ca="1">IFERROR(__xludf.DUMMYFUNCTION("""COMPUTED_VALUE"""),41976)</f>
        <v>41976</v>
      </c>
      <c r="E1887" s="1" t="str">
        <f ca="1">IFERROR(__xludf.DUMMYFUNCTION("""COMPUTED_VALUE"""),"Remote Sensing in Earth Systems Sciences")</f>
        <v>Remote Sensing in Earth Systems Sciences</v>
      </c>
      <c r="F1887" s="1" t="str">
        <f ca="1">IFERROR(__xludf.DUMMYFUNCTION("""COMPUTED_VALUE"""),"2520-8209")</f>
        <v>2520-8209</v>
      </c>
      <c r="G1887" s="1" t="str">
        <f ca="1">IFERROR(__xludf.DUMMYFUNCTION("""COMPUTED_VALUE"""),"2520-8195")</f>
        <v>2520-8195</v>
      </c>
      <c r="H1887" s="27" t="str">
        <f ca="1">IFERROR(__xludf.DUMMYFUNCTION("""COMPUTED_VALUE"""),"https://link.springer.com/journal/41976")</f>
        <v>https://link.springer.com/journal/41976</v>
      </c>
      <c r="I1887" s="1" t="str">
        <f ca="1">IFERROR(__xludf.DUMMYFUNCTION("""COMPUTED_VALUE"""),"Springer")</f>
        <v>Springer</v>
      </c>
      <c r="J1887" s="1">
        <f ca="1">IFERROR(__xludf.DUMMYFUNCTION("""COMPUTED_VALUE"""),2018)</f>
        <v>2018</v>
      </c>
      <c r="K1887" s="1" t="str">
        <f ca="1">IFERROR(__xludf.DUMMYFUNCTION("""COMPUTED_VALUE"""),"Earth and Environmental Science")</f>
        <v>Earth and Environmental Science</v>
      </c>
      <c r="L1887" s="1" t="str">
        <f ca="1">IFERROR(__xludf.DUMMYFUNCTION("""COMPUTED_VALUE"""),"〇")</f>
        <v>〇</v>
      </c>
      <c r="M1887" s="1"/>
      <c r="N1887" s="1" t="str">
        <f ca="1">IFERROR(__xludf.DUMMYFUNCTION("""COMPUTED_VALUE"""),"SNS18")</f>
        <v>SNS18</v>
      </c>
      <c r="O1887" s="1"/>
      <c r="P1887" s="1"/>
    </row>
    <row r="1888" spans="1:16" ht="14.25" customHeight="1" x14ac:dyDescent="0.25">
      <c r="A1888" s="1"/>
      <c r="B1888" s="1">
        <f ca="1"/>
        <v>1876</v>
      </c>
      <c r="C1888" s="1">
        <f ca="1">IFERROR(__xludf.DUMMYFUNCTION("""COMPUTED_VALUE"""),2023)</f>
        <v>2023</v>
      </c>
      <c r="D1888" s="1">
        <f ca="1">IFERROR(__xludf.DUMMYFUNCTION("""COMPUTED_VALUE"""),12215)</f>
        <v>12215</v>
      </c>
      <c r="E1888" s="1" t="str">
        <f ca="1">IFERROR(__xludf.DUMMYFUNCTION("""COMPUTED_VALUE"""),"Rendiconti del Circolo Matematico di Palermo Series 2")</f>
        <v>Rendiconti del Circolo Matematico di Palermo Series 2</v>
      </c>
      <c r="F1888" s="1" t="str">
        <f ca="1">IFERROR(__xludf.DUMMYFUNCTION("""COMPUTED_VALUE"""),"1973-4409")</f>
        <v>1973-4409</v>
      </c>
      <c r="G1888" s="1" t="str">
        <f ca="1">IFERROR(__xludf.DUMMYFUNCTION("""COMPUTED_VALUE"""),"0009-725X")</f>
        <v>0009-725X</v>
      </c>
      <c r="H1888" s="27" t="str">
        <f ca="1">IFERROR(__xludf.DUMMYFUNCTION("""COMPUTED_VALUE"""),"https://link.springer.com/journal/12215")</f>
        <v>https://link.springer.com/journal/12215</v>
      </c>
      <c r="I1888" s="1" t="str">
        <f ca="1">IFERROR(__xludf.DUMMYFUNCTION("""COMPUTED_VALUE"""),"Springer")</f>
        <v>Springer</v>
      </c>
      <c r="J1888" s="1">
        <f ca="1">IFERROR(__xludf.DUMMYFUNCTION("""COMPUTED_VALUE"""),2000)</f>
        <v>2000</v>
      </c>
      <c r="K1888" s="1" t="str">
        <f ca="1">IFERROR(__xludf.DUMMYFUNCTION("""COMPUTED_VALUE"""),"Mathematics and Statistics")</f>
        <v>Mathematics and Statistics</v>
      </c>
      <c r="L1888" s="1" t="str">
        <f ca="1">IFERROR(__xludf.DUMMYFUNCTION("""COMPUTED_VALUE"""),"〇")</f>
        <v>〇</v>
      </c>
      <c r="M1888" s="1" t="str">
        <f ca="1">IFERROR(__xludf.DUMMYFUNCTION("""COMPUTED_VALUE"""),"〇")</f>
        <v>〇</v>
      </c>
      <c r="N1888" s="1" t="str">
        <f ca="1">IFERROR(__xludf.DUMMYFUNCTION("""COMPUTED_VALUE"""),"TO8")</f>
        <v>TO8</v>
      </c>
      <c r="O1888" s="1"/>
      <c r="P1888" s="1"/>
    </row>
    <row r="1889" spans="1:16" ht="14.25" customHeight="1" x14ac:dyDescent="0.25">
      <c r="A1889" s="1"/>
      <c r="B1889" s="1">
        <f ca="1"/>
        <v>1877</v>
      </c>
      <c r="C1889" s="1">
        <f ca="1">IFERROR(__xludf.DUMMYFUNCTION("""COMPUTED_VALUE"""),2023)</f>
        <v>2023</v>
      </c>
      <c r="D1889" s="1">
        <f ca="1">IFERROR(__xludf.DUMMYFUNCTION("""COMPUTED_VALUE"""),12210)</f>
        <v>12210</v>
      </c>
      <c r="E1889" s="1" t="str">
        <f ca="1">IFERROR(__xludf.DUMMYFUNCTION("""COMPUTED_VALUE"""),"Rendiconti Lincei. Scienze Fisiche e Naturali")</f>
        <v>Rendiconti Lincei. Scienze Fisiche e Naturali</v>
      </c>
      <c r="F1889" s="1" t="str">
        <f ca="1">IFERROR(__xludf.DUMMYFUNCTION("""COMPUTED_VALUE"""),"1720-0776")</f>
        <v>1720-0776</v>
      </c>
      <c r="G1889" s="1" t="str">
        <f ca="1">IFERROR(__xludf.DUMMYFUNCTION("""COMPUTED_VALUE"""),"2037-4631")</f>
        <v>2037-4631</v>
      </c>
      <c r="H1889" s="27" t="str">
        <f ca="1">IFERROR(__xludf.DUMMYFUNCTION("""COMPUTED_VALUE"""),"https://link.springer.com/journal/12210")</f>
        <v>https://link.springer.com/journal/12210</v>
      </c>
      <c r="I1889" s="1" t="str">
        <f ca="1">IFERROR(__xludf.DUMMYFUNCTION("""COMPUTED_VALUE"""),"Springer")</f>
        <v>Springer</v>
      </c>
      <c r="J1889" s="1">
        <f ca="1">IFERROR(__xludf.DUMMYFUNCTION("""COMPUTED_VALUE"""),2000)</f>
        <v>2000</v>
      </c>
      <c r="K1889" s="1" t="str">
        <f ca="1">IFERROR(__xludf.DUMMYFUNCTION("""COMPUTED_VALUE"""),"Earth and Environmental Science")</f>
        <v>Earth and Environmental Science</v>
      </c>
      <c r="L1889" s="1" t="str">
        <f ca="1">IFERROR(__xludf.DUMMYFUNCTION("""COMPUTED_VALUE"""),"〇")</f>
        <v>〇</v>
      </c>
      <c r="M1889" s="1" t="str">
        <f ca="1">IFERROR(__xludf.DUMMYFUNCTION("""COMPUTED_VALUE"""),"〇")</f>
        <v>〇</v>
      </c>
      <c r="N1889" s="1" t="str">
        <f ca="1">IFERROR(__xludf.DUMMYFUNCTION("""COMPUTED_VALUE"""),"TO8")</f>
        <v>TO8</v>
      </c>
      <c r="O1889" s="1"/>
      <c r="P1889" s="1"/>
    </row>
    <row r="1890" spans="1:16" ht="14.25" customHeight="1" x14ac:dyDescent="0.25">
      <c r="A1890" s="1"/>
      <c r="B1890" s="1">
        <f ca="1"/>
        <v>1878</v>
      </c>
      <c r="C1890" s="1">
        <f ca="1">IFERROR(__xludf.DUMMYFUNCTION("""COMPUTED_VALUE"""),2023)</f>
        <v>2023</v>
      </c>
      <c r="D1890" s="1">
        <f ca="1">IFERROR(__xludf.DUMMYFUNCTION("""COMPUTED_VALUE"""),43032)</f>
        <v>43032</v>
      </c>
      <c r="E1890" s="1" t="str">
        <f ca="1">IFERROR(__xludf.DUMMYFUNCTION("""COMPUTED_VALUE"""),"Reproductive Sciences")</f>
        <v>Reproductive Sciences</v>
      </c>
      <c r="F1890" s="1" t="str">
        <f ca="1">IFERROR(__xludf.DUMMYFUNCTION("""COMPUTED_VALUE"""),"1933-7205")</f>
        <v>1933-7205</v>
      </c>
      <c r="G1890" s="1"/>
      <c r="H1890" s="27" t="str">
        <f ca="1">IFERROR(__xludf.DUMMYFUNCTION("""COMPUTED_VALUE"""),"https://link.springer.com/journal/43032")</f>
        <v>https://link.springer.com/journal/43032</v>
      </c>
      <c r="I1890" s="1" t="str">
        <f ca="1">IFERROR(__xludf.DUMMYFUNCTION("""COMPUTED_VALUE"""),"Springer")</f>
        <v>Springer</v>
      </c>
      <c r="J1890" s="1">
        <f ca="1">IFERROR(__xludf.DUMMYFUNCTION("""COMPUTED_VALUE"""),2000)</f>
        <v>2000</v>
      </c>
      <c r="K1890" s="1" t="str">
        <f ca="1">IFERROR(__xludf.DUMMYFUNCTION("""COMPUTED_VALUE"""),"Medicine")</f>
        <v>Medicine</v>
      </c>
      <c r="L1890" s="1"/>
      <c r="M1890" s="1"/>
      <c r="N1890" s="1" t="str">
        <f ca="1">IFERROR(__xludf.DUMMYFUNCTION("""COMPUTED_VALUE"""),"TO20")</f>
        <v>TO20</v>
      </c>
      <c r="O1890" s="1"/>
      <c r="P1890" s="1"/>
    </row>
    <row r="1891" spans="1:16" ht="14.25" customHeight="1" x14ac:dyDescent="0.25">
      <c r="A1891" s="1"/>
      <c r="B1891" s="1">
        <f ca="1"/>
        <v>1879</v>
      </c>
      <c r="C1891" s="1">
        <f ca="1">IFERROR(__xludf.DUMMYFUNCTION("""COMPUTED_VALUE"""),2023)</f>
        <v>2023</v>
      </c>
      <c r="D1891" s="1">
        <f ca="1">IFERROR(__xludf.DUMMYFUNCTION("""COMPUTED_VALUE"""),766)</f>
        <v>766</v>
      </c>
      <c r="E1891" s="1" t="str">
        <f ca="1">IFERROR(__xludf.DUMMYFUNCTION("""COMPUTED_VALUE"""),"Requirements Engineering")</f>
        <v>Requirements Engineering</v>
      </c>
      <c r="F1891" s="1" t="str">
        <f ca="1">IFERROR(__xludf.DUMMYFUNCTION("""COMPUTED_VALUE"""),"1432-010X")</f>
        <v>1432-010X</v>
      </c>
      <c r="G1891" s="1" t="str">
        <f ca="1">IFERROR(__xludf.DUMMYFUNCTION("""COMPUTED_VALUE"""),"0947-3602")</f>
        <v>0947-3602</v>
      </c>
      <c r="H1891" s="27" t="str">
        <f ca="1">IFERROR(__xludf.DUMMYFUNCTION("""COMPUTED_VALUE"""),"https://link.springer.com/journal/766")</f>
        <v>https://link.springer.com/journal/766</v>
      </c>
      <c r="I1891" s="1" t="str">
        <f ca="1">IFERROR(__xludf.DUMMYFUNCTION("""COMPUTED_VALUE"""),"Springer")</f>
        <v>Springer</v>
      </c>
      <c r="J1891" s="1">
        <f ca="1">IFERROR(__xludf.DUMMYFUNCTION("""COMPUTED_VALUE"""),2000)</f>
        <v>2000</v>
      </c>
      <c r="K1891" s="1" t="str">
        <f ca="1">IFERROR(__xludf.DUMMYFUNCTION("""COMPUTED_VALUE"""),"Computer Science")</f>
        <v>Computer Science</v>
      </c>
      <c r="L1891" s="1" t="str">
        <f ca="1">IFERROR(__xludf.DUMMYFUNCTION("""COMPUTED_VALUE"""),"〇")</f>
        <v>〇</v>
      </c>
      <c r="M1891" s="1" t="str">
        <f ca="1">IFERROR(__xludf.DUMMYFUNCTION("""COMPUTED_VALUE"""),"〇")</f>
        <v>〇</v>
      </c>
      <c r="N1891" s="1"/>
      <c r="O1891" s="1"/>
      <c r="P1891" s="1"/>
    </row>
    <row r="1892" spans="1:16" ht="14.25" customHeight="1" x14ac:dyDescent="0.25">
      <c r="A1892" s="1"/>
      <c r="B1892" s="1">
        <f ca="1"/>
        <v>1880</v>
      </c>
      <c r="C1892" s="1">
        <f ca="1">IFERROR(__xludf.DUMMYFUNCTION("""COMPUTED_VALUE"""),2023)</f>
        <v>2023</v>
      </c>
      <c r="D1892" s="1">
        <f ca="1">IFERROR(__xludf.DUMMYFUNCTION("""COMPUTED_VALUE"""),11158)</f>
        <v>11158</v>
      </c>
      <c r="E1892" s="1" t="str">
        <f ca="1">IFERROR(__xludf.DUMMYFUNCTION("""COMPUTED_VALUE"""),"Res Publica")</f>
        <v>Res Publica</v>
      </c>
      <c r="F1892" s="1" t="str">
        <f ca="1">IFERROR(__xludf.DUMMYFUNCTION("""COMPUTED_VALUE"""),"1572-8692")</f>
        <v>1572-8692</v>
      </c>
      <c r="G1892" s="1" t="str">
        <f ca="1">IFERROR(__xludf.DUMMYFUNCTION("""COMPUTED_VALUE"""),"1356-4765")</f>
        <v>1356-4765</v>
      </c>
      <c r="H1892" s="27" t="str">
        <f ca="1">IFERROR(__xludf.DUMMYFUNCTION("""COMPUTED_VALUE"""),"https://link.springer.com/journal/11158")</f>
        <v>https://link.springer.com/journal/11158</v>
      </c>
      <c r="I1892" s="1" t="str">
        <f ca="1">IFERROR(__xludf.DUMMYFUNCTION("""COMPUTED_VALUE"""),"Springer")</f>
        <v>Springer</v>
      </c>
      <c r="J1892" s="1">
        <f ca="1">IFERROR(__xludf.DUMMYFUNCTION("""COMPUTED_VALUE"""),2000)</f>
        <v>2000</v>
      </c>
      <c r="K1892" s="1" t="str">
        <f ca="1">IFERROR(__xludf.DUMMYFUNCTION("""COMPUTED_VALUE"""),"Education")</f>
        <v>Education</v>
      </c>
      <c r="L1892" s="1" t="str">
        <f ca="1">IFERROR(__xludf.DUMMYFUNCTION("""COMPUTED_VALUE"""),"〇")</f>
        <v>〇</v>
      </c>
      <c r="M1892" s="1" t="str">
        <f ca="1">IFERROR(__xludf.DUMMYFUNCTION("""COMPUTED_VALUE"""),"〇")</f>
        <v>〇</v>
      </c>
      <c r="N1892" s="1"/>
      <c r="O1892" s="1"/>
      <c r="P1892" s="1"/>
    </row>
    <row r="1893" spans="1:16" ht="14.25" customHeight="1" x14ac:dyDescent="0.25">
      <c r="A1893" s="1"/>
      <c r="B1893" s="1">
        <f ca="1"/>
        <v>1881</v>
      </c>
      <c r="C1893" s="1">
        <f ca="1">IFERROR(__xludf.DUMMYFUNCTION("""COMPUTED_VALUE"""),2023)</f>
        <v>2023</v>
      </c>
      <c r="D1893" s="1">
        <f ca="1">IFERROR(__xludf.DUMMYFUNCTION("""COMPUTED_VALUE"""),163)</f>
        <v>163</v>
      </c>
      <c r="E1893" s="1" t="str">
        <f ca="1">IFERROR(__xludf.DUMMYFUNCTION("""COMPUTED_VALUE"""),"Research in Engineering Design")</f>
        <v>Research in Engineering Design</v>
      </c>
      <c r="F1893" s="1" t="str">
        <f ca="1">IFERROR(__xludf.DUMMYFUNCTION("""COMPUTED_VALUE"""),"1435-6066")</f>
        <v>1435-6066</v>
      </c>
      <c r="G1893" s="1" t="str">
        <f ca="1">IFERROR(__xludf.DUMMYFUNCTION("""COMPUTED_VALUE"""),"0934-9839")</f>
        <v>0934-9839</v>
      </c>
      <c r="H1893" s="27" t="str">
        <f ca="1">IFERROR(__xludf.DUMMYFUNCTION("""COMPUTED_VALUE"""),"https://link.springer.com/journal/163")</f>
        <v>https://link.springer.com/journal/163</v>
      </c>
      <c r="I1893" s="1" t="str">
        <f ca="1">IFERROR(__xludf.DUMMYFUNCTION("""COMPUTED_VALUE"""),"Springer")</f>
        <v>Springer</v>
      </c>
      <c r="J1893" s="1">
        <f ca="1">IFERROR(__xludf.DUMMYFUNCTION("""COMPUTED_VALUE"""),2000)</f>
        <v>2000</v>
      </c>
      <c r="K1893" s="1" t="str">
        <f ca="1">IFERROR(__xludf.DUMMYFUNCTION("""COMPUTED_VALUE"""),"Engineering")</f>
        <v>Engineering</v>
      </c>
      <c r="L1893" s="1" t="str">
        <f ca="1">IFERROR(__xludf.DUMMYFUNCTION("""COMPUTED_VALUE"""),"〇")</f>
        <v>〇</v>
      </c>
      <c r="M1893" s="1" t="str">
        <f ca="1">IFERROR(__xludf.DUMMYFUNCTION("""COMPUTED_VALUE"""),"〇")</f>
        <v>〇</v>
      </c>
      <c r="N1893" s="1"/>
      <c r="O1893" s="1"/>
      <c r="P1893" s="1"/>
    </row>
    <row r="1894" spans="1:16" ht="14.25" customHeight="1" x14ac:dyDescent="0.25">
      <c r="A1894" s="1"/>
      <c r="B1894" s="1">
        <f ca="1"/>
        <v>1882</v>
      </c>
      <c r="C1894" s="1">
        <f ca="1">IFERROR(__xludf.DUMMYFUNCTION("""COMPUTED_VALUE"""),2023)</f>
        <v>2023</v>
      </c>
      <c r="D1894" s="1">
        <f ca="1">IFERROR(__xludf.DUMMYFUNCTION("""COMPUTED_VALUE"""),11162)</f>
        <v>11162</v>
      </c>
      <c r="E1894" s="1" t="str">
        <f ca="1">IFERROR(__xludf.DUMMYFUNCTION("""COMPUTED_VALUE"""),"Research in Higher Education")</f>
        <v>Research in Higher Education</v>
      </c>
      <c r="F1894" s="1" t="str">
        <f ca="1">IFERROR(__xludf.DUMMYFUNCTION("""COMPUTED_VALUE"""),"1573-188X")</f>
        <v>1573-188X</v>
      </c>
      <c r="G1894" s="1" t="str">
        <f ca="1">IFERROR(__xludf.DUMMYFUNCTION("""COMPUTED_VALUE"""),"0361-0365")</f>
        <v>0361-0365</v>
      </c>
      <c r="H1894" s="27" t="str">
        <f ca="1">IFERROR(__xludf.DUMMYFUNCTION("""COMPUTED_VALUE"""),"https://link.springer.com/journal/11162")</f>
        <v>https://link.springer.com/journal/11162</v>
      </c>
      <c r="I1894" s="1" t="str">
        <f ca="1">IFERROR(__xludf.DUMMYFUNCTION("""COMPUTED_VALUE"""),"Springer")</f>
        <v>Springer</v>
      </c>
      <c r="J1894" s="1">
        <f ca="1">IFERROR(__xludf.DUMMYFUNCTION("""COMPUTED_VALUE"""),2000)</f>
        <v>2000</v>
      </c>
      <c r="K1894" s="1" t="str">
        <f ca="1">IFERROR(__xludf.DUMMYFUNCTION("""COMPUTED_VALUE"""),"Education")</f>
        <v>Education</v>
      </c>
      <c r="L1894" s="1" t="str">
        <f ca="1">IFERROR(__xludf.DUMMYFUNCTION("""COMPUTED_VALUE"""),"〇")</f>
        <v>〇</v>
      </c>
      <c r="M1894" s="1" t="str">
        <f ca="1">IFERROR(__xludf.DUMMYFUNCTION("""COMPUTED_VALUE"""),"〇")</f>
        <v>〇</v>
      </c>
      <c r="N1894" s="1"/>
      <c r="O1894" s="1"/>
      <c r="P1894" s="1"/>
    </row>
    <row r="1895" spans="1:16" ht="14.25" customHeight="1" x14ac:dyDescent="0.25">
      <c r="A1895" s="1"/>
      <c r="B1895" s="1">
        <f ca="1"/>
        <v>1883</v>
      </c>
      <c r="C1895" s="1">
        <f ca="1">IFERROR(__xludf.DUMMYFUNCTION("""COMPUTED_VALUE"""),2023)</f>
        <v>2023</v>
      </c>
      <c r="D1895" s="1">
        <f ca="1">IFERROR(__xludf.DUMMYFUNCTION("""COMPUTED_VALUE"""),40993)</f>
        <v>40993</v>
      </c>
      <c r="E1895" s="1" t="str">
        <f ca="1">IFERROR(__xludf.DUMMYFUNCTION("""COMPUTED_VALUE"""),"Research in Number Theory")</f>
        <v>Research in Number Theory</v>
      </c>
      <c r="F1895" s="1" t="str">
        <f ca="1">IFERROR(__xludf.DUMMYFUNCTION("""COMPUTED_VALUE"""),"2363-9555")</f>
        <v>2363-9555</v>
      </c>
      <c r="G1895" s="1" t="str">
        <f ca="1">IFERROR(__xludf.DUMMYFUNCTION("""COMPUTED_VALUE"""),"2522-0160")</f>
        <v>2522-0160</v>
      </c>
      <c r="H1895" s="27" t="str">
        <f ca="1">IFERROR(__xludf.DUMMYFUNCTION("""COMPUTED_VALUE"""),"https://link.springer.com/journal/40993")</f>
        <v>https://link.springer.com/journal/40993</v>
      </c>
      <c r="I1895" s="1" t="str">
        <f ca="1">IFERROR(__xludf.DUMMYFUNCTION("""COMPUTED_VALUE"""),"Springer")</f>
        <v>Springer</v>
      </c>
      <c r="J1895" s="1">
        <f ca="1">IFERROR(__xludf.DUMMYFUNCTION("""COMPUTED_VALUE"""),2015)</f>
        <v>2015</v>
      </c>
      <c r="K1895" s="1" t="str">
        <f ca="1">IFERROR(__xludf.DUMMYFUNCTION("""COMPUTED_VALUE"""),"Mathematics and Statistics")</f>
        <v>Mathematics and Statistics</v>
      </c>
      <c r="L1895" s="1" t="str">
        <f ca="1">IFERROR(__xludf.DUMMYFUNCTION("""COMPUTED_VALUE"""),"〇")</f>
        <v>〇</v>
      </c>
      <c r="M1895" s="1"/>
      <c r="N1895" s="1"/>
      <c r="O1895" s="1"/>
      <c r="P1895" s="1"/>
    </row>
    <row r="1896" spans="1:16" ht="14.25" customHeight="1" x14ac:dyDescent="0.25">
      <c r="A1896" s="1"/>
      <c r="B1896" s="1">
        <f ca="1"/>
        <v>1884</v>
      </c>
      <c r="C1896" s="1">
        <f ca="1">IFERROR(__xludf.DUMMYFUNCTION("""COMPUTED_VALUE"""),2023)</f>
        <v>2023</v>
      </c>
      <c r="D1896" s="1">
        <f ca="1">IFERROR(__xludf.DUMMYFUNCTION("""COMPUTED_VALUE"""),11165)</f>
        <v>11165</v>
      </c>
      <c r="E1896" s="1" t="str">
        <f ca="1">IFERROR(__xludf.DUMMYFUNCTION("""COMPUTED_VALUE"""),"Research in Science Education")</f>
        <v>Research in Science Education</v>
      </c>
      <c r="F1896" s="1" t="str">
        <f ca="1">IFERROR(__xludf.DUMMYFUNCTION("""COMPUTED_VALUE"""),"1573-1898")</f>
        <v>1573-1898</v>
      </c>
      <c r="G1896" s="1" t="str">
        <f ca="1">IFERROR(__xludf.DUMMYFUNCTION("""COMPUTED_VALUE"""),"0157-244X")</f>
        <v>0157-244X</v>
      </c>
      <c r="H1896" s="27" t="str">
        <f ca="1">IFERROR(__xludf.DUMMYFUNCTION("""COMPUTED_VALUE"""),"https://link.springer.com/journal/11165")</f>
        <v>https://link.springer.com/journal/11165</v>
      </c>
      <c r="I1896" s="1" t="str">
        <f ca="1">IFERROR(__xludf.DUMMYFUNCTION("""COMPUTED_VALUE"""),"Springer")</f>
        <v>Springer</v>
      </c>
      <c r="J1896" s="1">
        <f ca="1">IFERROR(__xludf.DUMMYFUNCTION("""COMPUTED_VALUE"""),2000)</f>
        <v>2000</v>
      </c>
      <c r="K1896" s="1" t="str">
        <f ca="1">IFERROR(__xludf.DUMMYFUNCTION("""COMPUTED_VALUE"""),"Education")</f>
        <v>Education</v>
      </c>
      <c r="L1896" s="1" t="str">
        <f ca="1">IFERROR(__xludf.DUMMYFUNCTION("""COMPUTED_VALUE"""),"〇")</f>
        <v>〇</v>
      </c>
      <c r="M1896" s="1" t="str">
        <f ca="1">IFERROR(__xludf.DUMMYFUNCTION("""COMPUTED_VALUE"""),"〇")</f>
        <v>〇</v>
      </c>
      <c r="N1896" s="1"/>
      <c r="O1896" s="1"/>
      <c r="P1896" s="1"/>
    </row>
    <row r="1897" spans="1:16" ht="14.25" customHeight="1" x14ac:dyDescent="0.25">
      <c r="A1897" s="1"/>
      <c r="B1897" s="1">
        <f ca="1"/>
        <v>1885</v>
      </c>
      <c r="C1897" s="1">
        <f ca="1">IFERROR(__xludf.DUMMYFUNCTION("""COMPUTED_VALUE"""),2023)</f>
        <v>2023</v>
      </c>
      <c r="D1897" s="1">
        <f ca="1">IFERROR(__xludf.DUMMYFUNCTION("""COMPUTED_VALUE"""),40687)</f>
        <v>40687</v>
      </c>
      <c r="E1897" s="1" t="str">
        <f ca="1">IFERROR(__xludf.DUMMYFUNCTION("""COMPUTED_VALUE"""),"Research in the Mathematical Sciences")</f>
        <v>Research in the Mathematical Sciences</v>
      </c>
      <c r="F1897" s="1" t="str">
        <f ca="1">IFERROR(__xludf.DUMMYFUNCTION("""COMPUTED_VALUE"""),"2197-9847")</f>
        <v>2197-9847</v>
      </c>
      <c r="G1897" s="1" t="str">
        <f ca="1">IFERROR(__xludf.DUMMYFUNCTION("""COMPUTED_VALUE"""),"2522-0144")</f>
        <v>2522-0144</v>
      </c>
      <c r="H1897" s="27" t="str">
        <f ca="1">IFERROR(__xludf.DUMMYFUNCTION("""COMPUTED_VALUE"""),"https://link.springer.com/journal/40687")</f>
        <v>https://link.springer.com/journal/40687</v>
      </c>
      <c r="I1897" s="1" t="str">
        <f ca="1">IFERROR(__xludf.DUMMYFUNCTION("""COMPUTED_VALUE"""),"Springer")</f>
        <v>Springer</v>
      </c>
      <c r="J1897" s="1">
        <f ca="1">IFERROR(__xludf.DUMMYFUNCTION("""COMPUTED_VALUE"""),2014)</f>
        <v>2014</v>
      </c>
      <c r="K1897" s="1" t="str">
        <f ca="1">IFERROR(__xludf.DUMMYFUNCTION("""COMPUTED_VALUE"""),"Mathematics and Statistics")</f>
        <v>Mathematics and Statistics</v>
      </c>
      <c r="L1897" s="1" t="str">
        <f ca="1">IFERROR(__xludf.DUMMYFUNCTION("""COMPUTED_VALUE"""),"〇")</f>
        <v>〇</v>
      </c>
      <c r="M1897" s="1"/>
      <c r="N1897" s="1"/>
      <c r="O1897" s="1"/>
      <c r="P1897" s="1"/>
    </row>
    <row r="1898" spans="1:16" ht="14.25" customHeight="1" x14ac:dyDescent="0.25">
      <c r="A1898" s="1"/>
      <c r="B1898" s="1">
        <f ca="1"/>
        <v>1886</v>
      </c>
      <c r="C1898" s="1">
        <f ca="1">IFERROR(__xludf.DUMMYFUNCTION("""COMPUTED_VALUE"""),2023)</f>
        <v>2023</v>
      </c>
      <c r="D1898" s="1">
        <f ca="1">IFERROR(__xludf.DUMMYFUNCTION("""COMPUTED_VALUE"""),42600)</f>
        <v>42600</v>
      </c>
      <c r="E1898" s="1" t="str">
        <f ca="1">IFERROR(__xludf.DUMMYFUNCTION("""COMPUTED_VALUE"""),"Research on Biomedical Engineering")</f>
        <v>Research on Biomedical Engineering</v>
      </c>
      <c r="F1898" s="1" t="str">
        <f ca="1">IFERROR(__xludf.DUMMYFUNCTION("""COMPUTED_VALUE"""),"2446-4740")</f>
        <v>2446-4740</v>
      </c>
      <c r="G1898" s="1"/>
      <c r="H1898" s="27" t="str">
        <f ca="1">IFERROR(__xludf.DUMMYFUNCTION("""COMPUTED_VALUE"""),"https://link.springer.com/journal/42600")</f>
        <v>https://link.springer.com/journal/42600</v>
      </c>
      <c r="I1898" s="1" t="str">
        <f ca="1">IFERROR(__xludf.DUMMYFUNCTION("""COMPUTED_VALUE"""),"Springer")</f>
        <v>Springer</v>
      </c>
      <c r="J1898" s="1">
        <f ca="1">IFERROR(__xludf.DUMMYFUNCTION("""COMPUTED_VALUE"""),2019)</f>
        <v>2019</v>
      </c>
      <c r="K1898" s="1" t="str">
        <f ca="1">IFERROR(__xludf.DUMMYFUNCTION("""COMPUTED_VALUE"""),"Engineering")</f>
        <v>Engineering</v>
      </c>
      <c r="L1898" s="1"/>
      <c r="M1898" s="1"/>
      <c r="N1898" s="1" t="str">
        <f ca="1">IFERROR(__xludf.DUMMYFUNCTION("""COMPUTED_VALUE"""),"TO19")</f>
        <v>TO19</v>
      </c>
      <c r="O1898" s="1"/>
      <c r="P1898" s="1"/>
    </row>
    <row r="1899" spans="1:16" ht="14.25" customHeight="1" x14ac:dyDescent="0.25">
      <c r="A1899" s="1"/>
      <c r="B1899" s="1">
        <f ca="1"/>
        <v>1887</v>
      </c>
      <c r="C1899" s="1">
        <f ca="1">IFERROR(__xludf.DUMMYFUNCTION("""COMPUTED_VALUE"""),2023)</f>
        <v>2023</v>
      </c>
      <c r="D1899" s="1">
        <f ca="1">IFERROR(__xludf.DUMMYFUNCTION("""COMPUTED_VALUE"""),11164)</f>
        <v>11164</v>
      </c>
      <c r="E1899" s="1" t="str">
        <f ca="1">IFERROR(__xludf.DUMMYFUNCTION("""COMPUTED_VALUE"""),"Research on Chemical Intermediates")</f>
        <v>Research on Chemical Intermediates</v>
      </c>
      <c r="F1899" s="1" t="str">
        <f ca="1">IFERROR(__xludf.DUMMYFUNCTION("""COMPUTED_VALUE"""),"1568-5675")</f>
        <v>1568-5675</v>
      </c>
      <c r="G1899" s="1" t="str">
        <f ca="1">IFERROR(__xludf.DUMMYFUNCTION("""COMPUTED_VALUE"""),"0922-6168")</f>
        <v>0922-6168</v>
      </c>
      <c r="H1899" s="27" t="str">
        <f ca="1">IFERROR(__xludf.DUMMYFUNCTION("""COMPUTED_VALUE"""),"https://link.springer.com/journal/11164")</f>
        <v>https://link.springer.com/journal/11164</v>
      </c>
      <c r="I1899" s="1" t="str">
        <f ca="1">IFERROR(__xludf.DUMMYFUNCTION("""COMPUTED_VALUE"""),"Springer")</f>
        <v>Springer</v>
      </c>
      <c r="J1899" s="1">
        <f ca="1">IFERROR(__xludf.DUMMYFUNCTION("""COMPUTED_VALUE"""),2000)</f>
        <v>2000</v>
      </c>
      <c r="K1899" s="1" t="str">
        <f ca="1">IFERROR(__xludf.DUMMYFUNCTION("""COMPUTED_VALUE"""),"Chemistry and Materials Science")</f>
        <v>Chemistry and Materials Science</v>
      </c>
      <c r="L1899" s="1" t="str">
        <f ca="1">IFERROR(__xludf.DUMMYFUNCTION("""COMPUTED_VALUE"""),"〇")</f>
        <v>〇</v>
      </c>
      <c r="M1899" s="1"/>
      <c r="N1899" s="1" t="str">
        <f ca="1">IFERROR(__xludf.DUMMYFUNCTION("""COMPUTED_VALUE"""),"TO9")</f>
        <v>TO9</v>
      </c>
      <c r="O1899" s="1"/>
      <c r="P1899" s="1"/>
    </row>
    <row r="1900" spans="1:16" ht="14.25" customHeight="1" x14ac:dyDescent="0.25">
      <c r="A1900" s="1"/>
      <c r="B1900" s="1">
        <f ca="1"/>
        <v>1888</v>
      </c>
      <c r="C1900" s="1">
        <f ca="1">IFERROR(__xludf.DUMMYFUNCTION("""COMPUTED_VALUE"""),2023)</f>
        <v>2023</v>
      </c>
      <c r="D1900" s="1">
        <f ca="1">IFERROR(__xludf.DUMMYFUNCTION("""COMPUTED_VALUE"""),10802)</f>
        <v>10802</v>
      </c>
      <c r="E1900" s="1" t="str">
        <f ca="1">IFERROR(__xludf.DUMMYFUNCTION("""COMPUTED_VALUE"""),"Research on Child and Adolescent Psychopathology")</f>
        <v>Research on Child and Adolescent Psychopathology</v>
      </c>
      <c r="F1900" s="1" t="str">
        <f ca="1">IFERROR(__xludf.DUMMYFUNCTION("""COMPUTED_VALUE"""),"2730-7174")</f>
        <v>2730-7174</v>
      </c>
      <c r="G1900" s="1" t="str">
        <f ca="1">IFERROR(__xludf.DUMMYFUNCTION("""COMPUTED_VALUE"""),"2730-7166")</f>
        <v>2730-7166</v>
      </c>
      <c r="H1900" s="27" t="str">
        <f ca="1">IFERROR(__xludf.DUMMYFUNCTION("""COMPUTED_VALUE"""),"https://link.springer.com/journal/10802")</f>
        <v>https://link.springer.com/journal/10802</v>
      </c>
      <c r="I1900" s="1" t="str">
        <f ca="1">IFERROR(__xludf.DUMMYFUNCTION("""COMPUTED_VALUE"""),"Springer")</f>
        <v>Springer</v>
      </c>
      <c r="J1900" s="1">
        <f ca="1">IFERROR(__xludf.DUMMYFUNCTION("""COMPUTED_VALUE"""),2000)</f>
        <v>2000</v>
      </c>
      <c r="K1900" s="1" t="str">
        <f ca="1">IFERROR(__xludf.DUMMYFUNCTION("""COMPUTED_VALUE"""),"Behavioral Science and Psychology")</f>
        <v>Behavioral Science and Psychology</v>
      </c>
      <c r="L1900" s="1" t="str">
        <f ca="1">IFERROR(__xludf.DUMMYFUNCTION("""COMPUTED_VALUE"""),"〇")</f>
        <v>〇</v>
      </c>
      <c r="M1900" s="1" t="str">
        <f ca="1">IFERROR(__xludf.DUMMYFUNCTION("""COMPUTED_VALUE"""),"〇")</f>
        <v>〇</v>
      </c>
      <c r="N1900" s="1"/>
      <c r="O1900" s="1"/>
      <c r="P1900" s="1"/>
    </row>
    <row r="1901" spans="1:16" ht="14.25" customHeight="1" x14ac:dyDescent="0.25">
      <c r="A1901" s="1"/>
      <c r="B1901" s="1">
        <f ca="1"/>
        <v>1889</v>
      </c>
      <c r="C1901" s="1">
        <f ca="1">IFERROR(__xludf.DUMMYFUNCTION("""COMPUTED_VALUE"""),2023)</f>
        <v>2023</v>
      </c>
      <c r="D1901" s="1">
        <f ca="1">IFERROR(__xludf.DUMMYFUNCTION("""COMPUTED_VALUE"""),12045)</f>
        <v>12045</v>
      </c>
      <c r="E1901" s="1" t="str">
        <f ca="1">IFERROR(__xludf.DUMMYFUNCTION("""COMPUTED_VALUE"""),"Resonance")</f>
        <v>Resonance</v>
      </c>
      <c r="F1901" s="1" t="str">
        <f ca="1">IFERROR(__xludf.DUMMYFUNCTION("""COMPUTED_VALUE"""),"0973-712X")</f>
        <v>0973-712X</v>
      </c>
      <c r="G1901" s="1"/>
      <c r="H1901" s="27" t="str">
        <f ca="1">IFERROR(__xludf.DUMMYFUNCTION("""COMPUTED_VALUE"""),"https://link.springer.com/journal/12045")</f>
        <v>https://link.springer.com/journal/12045</v>
      </c>
      <c r="I1901" s="1" t="str">
        <f ca="1">IFERROR(__xludf.DUMMYFUNCTION("""COMPUTED_VALUE"""),"Springer")</f>
        <v>Springer</v>
      </c>
      <c r="J1901" s="1">
        <f ca="1">IFERROR(__xludf.DUMMYFUNCTION("""COMPUTED_VALUE"""),2000)</f>
        <v>2000</v>
      </c>
      <c r="K1901" s="1" t="str">
        <f ca="1">IFERROR(__xludf.DUMMYFUNCTION("""COMPUTED_VALUE"""),"Education")</f>
        <v>Education</v>
      </c>
      <c r="L1901" s="1"/>
      <c r="M1901" s="1" t="str">
        <f ca="1">IFERROR(__xludf.DUMMYFUNCTION("""COMPUTED_VALUE"""),"〇")</f>
        <v>〇</v>
      </c>
      <c r="N1901" s="1" t="str">
        <f ca="1">IFERROR(__xludf.DUMMYFUNCTION("""COMPUTED_VALUE"""),"SNS7")</f>
        <v>SNS7</v>
      </c>
      <c r="O1901" s="1"/>
      <c r="P1901" s="1"/>
    </row>
    <row r="1902" spans="1:16" ht="14.25" customHeight="1" x14ac:dyDescent="0.25">
      <c r="A1902" s="1"/>
      <c r="B1902" s="1">
        <f ca="1"/>
        <v>1890</v>
      </c>
      <c r="C1902" s="1">
        <f ca="1">IFERROR(__xludf.DUMMYFUNCTION("""COMPUTED_VALUE"""),2023)</f>
        <v>2023</v>
      </c>
      <c r="D1902" s="1">
        <f ca="1">IFERROR(__xludf.DUMMYFUNCTION("""COMPUTED_VALUE"""),25)</f>
        <v>25</v>
      </c>
      <c r="E1902" s="1" t="str">
        <f ca="1">IFERROR(__xludf.DUMMYFUNCTION("""COMPUTED_VALUE"""),"Results in Mathematics")</f>
        <v>Results in Mathematics</v>
      </c>
      <c r="F1902" s="1" t="str">
        <f ca="1">IFERROR(__xludf.DUMMYFUNCTION("""COMPUTED_VALUE"""),"1420-9012")</f>
        <v>1420-9012</v>
      </c>
      <c r="G1902" s="1" t="str">
        <f ca="1">IFERROR(__xludf.DUMMYFUNCTION("""COMPUTED_VALUE"""),"1422-6383")</f>
        <v>1422-6383</v>
      </c>
      <c r="H1902" s="27" t="str">
        <f ca="1">IFERROR(__xludf.DUMMYFUNCTION("""COMPUTED_VALUE"""),"https://link.springer.com/journal/25")</f>
        <v>https://link.springer.com/journal/25</v>
      </c>
      <c r="I1902" s="1" t="str">
        <f ca="1">IFERROR(__xludf.DUMMYFUNCTION("""COMPUTED_VALUE"""),"Birkhäuser")</f>
        <v>Birkhäuser</v>
      </c>
      <c r="J1902" s="1">
        <f ca="1">IFERROR(__xludf.DUMMYFUNCTION("""COMPUTED_VALUE"""),2000)</f>
        <v>2000</v>
      </c>
      <c r="K1902" s="1" t="str">
        <f ca="1">IFERROR(__xludf.DUMMYFUNCTION("""COMPUTED_VALUE"""),"Mathematics and Statistics")</f>
        <v>Mathematics and Statistics</v>
      </c>
      <c r="L1902" s="1" t="str">
        <f ca="1">IFERROR(__xludf.DUMMYFUNCTION("""COMPUTED_VALUE"""),"〇")</f>
        <v>〇</v>
      </c>
      <c r="M1902" s="1" t="str">
        <f ca="1">IFERROR(__xludf.DUMMYFUNCTION("""COMPUTED_VALUE"""),"〇")</f>
        <v>〇</v>
      </c>
      <c r="N1902" s="1"/>
      <c r="O1902" s="1"/>
      <c r="P1902" s="1"/>
    </row>
    <row r="1903" spans="1:16" ht="14.25" customHeight="1" x14ac:dyDescent="0.25">
      <c r="A1903" s="1"/>
      <c r="B1903" s="1">
        <f ca="1"/>
        <v>1891</v>
      </c>
      <c r="C1903" s="1">
        <f ca="1">IFERROR(__xludf.DUMMYFUNCTION("""COMPUTED_VALUE"""),2023)</f>
        <v>2023</v>
      </c>
      <c r="D1903" s="1">
        <f ca="1">IFERROR(__xludf.DUMMYFUNCTION("""COMPUTED_VALUE"""),40489)</f>
        <v>40489</v>
      </c>
      <c r="E1903" s="1" t="str">
        <f ca="1">IFERROR(__xludf.DUMMYFUNCTION("""COMPUTED_VALUE"""),"Review Journal of Autism and Developmental Disorders")</f>
        <v>Review Journal of Autism and Developmental Disorders</v>
      </c>
      <c r="F1903" s="1" t="str">
        <f ca="1">IFERROR(__xludf.DUMMYFUNCTION("""COMPUTED_VALUE"""),"2195-7185")</f>
        <v>2195-7185</v>
      </c>
      <c r="G1903" s="1" t="str">
        <f ca="1">IFERROR(__xludf.DUMMYFUNCTION("""COMPUTED_VALUE"""),"2195-7177")</f>
        <v>2195-7177</v>
      </c>
      <c r="H1903" s="27" t="str">
        <f ca="1">IFERROR(__xludf.DUMMYFUNCTION("""COMPUTED_VALUE"""),"https://link.springer.com/journal/40489")</f>
        <v>https://link.springer.com/journal/40489</v>
      </c>
      <c r="I1903" s="1" t="str">
        <f ca="1">IFERROR(__xludf.DUMMYFUNCTION("""COMPUTED_VALUE"""),"Springer")</f>
        <v>Springer</v>
      </c>
      <c r="J1903" s="1">
        <f ca="1">IFERROR(__xludf.DUMMYFUNCTION("""COMPUTED_VALUE"""),2014)</f>
        <v>2014</v>
      </c>
      <c r="K1903" s="1" t="str">
        <f ca="1">IFERROR(__xludf.DUMMYFUNCTION("""COMPUTED_VALUE"""),"Behavioral Science and Psychology")</f>
        <v>Behavioral Science and Psychology</v>
      </c>
      <c r="L1903" s="1" t="str">
        <f ca="1">IFERROR(__xludf.DUMMYFUNCTION("""COMPUTED_VALUE"""),"〇")</f>
        <v>〇</v>
      </c>
      <c r="M1903" s="1"/>
      <c r="N1903" s="1" t="str">
        <f ca="1">IFERROR(__xludf.DUMMYFUNCTION("""COMPUTED_VALUE"""),"SNS14")</f>
        <v>SNS14</v>
      </c>
      <c r="O1903" s="1"/>
      <c r="P1903" s="1"/>
    </row>
    <row r="1904" spans="1:16" ht="14.25" customHeight="1" x14ac:dyDescent="0.25">
      <c r="A1904" s="1"/>
      <c r="B1904" s="1">
        <f ca="1"/>
        <v>1892</v>
      </c>
      <c r="C1904" s="1">
        <f ca="1">IFERROR(__xludf.DUMMYFUNCTION("""COMPUTED_VALUE"""),2023)</f>
        <v>2023</v>
      </c>
      <c r="D1904" s="1">
        <f ca="1">IFERROR(__xludf.DUMMYFUNCTION("""COMPUTED_VALUE"""),11142)</f>
        <v>11142</v>
      </c>
      <c r="E1904" s="1" t="str">
        <f ca="1">IFERROR(__xludf.DUMMYFUNCTION("""COMPUTED_VALUE"""),"Review of Accounting Studies")</f>
        <v>Review of Accounting Studies</v>
      </c>
      <c r="F1904" s="1" t="str">
        <f ca="1">IFERROR(__xludf.DUMMYFUNCTION("""COMPUTED_VALUE"""),"1573-7136")</f>
        <v>1573-7136</v>
      </c>
      <c r="G1904" s="1" t="str">
        <f ca="1">IFERROR(__xludf.DUMMYFUNCTION("""COMPUTED_VALUE"""),"1380-6653")</f>
        <v>1380-6653</v>
      </c>
      <c r="H1904" s="27" t="str">
        <f ca="1">IFERROR(__xludf.DUMMYFUNCTION("""COMPUTED_VALUE"""),"https://link.springer.com/journal/11142")</f>
        <v>https://link.springer.com/journal/11142</v>
      </c>
      <c r="I1904" s="1" t="str">
        <f ca="1">IFERROR(__xludf.DUMMYFUNCTION("""COMPUTED_VALUE"""),"Springer")</f>
        <v>Springer</v>
      </c>
      <c r="J1904" s="1">
        <f ca="1">IFERROR(__xludf.DUMMYFUNCTION("""COMPUTED_VALUE"""),2000)</f>
        <v>2000</v>
      </c>
      <c r="K1904" s="1" t="str">
        <f ca="1">IFERROR(__xludf.DUMMYFUNCTION("""COMPUTED_VALUE"""),"Business and Management")</f>
        <v>Business and Management</v>
      </c>
      <c r="L1904" s="1" t="str">
        <f ca="1">IFERROR(__xludf.DUMMYFUNCTION("""COMPUTED_VALUE"""),"〇")</f>
        <v>〇</v>
      </c>
      <c r="M1904" s="1" t="str">
        <f ca="1">IFERROR(__xludf.DUMMYFUNCTION("""COMPUTED_VALUE"""),"〇")</f>
        <v>〇</v>
      </c>
      <c r="N1904" s="1"/>
      <c r="O1904" s="1"/>
      <c r="P1904" s="1"/>
    </row>
    <row r="1905" spans="1:16" ht="14.25" customHeight="1" x14ac:dyDescent="0.25">
      <c r="A1905" s="1"/>
      <c r="B1905" s="1">
        <f ca="1"/>
        <v>1893</v>
      </c>
      <c r="C1905" s="1">
        <f ca="1">IFERROR(__xludf.DUMMYFUNCTION("""COMPUTED_VALUE"""),2023)</f>
        <v>2023</v>
      </c>
      <c r="D1905" s="1">
        <f ca="1">IFERROR(__xludf.DUMMYFUNCTION("""COMPUTED_VALUE"""),41130)</f>
        <v>41130</v>
      </c>
      <c r="E1905" s="1" t="str">
        <f ca="1">IFERROR(__xludf.DUMMYFUNCTION("""COMPUTED_VALUE"""),"Review of Agricultural, Food and Environmental Studies")</f>
        <v>Review of Agricultural, Food and Environmental Studies</v>
      </c>
      <c r="F1905" s="1" t="str">
        <f ca="1">IFERROR(__xludf.DUMMYFUNCTION("""COMPUTED_VALUE"""),"2425-6897")</f>
        <v>2425-6897</v>
      </c>
      <c r="G1905" s="1" t="str">
        <f ca="1">IFERROR(__xludf.DUMMYFUNCTION("""COMPUTED_VALUE"""),"2425-6870")</f>
        <v>2425-6870</v>
      </c>
      <c r="H1905" s="27" t="str">
        <f ca="1">IFERROR(__xludf.DUMMYFUNCTION("""COMPUTED_VALUE"""),"https://link.springer.com/journal/41130")</f>
        <v>https://link.springer.com/journal/41130</v>
      </c>
      <c r="I1905" s="1" t="str">
        <f ca="1">IFERROR(__xludf.DUMMYFUNCTION("""COMPUTED_VALUE"""),"Springer")</f>
        <v>Springer</v>
      </c>
      <c r="J1905" s="1">
        <f ca="1">IFERROR(__xludf.DUMMYFUNCTION("""COMPUTED_VALUE"""),2016)</f>
        <v>2016</v>
      </c>
      <c r="K1905" s="1" t="str">
        <f ca="1">IFERROR(__xludf.DUMMYFUNCTION("""COMPUTED_VALUE"""),"Economics and Finance")</f>
        <v>Economics and Finance</v>
      </c>
      <c r="L1905" s="1" t="str">
        <f ca="1">IFERROR(__xludf.DUMMYFUNCTION("""COMPUTED_VALUE"""),"〇")</f>
        <v>〇</v>
      </c>
      <c r="M1905" s="1"/>
      <c r="N1905" s="1" t="str">
        <f ca="1">IFERROR(__xludf.DUMMYFUNCTION("""COMPUTED_VALUE"""),"TO16")</f>
        <v>TO16</v>
      </c>
      <c r="O1905" s="1"/>
      <c r="P1905" s="1"/>
    </row>
    <row r="1906" spans="1:16" ht="14.25" customHeight="1" x14ac:dyDescent="0.25">
      <c r="A1906" s="1"/>
      <c r="B1906" s="1">
        <f ca="1"/>
        <v>1894</v>
      </c>
      <c r="C1906" s="1">
        <f ca="1">IFERROR(__xludf.DUMMYFUNCTION("""COMPUTED_VALUE"""),2023)</f>
        <v>2023</v>
      </c>
      <c r="D1906" s="1">
        <f ca="1">IFERROR(__xludf.DUMMYFUNCTION("""COMPUTED_VALUE"""),11147)</f>
        <v>11147</v>
      </c>
      <c r="E1906" s="1" t="str">
        <f ca="1">IFERROR(__xludf.DUMMYFUNCTION("""COMPUTED_VALUE"""),"Review of Derivatives Research")</f>
        <v>Review of Derivatives Research</v>
      </c>
      <c r="F1906" s="1" t="str">
        <f ca="1">IFERROR(__xludf.DUMMYFUNCTION("""COMPUTED_VALUE"""),"1573-7144")</f>
        <v>1573-7144</v>
      </c>
      <c r="G1906" s="1" t="str">
        <f ca="1">IFERROR(__xludf.DUMMYFUNCTION("""COMPUTED_VALUE"""),"1380-6645")</f>
        <v>1380-6645</v>
      </c>
      <c r="H1906" s="27" t="str">
        <f ca="1">IFERROR(__xludf.DUMMYFUNCTION("""COMPUTED_VALUE"""),"https://link.springer.com/journal/11147")</f>
        <v>https://link.springer.com/journal/11147</v>
      </c>
      <c r="I1906" s="1" t="str">
        <f ca="1">IFERROR(__xludf.DUMMYFUNCTION("""COMPUTED_VALUE"""),"Springer")</f>
        <v>Springer</v>
      </c>
      <c r="J1906" s="1">
        <f ca="1">IFERROR(__xludf.DUMMYFUNCTION("""COMPUTED_VALUE"""),2000)</f>
        <v>2000</v>
      </c>
      <c r="K1906" s="1" t="str">
        <f ca="1">IFERROR(__xludf.DUMMYFUNCTION("""COMPUTED_VALUE"""),"Economics and Finance")</f>
        <v>Economics and Finance</v>
      </c>
      <c r="L1906" s="1" t="str">
        <f ca="1">IFERROR(__xludf.DUMMYFUNCTION("""COMPUTED_VALUE"""),"〇")</f>
        <v>〇</v>
      </c>
      <c r="M1906" s="1" t="str">
        <f ca="1">IFERROR(__xludf.DUMMYFUNCTION("""COMPUTED_VALUE"""),"〇")</f>
        <v>〇</v>
      </c>
      <c r="N1906" s="1"/>
      <c r="O1906" s="1"/>
      <c r="P1906" s="1"/>
    </row>
    <row r="1907" spans="1:16" ht="14.25" customHeight="1" x14ac:dyDescent="0.25">
      <c r="A1907" s="1"/>
      <c r="B1907" s="1">
        <f ca="1"/>
        <v>1895</v>
      </c>
      <c r="C1907" s="1">
        <f ca="1">IFERROR(__xludf.DUMMYFUNCTION("""COMPUTED_VALUE"""),2023)</f>
        <v>2023</v>
      </c>
      <c r="D1907" s="1">
        <f ca="1">IFERROR(__xludf.DUMMYFUNCTION("""COMPUTED_VALUE"""),10058)</f>
        <v>10058</v>
      </c>
      <c r="E1907" s="1" t="str">
        <f ca="1">IFERROR(__xludf.DUMMYFUNCTION("""COMPUTED_VALUE"""),"Review of Economic Design")</f>
        <v>Review of Economic Design</v>
      </c>
      <c r="F1907" s="1" t="str">
        <f ca="1">IFERROR(__xludf.DUMMYFUNCTION("""COMPUTED_VALUE"""),"1434-4750")</f>
        <v>1434-4750</v>
      </c>
      <c r="G1907" s="1" t="str">
        <f ca="1">IFERROR(__xludf.DUMMYFUNCTION("""COMPUTED_VALUE"""),"1434-4742")</f>
        <v>1434-4742</v>
      </c>
      <c r="H1907" s="27" t="str">
        <f ca="1">IFERROR(__xludf.DUMMYFUNCTION("""COMPUTED_VALUE"""),"https://link.springer.com/journal/10058")</f>
        <v>https://link.springer.com/journal/10058</v>
      </c>
      <c r="I1907" s="1" t="str">
        <f ca="1">IFERROR(__xludf.DUMMYFUNCTION("""COMPUTED_VALUE"""),"Springer")</f>
        <v>Springer</v>
      </c>
      <c r="J1907" s="1">
        <f ca="1">IFERROR(__xludf.DUMMYFUNCTION("""COMPUTED_VALUE"""),2000)</f>
        <v>2000</v>
      </c>
      <c r="K1907" s="1" t="str">
        <f ca="1">IFERROR(__xludf.DUMMYFUNCTION("""COMPUTED_VALUE"""),"Economics and Finance")</f>
        <v>Economics and Finance</v>
      </c>
      <c r="L1907" s="1" t="str">
        <f ca="1">IFERROR(__xludf.DUMMYFUNCTION("""COMPUTED_VALUE"""),"〇")</f>
        <v>〇</v>
      </c>
      <c r="M1907" s="1" t="str">
        <f ca="1">IFERROR(__xludf.DUMMYFUNCTION("""COMPUTED_VALUE"""),"〇")</f>
        <v>〇</v>
      </c>
      <c r="N1907" s="1"/>
      <c r="O1907" s="1"/>
      <c r="P1907" s="1"/>
    </row>
    <row r="1908" spans="1:16" ht="14.25" customHeight="1" x14ac:dyDescent="0.25">
      <c r="A1908" s="1"/>
      <c r="B1908" s="1">
        <f ca="1"/>
        <v>1896</v>
      </c>
      <c r="C1908" s="1">
        <f ca="1">IFERROR(__xludf.DUMMYFUNCTION("""COMPUTED_VALUE"""),2023)</f>
        <v>2023</v>
      </c>
      <c r="D1908" s="1">
        <f ca="1">IFERROR(__xludf.DUMMYFUNCTION("""COMPUTED_VALUE"""),11150)</f>
        <v>11150</v>
      </c>
      <c r="E1908" s="1" t="str">
        <f ca="1">IFERROR(__xludf.DUMMYFUNCTION("""COMPUTED_VALUE"""),"Review of Economics of the Household")</f>
        <v>Review of Economics of the Household</v>
      </c>
      <c r="F1908" s="1" t="str">
        <f ca="1">IFERROR(__xludf.DUMMYFUNCTION("""COMPUTED_VALUE"""),"1573-7152")</f>
        <v>1573-7152</v>
      </c>
      <c r="G1908" s="1" t="str">
        <f ca="1">IFERROR(__xludf.DUMMYFUNCTION("""COMPUTED_VALUE"""),"1569-5239")</f>
        <v>1569-5239</v>
      </c>
      <c r="H1908" s="27" t="str">
        <f ca="1">IFERROR(__xludf.DUMMYFUNCTION("""COMPUTED_VALUE"""),"https://link.springer.com/journal/11150")</f>
        <v>https://link.springer.com/journal/11150</v>
      </c>
      <c r="I1908" s="1" t="str">
        <f ca="1">IFERROR(__xludf.DUMMYFUNCTION("""COMPUTED_VALUE"""),"Springer")</f>
        <v>Springer</v>
      </c>
      <c r="J1908" s="1">
        <f ca="1">IFERROR(__xludf.DUMMYFUNCTION("""COMPUTED_VALUE"""),2003)</f>
        <v>2003</v>
      </c>
      <c r="K1908" s="1" t="str">
        <f ca="1">IFERROR(__xludf.DUMMYFUNCTION("""COMPUTED_VALUE"""),"Economics and Finance")</f>
        <v>Economics and Finance</v>
      </c>
      <c r="L1908" s="1" t="str">
        <f ca="1">IFERROR(__xludf.DUMMYFUNCTION("""COMPUTED_VALUE"""),"〇")</f>
        <v>〇</v>
      </c>
      <c r="M1908" s="1" t="str">
        <f ca="1">IFERROR(__xludf.DUMMYFUNCTION("""COMPUTED_VALUE"""),"〇")</f>
        <v>〇</v>
      </c>
      <c r="N1908" s="1"/>
      <c r="O1908" s="1"/>
      <c r="P1908" s="1"/>
    </row>
    <row r="1909" spans="1:16" ht="14.25" customHeight="1" x14ac:dyDescent="0.25">
      <c r="A1909" s="1"/>
      <c r="B1909" s="1">
        <f ca="1"/>
        <v>1897</v>
      </c>
      <c r="C1909" s="1">
        <f ca="1">IFERROR(__xludf.DUMMYFUNCTION("""COMPUTED_VALUE"""),2023)</f>
        <v>2023</v>
      </c>
      <c r="D1909" s="1">
        <f ca="1">IFERROR(__xludf.DUMMYFUNCTION("""COMPUTED_VALUE"""),43253)</f>
        <v>43253</v>
      </c>
      <c r="E1909" s="1" t="str">
        <f ca="1">IFERROR(__xludf.DUMMYFUNCTION("""COMPUTED_VALUE"""),"Review of Evolutionary Political Economy")</f>
        <v>Review of Evolutionary Political Economy</v>
      </c>
      <c r="F1909" s="1" t="str">
        <f ca="1">IFERROR(__xludf.DUMMYFUNCTION("""COMPUTED_VALUE"""),"2662-6144")</f>
        <v>2662-6144</v>
      </c>
      <c r="G1909" s="1"/>
      <c r="H1909" s="27" t="str">
        <f ca="1">IFERROR(__xludf.DUMMYFUNCTION("""COMPUTED_VALUE"""),"https://link.springer.com/journal/43253")</f>
        <v>https://link.springer.com/journal/43253</v>
      </c>
      <c r="I1909" s="1" t="str">
        <f ca="1">IFERROR(__xludf.DUMMYFUNCTION("""COMPUTED_VALUE"""),"Springer")</f>
        <v>Springer</v>
      </c>
      <c r="J1909" s="1">
        <f ca="1">IFERROR(__xludf.DUMMYFUNCTION("""COMPUTED_VALUE"""),2020)</f>
        <v>2020</v>
      </c>
      <c r="K1909" s="1" t="str">
        <f ca="1">IFERROR(__xludf.DUMMYFUNCTION("""COMPUTED_VALUE"""),"Economics and Finance")</f>
        <v>Economics and Finance</v>
      </c>
      <c r="L1909" s="1"/>
      <c r="M1909" s="1"/>
      <c r="N1909" s="1" t="str">
        <f ca="1">IFERROR(__xludf.DUMMYFUNCTION("""COMPUTED_VALUE"""),"SNS20")</f>
        <v>SNS20</v>
      </c>
      <c r="O1909" s="1"/>
      <c r="P1909" s="1"/>
    </row>
    <row r="1910" spans="1:16" ht="14.25" customHeight="1" x14ac:dyDescent="0.25">
      <c r="A1910" s="1"/>
      <c r="B1910" s="1">
        <f ca="1"/>
        <v>1898</v>
      </c>
      <c r="C1910" s="1">
        <f ca="1">IFERROR(__xludf.DUMMYFUNCTION("""COMPUTED_VALUE"""),2023)</f>
        <v>2023</v>
      </c>
      <c r="D1910" s="1">
        <f ca="1">IFERROR(__xludf.DUMMYFUNCTION("""COMPUTED_VALUE"""),11151)</f>
        <v>11151</v>
      </c>
      <c r="E1910" s="1" t="str">
        <f ca="1">IFERROR(__xludf.DUMMYFUNCTION("""COMPUTED_VALUE"""),"Review of Industrial Organization")</f>
        <v>Review of Industrial Organization</v>
      </c>
      <c r="F1910" s="1" t="str">
        <f ca="1">IFERROR(__xludf.DUMMYFUNCTION("""COMPUTED_VALUE"""),"1573-7160")</f>
        <v>1573-7160</v>
      </c>
      <c r="G1910" s="1" t="str">
        <f ca="1">IFERROR(__xludf.DUMMYFUNCTION("""COMPUTED_VALUE"""),"0889-938X")</f>
        <v>0889-938X</v>
      </c>
      <c r="H1910" s="27" t="str">
        <f ca="1">IFERROR(__xludf.DUMMYFUNCTION("""COMPUTED_VALUE"""),"https://link.springer.com/journal/11151")</f>
        <v>https://link.springer.com/journal/11151</v>
      </c>
      <c r="I1910" s="1" t="str">
        <f ca="1">IFERROR(__xludf.DUMMYFUNCTION("""COMPUTED_VALUE"""),"Springer")</f>
        <v>Springer</v>
      </c>
      <c r="J1910" s="1">
        <f ca="1">IFERROR(__xludf.DUMMYFUNCTION("""COMPUTED_VALUE"""),2000)</f>
        <v>2000</v>
      </c>
      <c r="K1910" s="1" t="str">
        <f ca="1">IFERROR(__xludf.DUMMYFUNCTION("""COMPUTED_VALUE"""),"Economics and Finance")</f>
        <v>Economics and Finance</v>
      </c>
      <c r="L1910" s="1" t="str">
        <f ca="1">IFERROR(__xludf.DUMMYFUNCTION("""COMPUTED_VALUE"""),"〇")</f>
        <v>〇</v>
      </c>
      <c r="M1910" s="1" t="str">
        <f ca="1">IFERROR(__xludf.DUMMYFUNCTION("""COMPUTED_VALUE"""),"〇")</f>
        <v>〇</v>
      </c>
      <c r="N1910" s="1"/>
      <c r="O1910" s="1"/>
      <c r="P1910" s="1"/>
    </row>
    <row r="1911" spans="1:16" ht="14.25" customHeight="1" x14ac:dyDescent="0.25">
      <c r="A1911" s="1"/>
      <c r="B1911" s="1">
        <f ca="1"/>
        <v>1899</v>
      </c>
      <c r="C1911" s="1">
        <f ca="1">IFERROR(__xludf.DUMMYFUNCTION("""COMPUTED_VALUE"""),2023)</f>
        <v>2023</v>
      </c>
      <c r="D1911" s="1">
        <f ca="1">IFERROR(__xludf.DUMMYFUNCTION("""COMPUTED_VALUE"""),11846)</f>
        <v>11846</v>
      </c>
      <c r="E1911" s="1" t="str">
        <f ca="1">IFERROR(__xludf.DUMMYFUNCTION("""COMPUTED_VALUE"""),"Review of Managerial Science")</f>
        <v>Review of Managerial Science</v>
      </c>
      <c r="F1911" s="1" t="str">
        <f ca="1">IFERROR(__xludf.DUMMYFUNCTION("""COMPUTED_VALUE"""),"1863-6691")</f>
        <v>1863-6691</v>
      </c>
      <c r="G1911" s="1" t="str">
        <f ca="1">IFERROR(__xludf.DUMMYFUNCTION("""COMPUTED_VALUE"""),"1863-6683")</f>
        <v>1863-6683</v>
      </c>
      <c r="H1911" s="27" t="str">
        <f ca="1">IFERROR(__xludf.DUMMYFUNCTION("""COMPUTED_VALUE"""),"https://link.springer.com/journal/11846")</f>
        <v>https://link.springer.com/journal/11846</v>
      </c>
      <c r="I1911" s="1" t="str">
        <f ca="1">IFERROR(__xludf.DUMMYFUNCTION("""COMPUTED_VALUE"""),"Springer")</f>
        <v>Springer</v>
      </c>
      <c r="J1911" s="1">
        <f ca="1">IFERROR(__xludf.DUMMYFUNCTION("""COMPUTED_VALUE"""),2007)</f>
        <v>2007</v>
      </c>
      <c r="K1911" s="1" t="str">
        <f ca="1">IFERROR(__xludf.DUMMYFUNCTION("""COMPUTED_VALUE"""),"Business and Management")</f>
        <v>Business and Management</v>
      </c>
      <c r="L1911" s="1" t="str">
        <f ca="1">IFERROR(__xludf.DUMMYFUNCTION("""COMPUTED_VALUE"""),"〇")</f>
        <v>〇</v>
      </c>
      <c r="M1911" s="1" t="str">
        <f ca="1">IFERROR(__xludf.DUMMYFUNCTION("""COMPUTED_VALUE"""),"〇")</f>
        <v>〇</v>
      </c>
      <c r="N1911" s="1" t="str">
        <f ca="1">IFERROR(__xludf.DUMMYFUNCTION("""COMPUTED_VALUE"""),"SNS7")</f>
        <v>SNS7</v>
      </c>
      <c r="O1911" s="1"/>
      <c r="P1911" s="1"/>
    </row>
    <row r="1912" spans="1:16" ht="14.25" customHeight="1" x14ac:dyDescent="0.25">
      <c r="A1912" s="1"/>
      <c r="B1912" s="1">
        <f ca="1"/>
        <v>1900</v>
      </c>
      <c r="C1912" s="1">
        <f ca="1">IFERROR(__xludf.DUMMYFUNCTION("""COMPUTED_VALUE"""),2023)</f>
        <v>2023</v>
      </c>
      <c r="D1912" s="1">
        <f ca="1">IFERROR(__xludf.DUMMYFUNCTION("""COMPUTED_VALUE"""),13164)</f>
        <v>13164</v>
      </c>
      <c r="E1912" s="1" t="str">
        <f ca="1">IFERROR(__xludf.DUMMYFUNCTION("""COMPUTED_VALUE"""),"Review of Philosophy and Psychology")</f>
        <v>Review of Philosophy and Psychology</v>
      </c>
      <c r="F1912" s="1" t="str">
        <f ca="1">IFERROR(__xludf.DUMMYFUNCTION("""COMPUTED_VALUE"""),"1878-5166")</f>
        <v>1878-5166</v>
      </c>
      <c r="G1912" s="1"/>
      <c r="H1912" s="27" t="str">
        <f ca="1">IFERROR(__xludf.DUMMYFUNCTION("""COMPUTED_VALUE"""),"https://link.springer.com/journal/13164")</f>
        <v>https://link.springer.com/journal/13164</v>
      </c>
      <c r="I1912" s="1" t="str">
        <f ca="1">IFERROR(__xludf.DUMMYFUNCTION("""COMPUTED_VALUE"""),"Springer")</f>
        <v>Springer</v>
      </c>
      <c r="J1912" s="1">
        <f ca="1">IFERROR(__xludf.DUMMYFUNCTION("""COMPUTED_VALUE"""),2010)</f>
        <v>2010</v>
      </c>
      <c r="K1912" s="1" t="str">
        <f ca="1">IFERROR(__xludf.DUMMYFUNCTION("""COMPUTED_VALUE"""),"Education")</f>
        <v>Education</v>
      </c>
      <c r="L1912" s="1"/>
      <c r="M1912" s="1" t="str">
        <f ca="1">IFERROR(__xludf.DUMMYFUNCTION("""COMPUTED_VALUE"""),"〇")</f>
        <v>〇</v>
      </c>
      <c r="N1912" s="1" t="str">
        <f ca="1">IFERROR(__xludf.DUMMYFUNCTION("""COMPUTED_VALUE"""),"SNS10")</f>
        <v>SNS10</v>
      </c>
      <c r="O1912" s="1"/>
      <c r="P1912" s="1"/>
    </row>
    <row r="1913" spans="1:16" ht="14.25" customHeight="1" x14ac:dyDescent="0.25">
      <c r="A1913" s="1"/>
      <c r="B1913" s="1">
        <f ca="1"/>
        <v>1901</v>
      </c>
      <c r="C1913" s="1">
        <f ca="1">IFERROR(__xludf.DUMMYFUNCTION("""COMPUTED_VALUE"""),2023)</f>
        <v>2023</v>
      </c>
      <c r="D1913" s="1">
        <f ca="1">IFERROR(__xludf.DUMMYFUNCTION("""COMPUTED_VALUE"""),11156)</f>
        <v>11156</v>
      </c>
      <c r="E1913" s="1" t="str">
        <f ca="1">IFERROR(__xludf.DUMMYFUNCTION("""COMPUTED_VALUE"""),"Review of Quantitative Finance and Accounting")</f>
        <v>Review of Quantitative Finance and Accounting</v>
      </c>
      <c r="F1913" s="1" t="str">
        <f ca="1">IFERROR(__xludf.DUMMYFUNCTION("""COMPUTED_VALUE"""),"1573-7179")</f>
        <v>1573-7179</v>
      </c>
      <c r="G1913" s="1" t="str">
        <f ca="1">IFERROR(__xludf.DUMMYFUNCTION("""COMPUTED_VALUE"""),"0924-865X")</f>
        <v>0924-865X</v>
      </c>
      <c r="H1913" s="27" t="str">
        <f ca="1">IFERROR(__xludf.DUMMYFUNCTION("""COMPUTED_VALUE"""),"https://link.springer.com/journal/11156")</f>
        <v>https://link.springer.com/journal/11156</v>
      </c>
      <c r="I1913" s="1" t="str">
        <f ca="1">IFERROR(__xludf.DUMMYFUNCTION("""COMPUTED_VALUE"""),"Springer")</f>
        <v>Springer</v>
      </c>
      <c r="J1913" s="1">
        <f ca="1">IFERROR(__xludf.DUMMYFUNCTION("""COMPUTED_VALUE"""),2000)</f>
        <v>2000</v>
      </c>
      <c r="K1913" s="1" t="str">
        <f ca="1">IFERROR(__xludf.DUMMYFUNCTION("""COMPUTED_VALUE"""),"Economics and Finance")</f>
        <v>Economics and Finance</v>
      </c>
      <c r="L1913" s="1" t="str">
        <f ca="1">IFERROR(__xludf.DUMMYFUNCTION("""COMPUTED_VALUE"""),"〇")</f>
        <v>〇</v>
      </c>
      <c r="M1913" s="1" t="str">
        <f ca="1">IFERROR(__xludf.DUMMYFUNCTION("""COMPUTED_VALUE"""),"〇")</f>
        <v>〇</v>
      </c>
      <c r="N1913" s="1"/>
      <c r="O1913" s="1"/>
      <c r="P1913" s="1"/>
    </row>
    <row r="1914" spans="1:16" ht="14.25" customHeight="1" x14ac:dyDescent="0.25">
      <c r="A1914" s="1"/>
      <c r="B1914" s="1">
        <f ca="1"/>
        <v>1902</v>
      </c>
      <c r="C1914" s="1">
        <f ca="1">IFERROR(__xludf.DUMMYFUNCTION("""COMPUTED_VALUE"""),2023)</f>
        <v>2023</v>
      </c>
      <c r="D1914" s="1">
        <f ca="1">IFERROR(__xludf.DUMMYFUNCTION("""COMPUTED_VALUE"""),10037)</f>
        <v>10037</v>
      </c>
      <c r="E1914" s="1" t="str">
        <f ca="1">IFERROR(__xludf.DUMMYFUNCTION("""COMPUTED_VALUE"""),"Review of Regional Research")</f>
        <v>Review of Regional Research</v>
      </c>
      <c r="F1914" s="1" t="str">
        <f ca="1">IFERROR(__xludf.DUMMYFUNCTION("""COMPUTED_VALUE"""),"1613-9836")</f>
        <v>1613-9836</v>
      </c>
      <c r="G1914" s="1" t="str">
        <f ca="1">IFERROR(__xludf.DUMMYFUNCTION("""COMPUTED_VALUE"""),"0173-7600")</f>
        <v>0173-7600</v>
      </c>
      <c r="H1914" s="27" t="str">
        <f ca="1">IFERROR(__xludf.DUMMYFUNCTION("""COMPUTED_VALUE"""),"https://link.springer.com/journal/10037")</f>
        <v>https://link.springer.com/journal/10037</v>
      </c>
      <c r="I1914" s="1" t="str">
        <f ca="1">IFERROR(__xludf.DUMMYFUNCTION("""COMPUTED_VALUE"""),"Springer")</f>
        <v>Springer</v>
      </c>
      <c r="J1914" s="1">
        <f ca="1">IFERROR(__xludf.DUMMYFUNCTION("""COMPUTED_VALUE"""),2006)</f>
        <v>2006</v>
      </c>
      <c r="K1914" s="1" t="str">
        <f ca="1">IFERROR(__xludf.DUMMYFUNCTION("""COMPUTED_VALUE"""),"Economics and Finance")</f>
        <v>Economics and Finance</v>
      </c>
      <c r="L1914" s="1" t="str">
        <f ca="1">IFERROR(__xludf.DUMMYFUNCTION("""COMPUTED_VALUE"""),"〇")</f>
        <v>〇</v>
      </c>
      <c r="M1914" s="1" t="str">
        <f ca="1">IFERROR(__xludf.DUMMYFUNCTION("""COMPUTED_VALUE"""),"〇")</f>
        <v>〇</v>
      </c>
      <c r="N1914" s="1"/>
      <c r="O1914" s="1"/>
      <c r="P1914" s="1"/>
    </row>
    <row r="1915" spans="1:16" ht="14.25" customHeight="1" x14ac:dyDescent="0.25">
      <c r="A1915" s="1"/>
      <c r="B1915" s="1">
        <f ca="1"/>
        <v>1903</v>
      </c>
      <c r="C1915" s="1">
        <f ca="1">IFERROR(__xludf.DUMMYFUNCTION("""COMPUTED_VALUE"""),2023)</f>
        <v>2023</v>
      </c>
      <c r="D1915" s="1">
        <f ca="1">IFERROR(__xludf.DUMMYFUNCTION("""COMPUTED_VALUE"""),13644)</f>
        <v>13644</v>
      </c>
      <c r="E1915" s="1" t="str">
        <f ca="1">IFERROR(__xludf.DUMMYFUNCTION("""COMPUTED_VALUE"""),"Review of Religious Research")</f>
        <v>Review of Religious Research</v>
      </c>
      <c r="F1915" s="1" t="str">
        <f ca="1">IFERROR(__xludf.DUMMYFUNCTION("""COMPUTED_VALUE"""),"2211-4866")</f>
        <v>2211-4866</v>
      </c>
      <c r="G1915" s="1" t="str">
        <f ca="1">IFERROR(__xludf.DUMMYFUNCTION("""COMPUTED_VALUE"""),"0034-673X")</f>
        <v>0034-673X</v>
      </c>
      <c r="H1915" s="27" t="str">
        <f ca="1">IFERROR(__xludf.DUMMYFUNCTION("""COMPUTED_VALUE"""),"https://link.springer.com/journal/13644")</f>
        <v>https://link.springer.com/journal/13644</v>
      </c>
      <c r="I1915" s="1" t="str">
        <f ca="1">IFERROR(__xludf.DUMMYFUNCTION("""COMPUTED_VALUE"""),"Springer")</f>
        <v>Springer</v>
      </c>
      <c r="J1915" s="1">
        <f ca="1">IFERROR(__xludf.DUMMYFUNCTION("""COMPUTED_VALUE"""),2011)</f>
        <v>2011</v>
      </c>
      <c r="K1915" s="1" t="str">
        <f ca="1">IFERROR(__xludf.DUMMYFUNCTION("""COMPUTED_VALUE"""),"Social Sciences")</f>
        <v>Social Sciences</v>
      </c>
      <c r="L1915" s="1" t="str">
        <f ca="1">IFERROR(__xludf.DUMMYFUNCTION("""COMPUTED_VALUE"""),"〇")</f>
        <v>〇</v>
      </c>
      <c r="M1915" s="1"/>
      <c r="N1915" s="1" t="str">
        <f ca="1">IFERROR(__xludf.DUMMYFUNCTION("""COMPUTED_VALUE"""),"TO11")</f>
        <v>TO11</v>
      </c>
      <c r="O1915" s="1"/>
      <c r="P1915" s="1"/>
    </row>
    <row r="1916" spans="1:16" ht="14.25" customHeight="1" x14ac:dyDescent="0.25">
      <c r="A1916" s="1"/>
      <c r="B1916" s="1">
        <f ca="1"/>
        <v>1904</v>
      </c>
      <c r="C1916" s="1">
        <f ca="1">IFERROR(__xludf.DUMMYFUNCTION("""COMPUTED_VALUE"""),2023)</f>
        <v>2023</v>
      </c>
      <c r="D1916" s="1">
        <f ca="1">IFERROR(__xludf.DUMMYFUNCTION("""COMPUTED_VALUE"""),10290)</f>
        <v>10290</v>
      </c>
      <c r="E1916" s="1" t="str">
        <f ca="1">IFERROR(__xludf.DUMMYFUNCTION("""COMPUTED_VALUE"""),"Review of World Economics")</f>
        <v>Review of World Economics</v>
      </c>
      <c r="F1916" s="1" t="str">
        <f ca="1">IFERROR(__xludf.DUMMYFUNCTION("""COMPUTED_VALUE"""),"1610-2886")</f>
        <v>1610-2886</v>
      </c>
      <c r="G1916" s="1" t="str">
        <f ca="1">IFERROR(__xludf.DUMMYFUNCTION("""COMPUTED_VALUE"""),"1610-2878")</f>
        <v>1610-2878</v>
      </c>
      <c r="H1916" s="27" t="str">
        <f ca="1">IFERROR(__xludf.DUMMYFUNCTION("""COMPUTED_VALUE"""),"https://link.springer.com/journal/10290")</f>
        <v>https://link.springer.com/journal/10290</v>
      </c>
      <c r="I1916" s="1" t="str">
        <f ca="1">IFERROR(__xludf.DUMMYFUNCTION("""COMPUTED_VALUE"""),"Springer")</f>
        <v>Springer</v>
      </c>
      <c r="J1916" s="1">
        <f ca="1">IFERROR(__xludf.DUMMYFUNCTION("""COMPUTED_VALUE"""),2000)</f>
        <v>2000</v>
      </c>
      <c r="K1916" s="1" t="str">
        <f ca="1">IFERROR(__xludf.DUMMYFUNCTION("""COMPUTED_VALUE"""),"Economics and Finance")</f>
        <v>Economics and Finance</v>
      </c>
      <c r="L1916" s="1" t="str">
        <f ca="1">IFERROR(__xludf.DUMMYFUNCTION("""COMPUTED_VALUE"""),"〇")</f>
        <v>〇</v>
      </c>
      <c r="M1916" s="1" t="str">
        <f ca="1">IFERROR(__xludf.DUMMYFUNCTION("""COMPUTED_VALUE"""),"〇")</f>
        <v>〇</v>
      </c>
      <c r="N1916" s="1"/>
      <c r="O1916" s="1"/>
      <c r="P1916" s="1"/>
    </row>
    <row r="1917" spans="1:16" ht="14.25" customHeight="1" x14ac:dyDescent="0.25">
      <c r="A1917" s="1"/>
      <c r="B1917" s="1">
        <f ca="1"/>
        <v>1905</v>
      </c>
      <c r="C1917" s="1">
        <f ca="1">IFERROR(__xludf.DUMMYFUNCTION("""COMPUTED_VALUE"""),2023)</f>
        <v>2023</v>
      </c>
      <c r="D1917" s="1">
        <f ca="1">IFERROR(__xludf.DUMMYFUNCTION("""COMPUTED_VALUE"""),13392)</f>
        <v>13392</v>
      </c>
      <c r="E1917" s="1" t="str">
        <f ca="1">IFERROR(__xludf.DUMMYFUNCTION("""COMPUTED_VALUE"""),"Reviews and Advances in Chemistry")</f>
        <v>Reviews and Advances in Chemistry</v>
      </c>
      <c r="F1917" s="1" t="str">
        <f ca="1">IFERROR(__xludf.DUMMYFUNCTION("""COMPUTED_VALUE"""),"2634-8284")</f>
        <v>2634-8284</v>
      </c>
      <c r="G1917" s="1" t="str">
        <f ca="1">IFERROR(__xludf.DUMMYFUNCTION("""COMPUTED_VALUE"""),"2634-8276")</f>
        <v>2634-8276</v>
      </c>
      <c r="H1917" s="27" t="str">
        <f ca="1">IFERROR(__xludf.DUMMYFUNCTION("""COMPUTED_VALUE"""),"https://link.springer.com/journal/13392")</f>
        <v>https://link.springer.com/journal/13392</v>
      </c>
      <c r="I1917" s="1" t="str">
        <f ca="1">IFERROR(__xludf.DUMMYFUNCTION("""COMPUTED_VALUE"""),"Pleiades Publishing")</f>
        <v>Pleiades Publishing</v>
      </c>
      <c r="J1917" s="1">
        <f ca="1">IFERROR(__xludf.DUMMYFUNCTION("""COMPUTED_VALUE"""),2011)</f>
        <v>2011</v>
      </c>
      <c r="K1917" s="1" t="str">
        <f ca="1">IFERROR(__xludf.DUMMYFUNCTION("""COMPUTED_VALUE"""),"Chemistry and Materials Science")</f>
        <v>Chemistry and Materials Science</v>
      </c>
      <c r="L1917" s="1" t="str">
        <f ca="1">IFERROR(__xludf.DUMMYFUNCTION("""COMPUTED_VALUE"""),"〇")</f>
        <v>〇</v>
      </c>
      <c r="M1917" s="1"/>
      <c r="N1917" s="1" t="str">
        <f ca="1">IFERROR(__xludf.DUMMYFUNCTION("""COMPUTED_VALUE"""),"SNS11")</f>
        <v>SNS11</v>
      </c>
      <c r="O1917" s="1"/>
      <c r="P1917" s="1"/>
    </row>
    <row r="1918" spans="1:16" ht="14.25" customHeight="1" x14ac:dyDescent="0.25">
      <c r="A1918" s="1"/>
      <c r="B1918" s="1">
        <f ca="1"/>
        <v>1906</v>
      </c>
      <c r="C1918" s="1">
        <f ca="1">IFERROR(__xludf.DUMMYFUNCTION("""COMPUTED_VALUE"""),2023)</f>
        <v>2023</v>
      </c>
      <c r="D1918" s="1">
        <f ca="1">IFERROR(__xludf.DUMMYFUNCTION("""COMPUTED_VALUE"""),11154)</f>
        <v>11154</v>
      </c>
      <c r="E1918" s="1" t="str">
        <f ca="1">IFERROR(__xludf.DUMMYFUNCTION("""COMPUTED_VALUE"""),"Reviews in Endocrine and Metabolic Disorders")</f>
        <v>Reviews in Endocrine and Metabolic Disorders</v>
      </c>
      <c r="F1918" s="1" t="str">
        <f ca="1">IFERROR(__xludf.DUMMYFUNCTION("""COMPUTED_VALUE"""),"1573-2606")</f>
        <v>1573-2606</v>
      </c>
      <c r="G1918" s="1" t="str">
        <f ca="1">IFERROR(__xludf.DUMMYFUNCTION("""COMPUTED_VALUE"""),"1389-9155")</f>
        <v>1389-9155</v>
      </c>
      <c r="H1918" s="27" t="str">
        <f ca="1">IFERROR(__xludf.DUMMYFUNCTION("""COMPUTED_VALUE"""),"https://link.springer.com/journal/11154")</f>
        <v>https://link.springer.com/journal/11154</v>
      </c>
      <c r="I1918" s="1" t="str">
        <f ca="1">IFERROR(__xludf.DUMMYFUNCTION("""COMPUTED_VALUE"""),"Springer")</f>
        <v>Springer</v>
      </c>
      <c r="J1918" s="1">
        <f ca="1">IFERROR(__xludf.DUMMYFUNCTION("""COMPUTED_VALUE"""),2000)</f>
        <v>2000</v>
      </c>
      <c r="K1918" s="1" t="str">
        <f ca="1">IFERROR(__xludf.DUMMYFUNCTION("""COMPUTED_VALUE"""),"Medicine")</f>
        <v>Medicine</v>
      </c>
      <c r="L1918" s="1" t="str">
        <f ca="1">IFERROR(__xludf.DUMMYFUNCTION("""COMPUTED_VALUE"""),"〇")</f>
        <v>〇</v>
      </c>
      <c r="M1918" s="1" t="str">
        <f ca="1">IFERROR(__xludf.DUMMYFUNCTION("""COMPUTED_VALUE"""),"〇")</f>
        <v>〇</v>
      </c>
      <c r="N1918" s="1"/>
      <c r="O1918" s="1"/>
      <c r="P1918" s="1"/>
    </row>
    <row r="1919" spans="1:16" ht="14.25" customHeight="1" x14ac:dyDescent="0.25">
      <c r="A1919" s="1"/>
      <c r="B1919" s="1">
        <f ca="1"/>
        <v>1907</v>
      </c>
      <c r="C1919" s="1">
        <f ca="1">IFERROR(__xludf.DUMMYFUNCTION("""COMPUTED_VALUE"""),2023)</f>
        <v>2023</v>
      </c>
      <c r="D1919" s="1">
        <f ca="1">IFERROR(__xludf.DUMMYFUNCTION("""COMPUTED_VALUE"""),11157)</f>
        <v>11157</v>
      </c>
      <c r="E1919" s="1" t="str">
        <f ca="1">IFERROR(__xludf.DUMMYFUNCTION("""COMPUTED_VALUE"""),"Reviews in Environmental Science and Bio/Technology")</f>
        <v>Reviews in Environmental Science and Bio/Technology</v>
      </c>
      <c r="F1919" s="1" t="str">
        <f ca="1">IFERROR(__xludf.DUMMYFUNCTION("""COMPUTED_VALUE"""),"1572-9826")</f>
        <v>1572-9826</v>
      </c>
      <c r="G1919" s="1" t="str">
        <f ca="1">IFERROR(__xludf.DUMMYFUNCTION("""COMPUTED_VALUE"""),"1569-1705")</f>
        <v>1569-1705</v>
      </c>
      <c r="H1919" s="27" t="str">
        <f ca="1">IFERROR(__xludf.DUMMYFUNCTION("""COMPUTED_VALUE"""),"https://link.springer.com/journal/11157")</f>
        <v>https://link.springer.com/journal/11157</v>
      </c>
      <c r="I1919" s="1" t="str">
        <f ca="1">IFERROR(__xludf.DUMMYFUNCTION("""COMPUTED_VALUE"""),"Springer")</f>
        <v>Springer</v>
      </c>
      <c r="J1919" s="1">
        <f ca="1">IFERROR(__xludf.DUMMYFUNCTION("""COMPUTED_VALUE"""),2002)</f>
        <v>2002</v>
      </c>
      <c r="K1919" s="1" t="str">
        <f ca="1">IFERROR(__xludf.DUMMYFUNCTION("""COMPUTED_VALUE"""),"Earth and Environmental Science")</f>
        <v>Earth and Environmental Science</v>
      </c>
      <c r="L1919" s="1" t="str">
        <f ca="1">IFERROR(__xludf.DUMMYFUNCTION("""COMPUTED_VALUE"""),"〇")</f>
        <v>〇</v>
      </c>
      <c r="M1919" s="1" t="str">
        <f ca="1">IFERROR(__xludf.DUMMYFUNCTION("""COMPUTED_VALUE"""),"〇")</f>
        <v>〇</v>
      </c>
      <c r="N1919" s="1"/>
      <c r="O1919" s="1"/>
      <c r="P1919" s="1"/>
    </row>
    <row r="1920" spans="1:16" ht="14.25" customHeight="1" x14ac:dyDescent="0.25">
      <c r="A1920" s="1"/>
      <c r="B1920" s="1">
        <f ca="1"/>
        <v>1908</v>
      </c>
      <c r="C1920" s="1">
        <f ca="1">IFERROR(__xludf.DUMMYFUNCTION("""COMPUTED_VALUE"""),2023)</f>
        <v>2023</v>
      </c>
      <c r="D1920" s="1">
        <f ca="1">IFERROR(__xludf.DUMMYFUNCTION("""COMPUTED_VALUE"""),11160)</f>
        <v>11160</v>
      </c>
      <c r="E1920" s="1" t="str">
        <f ca="1">IFERROR(__xludf.DUMMYFUNCTION("""COMPUTED_VALUE"""),"Reviews in Fish Biology and Fisheries")</f>
        <v>Reviews in Fish Biology and Fisheries</v>
      </c>
      <c r="F1920" s="1" t="str">
        <f ca="1">IFERROR(__xludf.DUMMYFUNCTION("""COMPUTED_VALUE"""),"1573-5184")</f>
        <v>1573-5184</v>
      </c>
      <c r="G1920" s="1" t="str">
        <f ca="1">IFERROR(__xludf.DUMMYFUNCTION("""COMPUTED_VALUE"""),"0960-3166")</f>
        <v>0960-3166</v>
      </c>
      <c r="H1920" s="27" t="str">
        <f ca="1">IFERROR(__xludf.DUMMYFUNCTION("""COMPUTED_VALUE"""),"https://link.springer.com/journal/11160")</f>
        <v>https://link.springer.com/journal/11160</v>
      </c>
      <c r="I1920" s="1" t="str">
        <f ca="1">IFERROR(__xludf.DUMMYFUNCTION("""COMPUTED_VALUE"""),"Springer")</f>
        <v>Springer</v>
      </c>
      <c r="J1920" s="1">
        <f ca="1">IFERROR(__xludf.DUMMYFUNCTION("""COMPUTED_VALUE"""),2000)</f>
        <v>2000</v>
      </c>
      <c r="K1920" s="1" t="str">
        <f ca="1">IFERROR(__xludf.DUMMYFUNCTION("""COMPUTED_VALUE"""),"Biomedical and Life Sciences")</f>
        <v>Biomedical and Life Sciences</v>
      </c>
      <c r="L1920" s="1" t="str">
        <f ca="1">IFERROR(__xludf.DUMMYFUNCTION("""COMPUTED_VALUE"""),"〇")</f>
        <v>〇</v>
      </c>
      <c r="M1920" s="1" t="str">
        <f ca="1">IFERROR(__xludf.DUMMYFUNCTION("""COMPUTED_VALUE"""),"〇")</f>
        <v>〇</v>
      </c>
      <c r="N1920" s="1"/>
      <c r="O1920" s="1"/>
      <c r="P1920" s="1"/>
    </row>
    <row r="1921" spans="1:16" ht="14.25" customHeight="1" x14ac:dyDescent="0.25">
      <c r="A1921" s="1"/>
      <c r="B1921" s="1">
        <f ca="1"/>
        <v>1909</v>
      </c>
      <c r="C1921" s="1">
        <f ca="1">IFERROR(__xludf.DUMMYFUNCTION("""COMPUTED_VALUE"""),2023)</f>
        <v>2023</v>
      </c>
      <c r="D1921" s="1">
        <f ca="1">IFERROR(__xludf.DUMMYFUNCTION("""COMPUTED_VALUE"""),44169)</f>
        <v>44169</v>
      </c>
      <c r="E1921" s="1" t="str">
        <f ca="1">IFERROR(__xludf.DUMMYFUNCTION("""COMPUTED_VALUE"""),"Reviews of Environmental Contamination and Toxicology")</f>
        <v>Reviews of Environmental Contamination and Toxicology</v>
      </c>
      <c r="F1921" s="1" t="str">
        <f ca="1">IFERROR(__xludf.DUMMYFUNCTION("""COMPUTED_VALUE"""),"2197-6554")</f>
        <v>2197-6554</v>
      </c>
      <c r="G1921" s="1" t="str">
        <f ca="1">IFERROR(__xludf.DUMMYFUNCTION("""COMPUTED_VALUE"""),"0179-5953")</f>
        <v>0179-5953</v>
      </c>
      <c r="H1921" s="27" t="str">
        <f ca="1">IFERROR(__xludf.DUMMYFUNCTION("""COMPUTED_VALUE"""),"https://link.springer.com/journal/44169")</f>
        <v>https://link.springer.com/journal/44169</v>
      </c>
      <c r="I1921" s="1" t="str">
        <f ca="1">IFERROR(__xludf.DUMMYFUNCTION("""COMPUTED_VALUE"""),"Springer")</f>
        <v>Springer</v>
      </c>
      <c r="J1921" s="1">
        <f ca="1">IFERROR(__xludf.DUMMYFUNCTION("""COMPUTED_VALUE"""),2022)</f>
        <v>2022</v>
      </c>
      <c r="K1921" s="1" t="str">
        <f ca="1">IFERROR(__xludf.DUMMYFUNCTION("""COMPUTED_VALUE"""),"Earth and Environmental Science")</f>
        <v>Earth and Environmental Science</v>
      </c>
      <c r="L1921" s="1" t="str">
        <f ca="1">IFERROR(__xludf.DUMMYFUNCTION("""COMPUTED_VALUE"""),"〇")</f>
        <v>〇</v>
      </c>
      <c r="M1921" s="1"/>
      <c r="N1921" s="1" t="str">
        <f ca="1">IFERROR(__xludf.DUMMYFUNCTION("""COMPUTED_VALUE"""),"SNS22")</f>
        <v>SNS22</v>
      </c>
      <c r="O1921" s="1"/>
      <c r="P1921" s="1"/>
    </row>
    <row r="1922" spans="1:16" ht="14.25" customHeight="1" x14ac:dyDescent="0.25">
      <c r="A1922" s="1"/>
      <c r="B1922" s="1">
        <f ca="1"/>
        <v>1910</v>
      </c>
      <c r="C1922" s="1">
        <f ca="1">IFERROR(__xludf.DUMMYFUNCTION("""COMPUTED_VALUE"""),2023)</f>
        <v>2023</v>
      </c>
      <c r="D1922" s="1">
        <f ca="1">IFERROR(__xludf.DUMMYFUNCTION("""COMPUTED_VALUE"""),41614)</f>
        <v>41614</v>
      </c>
      <c r="E1922" s="1" t="str">
        <f ca="1">IFERROR(__xludf.DUMMYFUNCTION("""COMPUTED_VALUE"""),"Reviews of Modern Plasma Physics")</f>
        <v>Reviews of Modern Plasma Physics</v>
      </c>
      <c r="F1922" s="1" t="str">
        <f ca="1">IFERROR(__xludf.DUMMYFUNCTION("""COMPUTED_VALUE"""),"2367-3192")</f>
        <v>2367-3192</v>
      </c>
      <c r="G1922" s="1"/>
      <c r="H1922" s="27" t="str">
        <f ca="1">IFERROR(__xludf.DUMMYFUNCTION("""COMPUTED_VALUE"""),"https://link.springer.com/journal/41614")</f>
        <v>https://link.springer.com/journal/41614</v>
      </c>
      <c r="I1922" s="1" t="str">
        <f ca="1">IFERROR(__xludf.DUMMYFUNCTION("""COMPUTED_VALUE"""),"Springer")</f>
        <v>Springer</v>
      </c>
      <c r="J1922" s="1">
        <f ca="1">IFERROR(__xludf.DUMMYFUNCTION("""COMPUTED_VALUE"""),2017)</f>
        <v>2017</v>
      </c>
      <c r="K1922" s="1" t="str">
        <f ca="1">IFERROR(__xludf.DUMMYFUNCTION("""COMPUTED_VALUE"""),"Physics and Astronomy")</f>
        <v>Physics and Astronomy</v>
      </c>
      <c r="L1922" s="1"/>
      <c r="M1922" s="1"/>
      <c r="N1922" s="1" t="str">
        <f ca="1">IFERROR(__xludf.DUMMYFUNCTION("""COMPUTED_VALUE"""),"SNS17")</f>
        <v>SNS17</v>
      </c>
      <c r="O1922" s="1"/>
      <c r="P1922" s="1"/>
    </row>
    <row r="1923" spans="1:16" ht="14.25" customHeight="1" x14ac:dyDescent="0.25">
      <c r="A1923" s="1"/>
      <c r="B1923" s="1">
        <f ca="1"/>
        <v>1911</v>
      </c>
      <c r="C1923" s="1">
        <f ca="1">IFERROR(__xludf.DUMMYFUNCTION("""COMPUTED_VALUE"""),2023)</f>
        <v>2023</v>
      </c>
      <c r="D1923" s="1">
        <f ca="1">IFERROR(__xludf.DUMMYFUNCTION("""COMPUTED_VALUE"""),43450)</f>
        <v>43450</v>
      </c>
      <c r="E1923" s="1" t="str">
        <f ca="1">IFERROR(__xludf.DUMMYFUNCTION("""COMPUTED_VALUE"""),"Revista Brasileira de Farmacognosia")</f>
        <v>Revista Brasileira de Farmacognosia</v>
      </c>
      <c r="F1923" s="1" t="str">
        <f ca="1">IFERROR(__xludf.DUMMYFUNCTION("""COMPUTED_VALUE"""),"1981-528X")</f>
        <v>1981-528X</v>
      </c>
      <c r="G1923" s="1"/>
      <c r="H1923" s="27" t="str">
        <f ca="1">IFERROR(__xludf.DUMMYFUNCTION("""COMPUTED_VALUE"""),"https://link.springer.com/journal/43450")</f>
        <v>https://link.springer.com/journal/43450</v>
      </c>
      <c r="I1923" s="1" t="str">
        <f ca="1">IFERROR(__xludf.DUMMYFUNCTION("""COMPUTED_VALUE"""),"Springer")</f>
        <v>Springer</v>
      </c>
      <c r="J1923" s="1">
        <f ca="1">IFERROR(__xludf.DUMMYFUNCTION("""COMPUTED_VALUE"""),2015)</f>
        <v>2015</v>
      </c>
      <c r="K1923" s="1" t="str">
        <f ca="1">IFERROR(__xludf.DUMMYFUNCTION("""COMPUTED_VALUE"""),"Medicine")</f>
        <v>Medicine</v>
      </c>
      <c r="L1923" s="1"/>
      <c r="M1923" s="1"/>
      <c r="N1923" s="1" t="str">
        <f ca="1">IFERROR(__xludf.DUMMYFUNCTION("""COMPUTED_VALUE"""),"TO20")</f>
        <v>TO20</v>
      </c>
      <c r="O1923" s="1"/>
      <c r="P1923" s="1"/>
    </row>
    <row r="1924" spans="1:16" ht="14.25" customHeight="1" x14ac:dyDescent="0.25">
      <c r="A1924" s="1"/>
      <c r="B1924" s="1">
        <f ca="1"/>
        <v>1912</v>
      </c>
      <c r="C1924" s="1">
        <f ca="1">IFERROR(__xludf.DUMMYFUNCTION("""COMPUTED_VALUE"""),2023)</f>
        <v>2023</v>
      </c>
      <c r="D1924" s="1">
        <f ca="1">IFERROR(__xludf.DUMMYFUNCTION("""COMPUTED_VALUE"""),13398)</f>
        <v>13398</v>
      </c>
      <c r="E1924" s="1" t="str">
        <f ca="1">IFERROR(__xludf.DUMMYFUNCTION("""COMPUTED_VALUE"""),"Revista de la Real Academia de Ciencias Exactas, Físicas y Naturales. Serie A. Matemáticas")</f>
        <v>Revista de la Real Academia de Ciencias Exactas, Físicas y Naturales. Serie A. Matemáticas</v>
      </c>
      <c r="F1924" s="1" t="str">
        <f ca="1">IFERROR(__xludf.DUMMYFUNCTION("""COMPUTED_VALUE"""),"1579-1505")</f>
        <v>1579-1505</v>
      </c>
      <c r="G1924" s="1" t="str">
        <f ca="1">IFERROR(__xludf.DUMMYFUNCTION("""COMPUTED_VALUE"""),"1578-7303")</f>
        <v>1578-7303</v>
      </c>
      <c r="H1924" s="27" t="str">
        <f ca="1">IFERROR(__xludf.DUMMYFUNCTION("""COMPUTED_VALUE"""),"https://link.springer.com/journal/13398")</f>
        <v>https://link.springer.com/journal/13398</v>
      </c>
      <c r="I1924" s="1" t="str">
        <f ca="1">IFERROR(__xludf.DUMMYFUNCTION("""COMPUTED_VALUE"""),"Springer")</f>
        <v>Springer</v>
      </c>
      <c r="J1924" s="1">
        <f ca="1">IFERROR(__xludf.DUMMYFUNCTION("""COMPUTED_VALUE"""),2008)</f>
        <v>2008</v>
      </c>
      <c r="K1924" s="1" t="str">
        <f ca="1">IFERROR(__xludf.DUMMYFUNCTION("""COMPUTED_VALUE"""),"Mathematics and Statistics")</f>
        <v>Mathematics and Statistics</v>
      </c>
      <c r="L1924" s="1" t="str">
        <f ca="1">IFERROR(__xludf.DUMMYFUNCTION("""COMPUTED_VALUE"""),"〇")</f>
        <v>〇</v>
      </c>
      <c r="M1924" s="1"/>
      <c r="N1924" s="1" t="str">
        <f ca="1">IFERROR(__xludf.DUMMYFUNCTION("""COMPUTED_VALUE"""),"TO11")</f>
        <v>TO11</v>
      </c>
      <c r="O1924" s="1"/>
      <c r="P1924" s="1"/>
    </row>
    <row r="1925" spans="1:16" ht="14.25" customHeight="1" x14ac:dyDescent="0.25">
      <c r="A1925" s="1"/>
      <c r="B1925" s="1">
        <f ca="1"/>
        <v>1913</v>
      </c>
      <c r="C1925" s="1">
        <f ca="1">IFERROR(__xludf.DUMMYFUNCTION("""COMPUTED_VALUE"""),2023)</f>
        <v>2023</v>
      </c>
      <c r="D1925" s="1">
        <f ca="1">IFERROR(__xludf.DUMMYFUNCTION("""COMPUTED_VALUE"""),13163)</f>
        <v>13163</v>
      </c>
      <c r="E1925" s="1" t="str">
        <f ca="1">IFERROR(__xludf.DUMMYFUNCTION("""COMPUTED_VALUE"""),"Revista Matemática Complutense")</f>
        <v>Revista Matemática Complutense</v>
      </c>
      <c r="F1925" s="1" t="str">
        <f ca="1">IFERROR(__xludf.DUMMYFUNCTION("""COMPUTED_VALUE"""),"1988-2807")</f>
        <v>1988-2807</v>
      </c>
      <c r="G1925" s="1" t="str">
        <f ca="1">IFERROR(__xludf.DUMMYFUNCTION("""COMPUTED_VALUE"""),"1139-1138")</f>
        <v>1139-1138</v>
      </c>
      <c r="H1925" s="27" t="str">
        <f ca="1">IFERROR(__xludf.DUMMYFUNCTION("""COMPUTED_VALUE"""),"https://link.springer.com/journal/13163")</f>
        <v>https://link.springer.com/journal/13163</v>
      </c>
      <c r="I1925" s="1" t="str">
        <f ca="1">IFERROR(__xludf.DUMMYFUNCTION("""COMPUTED_VALUE"""),"Springer")</f>
        <v>Springer</v>
      </c>
      <c r="J1925" s="1">
        <f ca="1">IFERROR(__xludf.DUMMYFUNCTION("""COMPUTED_VALUE"""),2010)</f>
        <v>2010</v>
      </c>
      <c r="K1925" s="1" t="str">
        <f ca="1">IFERROR(__xludf.DUMMYFUNCTION("""COMPUTED_VALUE"""),"Mathematics and Statistics")</f>
        <v>Mathematics and Statistics</v>
      </c>
      <c r="L1925" s="1" t="str">
        <f ca="1">IFERROR(__xludf.DUMMYFUNCTION("""COMPUTED_VALUE"""),"〇")</f>
        <v>〇</v>
      </c>
      <c r="M1925" s="1"/>
      <c r="N1925" s="1" t="str">
        <f ca="1">IFERROR(__xludf.DUMMYFUNCTION("""COMPUTED_VALUE"""),"TO10")</f>
        <v>TO10</v>
      </c>
      <c r="O1925" s="1"/>
      <c r="P1925" s="1"/>
    </row>
    <row r="1926" spans="1:16" ht="14.25" customHeight="1" x14ac:dyDescent="0.25">
      <c r="A1926" s="1"/>
      <c r="B1926" s="1">
        <f ca="1"/>
        <v>1914</v>
      </c>
      <c r="C1926" s="1">
        <f ca="1">IFERROR(__xludf.DUMMYFUNCTION("""COMPUTED_VALUE"""),2023)</f>
        <v>2023</v>
      </c>
      <c r="D1926" s="1">
        <f ca="1">IFERROR(__xludf.DUMMYFUNCTION("""COMPUTED_VALUE"""),397)</f>
        <v>397</v>
      </c>
      <c r="E1926" s="1" t="str">
        <f ca="1">IFERROR(__xludf.DUMMYFUNCTION("""COMPUTED_VALUE"""),"Rheologica Acta")</f>
        <v>Rheologica Acta</v>
      </c>
      <c r="F1926" s="1" t="str">
        <f ca="1">IFERROR(__xludf.DUMMYFUNCTION("""COMPUTED_VALUE"""),"1435-1528")</f>
        <v>1435-1528</v>
      </c>
      <c r="G1926" s="1" t="str">
        <f ca="1">IFERROR(__xludf.DUMMYFUNCTION("""COMPUTED_VALUE"""),"0035-4511")</f>
        <v>0035-4511</v>
      </c>
      <c r="H1926" s="27" t="str">
        <f ca="1">IFERROR(__xludf.DUMMYFUNCTION("""COMPUTED_VALUE"""),"https://link.springer.com/journal/397")</f>
        <v>https://link.springer.com/journal/397</v>
      </c>
      <c r="I1926" s="1" t="str">
        <f ca="1">IFERROR(__xludf.DUMMYFUNCTION("""COMPUTED_VALUE"""),"Springer")</f>
        <v>Springer</v>
      </c>
      <c r="J1926" s="1">
        <f ca="1">IFERROR(__xludf.DUMMYFUNCTION("""COMPUTED_VALUE"""),2000)</f>
        <v>2000</v>
      </c>
      <c r="K1926" s="1" t="str">
        <f ca="1">IFERROR(__xludf.DUMMYFUNCTION("""COMPUTED_VALUE"""),"Chemistry and Materials Science")</f>
        <v>Chemistry and Materials Science</v>
      </c>
      <c r="L1926" s="1" t="str">
        <f ca="1">IFERROR(__xludf.DUMMYFUNCTION("""COMPUTED_VALUE"""),"〇")</f>
        <v>〇</v>
      </c>
      <c r="M1926" s="1" t="str">
        <f ca="1">IFERROR(__xludf.DUMMYFUNCTION("""COMPUTED_VALUE"""),"〇")</f>
        <v>〇</v>
      </c>
      <c r="N1926" s="1"/>
      <c r="O1926" s="1"/>
      <c r="P1926" s="1"/>
    </row>
    <row r="1927" spans="1:16" ht="14.25" customHeight="1" x14ac:dyDescent="0.25">
      <c r="A1927" s="1"/>
      <c r="B1927" s="1">
        <f ca="1"/>
        <v>1915</v>
      </c>
      <c r="C1927" s="1">
        <f ca="1">IFERROR(__xludf.DUMMYFUNCTION("""COMPUTED_VALUE"""),2023)</f>
        <v>2023</v>
      </c>
      <c r="D1927" s="1">
        <f ca="1">IFERROR(__xludf.DUMMYFUNCTION("""COMPUTED_VALUE"""),12688)</f>
        <v>12688</v>
      </c>
      <c r="E1927" s="1" t="str">
        <f ca="1">IFERROR(__xludf.DUMMYFUNCTION("""COMPUTED_VALUE"""),"rheuma plus")</f>
        <v>rheuma plus</v>
      </c>
      <c r="F1927" s="1" t="str">
        <f ca="1">IFERROR(__xludf.DUMMYFUNCTION("""COMPUTED_VALUE"""),"2191-2610")</f>
        <v>2191-2610</v>
      </c>
      <c r="G1927" s="1" t="str">
        <f ca="1">IFERROR(__xludf.DUMMYFUNCTION("""COMPUTED_VALUE"""),"1868-260X")</f>
        <v>1868-260X</v>
      </c>
      <c r="H1927" s="27" t="str">
        <f ca="1">IFERROR(__xludf.DUMMYFUNCTION("""COMPUTED_VALUE"""),"https://link.springer.com/journal/12688")</f>
        <v>https://link.springer.com/journal/12688</v>
      </c>
      <c r="I1927" s="1" t="str">
        <f ca="1">IFERROR(__xludf.DUMMYFUNCTION("""COMPUTED_VALUE"""),"SpringerMedizin")</f>
        <v>SpringerMedizin</v>
      </c>
      <c r="J1927" s="1">
        <f ca="1">IFERROR(__xludf.DUMMYFUNCTION("""COMPUTED_VALUE"""),2011)</f>
        <v>2011</v>
      </c>
      <c r="K1927" s="1" t="str">
        <f ca="1">IFERROR(__xludf.DUMMYFUNCTION("""COMPUTED_VALUE"""),"Medicine")</f>
        <v>Medicine</v>
      </c>
      <c r="L1927" s="1" t="str">
        <f ca="1">IFERROR(__xludf.DUMMYFUNCTION("""COMPUTED_VALUE"""),"〇")</f>
        <v>〇</v>
      </c>
      <c r="M1927" s="1" t="str">
        <f ca="1">IFERROR(__xludf.DUMMYFUNCTION("""COMPUTED_VALUE"""),"〇")</f>
        <v>〇</v>
      </c>
      <c r="N1927" s="1"/>
      <c r="O1927" s="1"/>
      <c r="P1927" s="1"/>
    </row>
    <row r="1928" spans="1:16" ht="14.25" customHeight="1" x14ac:dyDescent="0.25">
      <c r="A1928" s="1"/>
      <c r="B1928" s="1">
        <f ca="1"/>
        <v>1916</v>
      </c>
      <c r="C1928" s="1">
        <f ca="1">IFERROR(__xludf.DUMMYFUNCTION("""COMPUTED_VALUE"""),2023)</f>
        <v>2023</v>
      </c>
      <c r="D1928" s="1">
        <f ca="1">IFERROR(__xludf.DUMMYFUNCTION("""COMPUTED_VALUE"""),296)</f>
        <v>296</v>
      </c>
      <c r="E1928" s="1" t="str">
        <f ca="1">IFERROR(__xludf.DUMMYFUNCTION("""COMPUTED_VALUE"""),"Rheumatology International")</f>
        <v>Rheumatology International</v>
      </c>
      <c r="F1928" s="1" t="str">
        <f ca="1">IFERROR(__xludf.DUMMYFUNCTION("""COMPUTED_VALUE"""),"1437-160X")</f>
        <v>1437-160X</v>
      </c>
      <c r="G1928" s="1"/>
      <c r="H1928" s="27" t="str">
        <f ca="1">IFERROR(__xludf.DUMMYFUNCTION("""COMPUTED_VALUE"""),"https://link.springer.com/journal/296")</f>
        <v>https://link.springer.com/journal/296</v>
      </c>
      <c r="I1928" s="1" t="str">
        <f ca="1">IFERROR(__xludf.DUMMYFUNCTION("""COMPUTED_VALUE"""),"Springer")</f>
        <v>Springer</v>
      </c>
      <c r="J1928" s="1">
        <f ca="1">IFERROR(__xludf.DUMMYFUNCTION("""COMPUTED_VALUE"""),2000)</f>
        <v>2000</v>
      </c>
      <c r="K1928" s="1" t="str">
        <f ca="1">IFERROR(__xludf.DUMMYFUNCTION("""COMPUTED_VALUE"""),"Medicine")</f>
        <v>Medicine</v>
      </c>
      <c r="L1928" s="1"/>
      <c r="M1928" s="1" t="str">
        <f ca="1">IFERROR(__xludf.DUMMYFUNCTION("""COMPUTED_VALUE"""),"〇")</f>
        <v>〇</v>
      </c>
      <c r="N1928" s="1"/>
      <c r="O1928" s="1"/>
      <c r="P1928" s="1"/>
    </row>
    <row r="1929" spans="1:16" ht="14.25" customHeight="1" x14ac:dyDescent="0.25">
      <c r="A1929" s="1"/>
      <c r="B1929" s="1">
        <f ca="1"/>
        <v>1917</v>
      </c>
      <c r="C1929" s="1">
        <f ca="1">IFERROR(__xludf.DUMMYFUNCTION("""COMPUTED_VALUE"""),2023)</f>
        <v>2023</v>
      </c>
      <c r="D1929" s="1">
        <f ca="1">IFERROR(__xludf.DUMMYFUNCTION("""COMPUTED_VALUE"""),11587)</f>
        <v>11587</v>
      </c>
      <c r="E1929" s="1" t="str">
        <f ca="1">IFERROR(__xludf.DUMMYFUNCTION("""COMPUTED_VALUE"""),"Ricerche di Matematica")</f>
        <v>Ricerche di Matematica</v>
      </c>
      <c r="F1929" s="1" t="str">
        <f ca="1">IFERROR(__xludf.DUMMYFUNCTION("""COMPUTED_VALUE"""),"1827-3491")</f>
        <v>1827-3491</v>
      </c>
      <c r="G1929" s="1" t="str">
        <f ca="1">IFERROR(__xludf.DUMMYFUNCTION("""COMPUTED_VALUE"""),"0035-5038")</f>
        <v>0035-5038</v>
      </c>
      <c r="H1929" s="27" t="str">
        <f ca="1">IFERROR(__xludf.DUMMYFUNCTION("""COMPUTED_VALUE"""),"https://link.springer.com/journal/11587")</f>
        <v>https://link.springer.com/journal/11587</v>
      </c>
      <c r="I1929" s="1" t="str">
        <f ca="1">IFERROR(__xludf.DUMMYFUNCTION("""COMPUTED_VALUE"""),"Springer")</f>
        <v>Springer</v>
      </c>
      <c r="J1929" s="1">
        <f ca="1">IFERROR(__xludf.DUMMYFUNCTION("""COMPUTED_VALUE"""),2006)</f>
        <v>2006</v>
      </c>
      <c r="K1929" s="1" t="str">
        <f ca="1">IFERROR(__xludf.DUMMYFUNCTION("""COMPUTED_VALUE"""),"Mathematics and Statistics")</f>
        <v>Mathematics and Statistics</v>
      </c>
      <c r="L1929" s="1" t="str">
        <f ca="1">IFERROR(__xludf.DUMMYFUNCTION("""COMPUTED_VALUE"""),"〇")</f>
        <v>〇</v>
      </c>
      <c r="M1929" s="1" t="str">
        <f ca="1">IFERROR(__xludf.DUMMYFUNCTION("""COMPUTED_VALUE"""),"〇")</f>
        <v>〇</v>
      </c>
      <c r="N1929" s="1" t="str">
        <f ca="1">IFERROR(__xludf.DUMMYFUNCTION("""COMPUTED_VALUE"""),"TO7")</f>
        <v>TO7</v>
      </c>
      <c r="O1929" s="1"/>
      <c r="P1929" s="1"/>
    </row>
    <row r="1930" spans="1:16" ht="14.25" customHeight="1" x14ac:dyDescent="0.25">
      <c r="A1930" s="1"/>
      <c r="B1930" s="1">
        <f ca="1"/>
        <v>1918</v>
      </c>
      <c r="C1930" s="1">
        <f ca="1">IFERROR(__xludf.DUMMYFUNCTION("""COMPUTED_VALUE"""),2023)</f>
        <v>2023</v>
      </c>
      <c r="D1930" s="1">
        <f ca="1">IFERROR(__xludf.DUMMYFUNCTION("""COMPUTED_VALUE"""),603)</f>
        <v>603</v>
      </c>
      <c r="E1930" s="1" t="str">
        <f ca="1">IFERROR(__xludf.DUMMYFUNCTION("""COMPUTED_VALUE"""),"Rock Mechanics and Rock Engineering")</f>
        <v>Rock Mechanics and Rock Engineering</v>
      </c>
      <c r="F1930" s="1" t="str">
        <f ca="1">IFERROR(__xludf.DUMMYFUNCTION("""COMPUTED_VALUE"""),"1434-453X")</f>
        <v>1434-453X</v>
      </c>
      <c r="G1930" s="1" t="str">
        <f ca="1">IFERROR(__xludf.DUMMYFUNCTION("""COMPUTED_VALUE"""),"0723-2632")</f>
        <v>0723-2632</v>
      </c>
      <c r="H1930" s="27" t="str">
        <f ca="1">IFERROR(__xludf.DUMMYFUNCTION("""COMPUTED_VALUE"""),"https://link.springer.com/journal/603")</f>
        <v>https://link.springer.com/journal/603</v>
      </c>
      <c r="I1930" s="1" t="str">
        <f ca="1">IFERROR(__xludf.DUMMYFUNCTION("""COMPUTED_VALUE"""),"Springer")</f>
        <v>Springer</v>
      </c>
      <c r="J1930" s="1">
        <f ca="1">IFERROR(__xludf.DUMMYFUNCTION("""COMPUTED_VALUE"""),2000)</f>
        <v>2000</v>
      </c>
      <c r="K1930" s="1" t="str">
        <f ca="1">IFERROR(__xludf.DUMMYFUNCTION("""COMPUTED_VALUE"""),"Earth and Environmental Science")</f>
        <v>Earth and Environmental Science</v>
      </c>
      <c r="L1930" s="1" t="str">
        <f ca="1">IFERROR(__xludf.DUMMYFUNCTION("""COMPUTED_VALUE"""),"〇")</f>
        <v>〇</v>
      </c>
      <c r="M1930" s="1" t="str">
        <f ca="1">IFERROR(__xludf.DUMMYFUNCTION("""COMPUTED_VALUE"""),"〇")</f>
        <v>〇</v>
      </c>
      <c r="N1930" s="1"/>
      <c r="O1930" s="1"/>
      <c r="P1930" s="1"/>
    </row>
    <row r="1931" spans="1:16" ht="14.25" customHeight="1" x14ac:dyDescent="0.25">
      <c r="A1931" s="1"/>
      <c r="B1931" s="1">
        <f ca="1"/>
        <v>1919</v>
      </c>
      <c r="C1931" s="1">
        <f ca="1">IFERROR(__xludf.DUMMYFUNCTION("""COMPUTED_VALUE"""),2023)</f>
        <v>2023</v>
      </c>
      <c r="D1931" s="1">
        <f ca="1">IFERROR(__xludf.DUMMYFUNCTION("""COMPUTED_VALUE"""),11977)</f>
        <v>11977</v>
      </c>
      <c r="E1931" s="1" t="str">
        <f ca="1">IFERROR(__xludf.DUMMYFUNCTION("""COMPUTED_VALUE"""),"Russian Aeronautics")</f>
        <v>Russian Aeronautics</v>
      </c>
      <c r="F1931" s="1" t="str">
        <f ca="1">IFERROR(__xludf.DUMMYFUNCTION("""COMPUTED_VALUE"""),"1934-7901")</f>
        <v>1934-7901</v>
      </c>
      <c r="G1931" s="1" t="str">
        <f ca="1">IFERROR(__xludf.DUMMYFUNCTION("""COMPUTED_VALUE"""),"1068-7998")</f>
        <v>1068-7998</v>
      </c>
      <c r="H1931" s="27" t="str">
        <f ca="1">IFERROR(__xludf.DUMMYFUNCTION("""COMPUTED_VALUE"""),"https://link.springer.com/journal/11977")</f>
        <v>https://link.springer.com/journal/11977</v>
      </c>
      <c r="I1931" s="1" t="str">
        <f ca="1">IFERROR(__xludf.DUMMYFUNCTION("""COMPUTED_VALUE"""),"Pleiades Publishing")</f>
        <v>Pleiades Publishing</v>
      </c>
      <c r="J1931" s="1">
        <f ca="1">IFERROR(__xludf.DUMMYFUNCTION("""COMPUTED_VALUE"""),2007)</f>
        <v>2007</v>
      </c>
      <c r="K1931" s="1" t="str">
        <f ca="1">IFERROR(__xludf.DUMMYFUNCTION("""COMPUTED_VALUE"""),"Engineering")</f>
        <v>Engineering</v>
      </c>
      <c r="L1931" s="1" t="str">
        <f ca="1">IFERROR(__xludf.DUMMYFUNCTION("""COMPUTED_VALUE"""),"〇")</f>
        <v>〇</v>
      </c>
      <c r="M1931" s="1" t="str">
        <f ca="1">IFERROR(__xludf.DUMMYFUNCTION("""COMPUTED_VALUE"""),"〇")</f>
        <v>〇</v>
      </c>
      <c r="N1931" s="1" t="str">
        <f ca="1">IFERROR(__xludf.DUMMYFUNCTION("""COMPUTED_VALUE"""),"TO7")</f>
        <v>TO7</v>
      </c>
      <c r="O1931" s="1"/>
      <c r="P1931" s="1"/>
    </row>
    <row r="1932" spans="1:16" ht="14.25" customHeight="1" x14ac:dyDescent="0.25">
      <c r="A1932" s="1"/>
      <c r="B1932" s="1">
        <f ca="1"/>
        <v>1920</v>
      </c>
      <c r="C1932" s="1">
        <f ca="1">IFERROR(__xludf.DUMMYFUNCTION("""COMPUTED_VALUE"""),2023)</f>
        <v>2023</v>
      </c>
      <c r="D1932" s="1">
        <f ca="1">IFERROR(__xludf.DUMMYFUNCTION("""COMPUTED_VALUE"""),11978)</f>
        <v>11978</v>
      </c>
      <c r="E1932" s="1" t="str">
        <f ca="1">IFERROR(__xludf.DUMMYFUNCTION("""COMPUTED_VALUE"""),"Russian Agricultural Sciences")</f>
        <v>Russian Agricultural Sciences</v>
      </c>
      <c r="F1932" s="1" t="str">
        <f ca="1">IFERROR(__xludf.DUMMYFUNCTION("""COMPUTED_VALUE"""),"1934-8037")</f>
        <v>1934-8037</v>
      </c>
      <c r="G1932" s="1" t="str">
        <f ca="1">IFERROR(__xludf.DUMMYFUNCTION("""COMPUTED_VALUE"""),"1068-3674")</f>
        <v>1068-3674</v>
      </c>
      <c r="H1932" s="27" t="str">
        <f ca="1">IFERROR(__xludf.DUMMYFUNCTION("""COMPUTED_VALUE"""),"https://link.springer.com/journal/11978")</f>
        <v>https://link.springer.com/journal/11978</v>
      </c>
      <c r="I1932" s="1" t="str">
        <f ca="1">IFERROR(__xludf.DUMMYFUNCTION("""COMPUTED_VALUE"""),"Pleiades Publishing")</f>
        <v>Pleiades Publishing</v>
      </c>
      <c r="J1932" s="1">
        <f ca="1">IFERROR(__xludf.DUMMYFUNCTION("""COMPUTED_VALUE"""),2007)</f>
        <v>2007</v>
      </c>
      <c r="K1932" s="1" t="str">
        <f ca="1">IFERROR(__xludf.DUMMYFUNCTION("""COMPUTED_VALUE"""),"Biomedical and Life Sciences")</f>
        <v>Biomedical and Life Sciences</v>
      </c>
      <c r="L1932" s="1" t="str">
        <f ca="1">IFERROR(__xludf.DUMMYFUNCTION("""COMPUTED_VALUE"""),"〇")</f>
        <v>〇</v>
      </c>
      <c r="M1932" s="1" t="str">
        <f ca="1">IFERROR(__xludf.DUMMYFUNCTION("""COMPUTED_VALUE"""),"〇")</f>
        <v>〇</v>
      </c>
      <c r="N1932" s="1" t="str">
        <f ca="1">IFERROR(__xludf.DUMMYFUNCTION("""COMPUTED_VALUE"""),"TO7")</f>
        <v>TO7</v>
      </c>
      <c r="O1932" s="1"/>
      <c r="P1932" s="1"/>
    </row>
    <row r="1933" spans="1:16" ht="14.25" customHeight="1" x14ac:dyDescent="0.25">
      <c r="A1933" s="1"/>
      <c r="B1933" s="1">
        <f ca="1"/>
        <v>1921</v>
      </c>
      <c r="C1933" s="1">
        <f ca="1">IFERROR(__xludf.DUMMYFUNCTION("""COMPUTED_VALUE"""),2023)</f>
        <v>2023</v>
      </c>
      <c r="D1933" s="1">
        <f ca="1">IFERROR(__xludf.DUMMYFUNCTION("""COMPUTED_VALUE"""),11172)</f>
        <v>11172</v>
      </c>
      <c r="E1933" s="1" t="str">
        <f ca="1">IFERROR(__xludf.DUMMYFUNCTION("""COMPUTED_VALUE"""),"Russian Chemical Bulletin")</f>
        <v>Russian Chemical Bulletin</v>
      </c>
      <c r="F1933" s="1" t="str">
        <f ca="1">IFERROR(__xludf.DUMMYFUNCTION("""COMPUTED_VALUE"""),"1573-9171")</f>
        <v>1573-9171</v>
      </c>
      <c r="G1933" s="1" t="str">
        <f ca="1">IFERROR(__xludf.DUMMYFUNCTION("""COMPUTED_VALUE"""),"1066-5285")</f>
        <v>1066-5285</v>
      </c>
      <c r="H1933" s="27" t="str">
        <f ca="1">IFERROR(__xludf.DUMMYFUNCTION("""COMPUTED_VALUE"""),"https://link.springer.com/journal/11172")</f>
        <v>https://link.springer.com/journal/11172</v>
      </c>
      <c r="I1933" s="1" t="str">
        <f ca="1">IFERROR(__xludf.DUMMYFUNCTION("""COMPUTED_VALUE"""),"Springer")</f>
        <v>Springer</v>
      </c>
      <c r="J1933" s="1">
        <f ca="1">IFERROR(__xludf.DUMMYFUNCTION("""COMPUTED_VALUE"""),2000)</f>
        <v>2000</v>
      </c>
      <c r="K1933" s="1" t="str">
        <f ca="1">IFERROR(__xludf.DUMMYFUNCTION("""COMPUTED_VALUE"""),"Chemistry and Materials Science")</f>
        <v>Chemistry and Materials Science</v>
      </c>
      <c r="L1933" s="1" t="str">
        <f ca="1">IFERROR(__xludf.DUMMYFUNCTION("""COMPUTED_VALUE"""),"〇")</f>
        <v>〇</v>
      </c>
      <c r="M1933" s="1" t="str">
        <f ca="1">IFERROR(__xludf.DUMMYFUNCTION("""COMPUTED_VALUE"""),"〇")</f>
        <v>〇</v>
      </c>
      <c r="N1933" s="1"/>
      <c r="O1933" s="1"/>
      <c r="P1933" s="1"/>
    </row>
    <row r="1934" spans="1:16" ht="14.25" customHeight="1" x14ac:dyDescent="0.25">
      <c r="A1934" s="1"/>
      <c r="B1934" s="1">
        <f ca="1"/>
        <v>1922</v>
      </c>
      <c r="C1934" s="1">
        <f ca="1">IFERROR(__xludf.DUMMYFUNCTION("""COMPUTED_VALUE"""),2023)</f>
        <v>2023</v>
      </c>
      <c r="D1934" s="1">
        <f ca="1">IFERROR(__xludf.DUMMYFUNCTION("""COMPUTED_VALUE"""),11979)</f>
        <v>11979</v>
      </c>
      <c r="E1934" s="1" t="str">
        <f ca="1">IFERROR(__xludf.DUMMYFUNCTION("""COMPUTED_VALUE"""),"Russian Electrical Engineering")</f>
        <v>Russian Electrical Engineering</v>
      </c>
      <c r="F1934" s="1" t="str">
        <f ca="1">IFERROR(__xludf.DUMMYFUNCTION("""COMPUTED_VALUE"""),"1934-8010")</f>
        <v>1934-8010</v>
      </c>
      <c r="G1934" s="1" t="str">
        <f ca="1">IFERROR(__xludf.DUMMYFUNCTION("""COMPUTED_VALUE"""),"1068-3712")</f>
        <v>1068-3712</v>
      </c>
      <c r="H1934" s="27" t="str">
        <f ca="1">IFERROR(__xludf.DUMMYFUNCTION("""COMPUTED_VALUE"""),"https://link.springer.com/journal/11979")</f>
        <v>https://link.springer.com/journal/11979</v>
      </c>
      <c r="I1934" s="1" t="str">
        <f ca="1">IFERROR(__xludf.DUMMYFUNCTION("""COMPUTED_VALUE"""),"Pleiades Publishing")</f>
        <v>Pleiades Publishing</v>
      </c>
      <c r="J1934" s="1">
        <f ca="1">IFERROR(__xludf.DUMMYFUNCTION("""COMPUTED_VALUE"""),2007)</f>
        <v>2007</v>
      </c>
      <c r="K1934" s="1" t="str">
        <f ca="1">IFERROR(__xludf.DUMMYFUNCTION("""COMPUTED_VALUE"""),"Engineering")</f>
        <v>Engineering</v>
      </c>
      <c r="L1934" s="1" t="str">
        <f ca="1">IFERROR(__xludf.DUMMYFUNCTION("""COMPUTED_VALUE"""),"〇")</f>
        <v>〇</v>
      </c>
      <c r="M1934" s="1" t="str">
        <f ca="1">IFERROR(__xludf.DUMMYFUNCTION("""COMPUTED_VALUE"""),"〇")</f>
        <v>〇</v>
      </c>
      <c r="N1934" s="1" t="str">
        <f ca="1">IFERROR(__xludf.DUMMYFUNCTION("""COMPUTED_VALUE"""),"TO7")</f>
        <v>TO7</v>
      </c>
      <c r="O1934" s="1"/>
      <c r="P1934" s="1"/>
    </row>
    <row r="1935" spans="1:16" ht="14.25" customHeight="1" x14ac:dyDescent="0.25">
      <c r="A1935" s="1"/>
      <c r="B1935" s="1">
        <f ca="1"/>
        <v>1923</v>
      </c>
      <c r="C1935" s="1">
        <f ca="1">IFERROR(__xludf.DUMMYFUNCTION("""COMPUTED_VALUE"""),2023)</f>
        <v>2023</v>
      </c>
      <c r="D1935" s="1">
        <f ca="1">IFERROR(__xludf.DUMMYFUNCTION("""COMPUTED_VALUE"""),11980)</f>
        <v>11980</v>
      </c>
      <c r="E1935" s="1" t="str">
        <f ca="1">IFERROR(__xludf.DUMMYFUNCTION("""COMPUTED_VALUE"""),"Russian Engineering Research")</f>
        <v>Russian Engineering Research</v>
      </c>
      <c r="F1935" s="1" t="str">
        <f ca="1">IFERROR(__xludf.DUMMYFUNCTION("""COMPUTED_VALUE"""),"1934-8088")</f>
        <v>1934-8088</v>
      </c>
      <c r="G1935" s="1" t="str">
        <f ca="1">IFERROR(__xludf.DUMMYFUNCTION("""COMPUTED_VALUE"""),"1068-798X")</f>
        <v>1068-798X</v>
      </c>
      <c r="H1935" s="27" t="str">
        <f ca="1">IFERROR(__xludf.DUMMYFUNCTION("""COMPUTED_VALUE"""),"https://link.springer.com/journal/11980")</f>
        <v>https://link.springer.com/journal/11980</v>
      </c>
      <c r="I1935" s="1" t="str">
        <f ca="1">IFERROR(__xludf.DUMMYFUNCTION("""COMPUTED_VALUE"""),"Pleiades Publishing")</f>
        <v>Pleiades Publishing</v>
      </c>
      <c r="J1935" s="1">
        <f ca="1">IFERROR(__xludf.DUMMYFUNCTION("""COMPUTED_VALUE"""),2007)</f>
        <v>2007</v>
      </c>
      <c r="K1935" s="1" t="str">
        <f ca="1">IFERROR(__xludf.DUMMYFUNCTION("""COMPUTED_VALUE"""),"Engineering")</f>
        <v>Engineering</v>
      </c>
      <c r="L1935" s="1" t="str">
        <f ca="1">IFERROR(__xludf.DUMMYFUNCTION("""COMPUTED_VALUE"""),"〇")</f>
        <v>〇</v>
      </c>
      <c r="M1935" s="1" t="str">
        <f ca="1">IFERROR(__xludf.DUMMYFUNCTION("""COMPUTED_VALUE"""),"〇")</f>
        <v>〇</v>
      </c>
      <c r="N1935" s="1" t="str">
        <f ca="1">IFERROR(__xludf.DUMMYFUNCTION("""COMPUTED_VALUE"""),"TO7")</f>
        <v>TO7</v>
      </c>
      <c r="O1935" s="1"/>
      <c r="P1935" s="1"/>
    </row>
    <row r="1936" spans="1:16" ht="14.25" customHeight="1" x14ac:dyDescent="0.25">
      <c r="A1936" s="1"/>
      <c r="B1936" s="1">
        <f ca="1"/>
        <v>1924</v>
      </c>
      <c r="C1936" s="1">
        <f ca="1">IFERROR(__xludf.DUMMYFUNCTION("""COMPUTED_VALUE"""),2023)</f>
        <v>2023</v>
      </c>
      <c r="D1936" s="1">
        <f ca="1">IFERROR(__xludf.DUMMYFUNCTION("""COMPUTED_VALUE"""),11167)</f>
        <v>11167</v>
      </c>
      <c r="E1936" s="1" t="str">
        <f ca="1">IFERROR(__xludf.DUMMYFUNCTION("""COMPUTED_VALUE"""),"Russian Journal of Applied Chemistry")</f>
        <v>Russian Journal of Applied Chemistry</v>
      </c>
      <c r="F1936" s="1" t="str">
        <f ca="1">IFERROR(__xludf.DUMMYFUNCTION("""COMPUTED_VALUE"""),"1608-3296")</f>
        <v>1608-3296</v>
      </c>
      <c r="G1936" s="1" t="str">
        <f ca="1">IFERROR(__xludf.DUMMYFUNCTION("""COMPUTED_VALUE"""),"1070-4272")</f>
        <v>1070-4272</v>
      </c>
      <c r="H1936" s="27" t="str">
        <f ca="1">IFERROR(__xludf.DUMMYFUNCTION("""COMPUTED_VALUE"""),"https://link.springer.com/journal/11167")</f>
        <v>https://link.springer.com/journal/11167</v>
      </c>
      <c r="I1936" s="1" t="str">
        <f ca="1">IFERROR(__xludf.DUMMYFUNCTION("""COMPUTED_VALUE"""),"Pleiades Publishing")</f>
        <v>Pleiades Publishing</v>
      </c>
      <c r="J1936" s="1">
        <f ca="1">IFERROR(__xludf.DUMMYFUNCTION("""COMPUTED_VALUE"""),2001)</f>
        <v>2001</v>
      </c>
      <c r="K1936" s="1" t="str">
        <f ca="1">IFERROR(__xludf.DUMMYFUNCTION("""COMPUTED_VALUE"""),"Chemistry and Materials Science")</f>
        <v>Chemistry and Materials Science</v>
      </c>
      <c r="L1936" s="1" t="str">
        <f ca="1">IFERROR(__xludf.DUMMYFUNCTION("""COMPUTED_VALUE"""),"〇")</f>
        <v>〇</v>
      </c>
      <c r="M1936" s="1" t="str">
        <f ca="1">IFERROR(__xludf.DUMMYFUNCTION("""COMPUTED_VALUE"""),"〇")</f>
        <v>〇</v>
      </c>
      <c r="N1936" s="1"/>
      <c r="O1936" s="1"/>
      <c r="P1936" s="1"/>
    </row>
    <row r="1937" spans="1:16" ht="14.25" customHeight="1" x14ac:dyDescent="0.25">
      <c r="A1937" s="1"/>
      <c r="B1937" s="1">
        <f ca="1"/>
        <v>1925</v>
      </c>
      <c r="C1937" s="1">
        <f ca="1">IFERROR(__xludf.DUMMYFUNCTION("""COMPUTED_VALUE"""),2023)</f>
        <v>2023</v>
      </c>
      <c r="D1937" s="1">
        <f ca="1">IFERROR(__xludf.DUMMYFUNCTION("""COMPUTED_VALUE"""),13168)</f>
        <v>13168</v>
      </c>
      <c r="E1937" s="1" t="str">
        <f ca="1">IFERROR(__xludf.DUMMYFUNCTION("""COMPUTED_VALUE"""),"Russian Journal of Biological Invasions")</f>
        <v>Russian Journal of Biological Invasions</v>
      </c>
      <c r="F1937" s="1" t="str">
        <f ca="1">IFERROR(__xludf.DUMMYFUNCTION("""COMPUTED_VALUE"""),"2075-1125")</f>
        <v>2075-1125</v>
      </c>
      <c r="G1937" s="1" t="str">
        <f ca="1">IFERROR(__xludf.DUMMYFUNCTION("""COMPUTED_VALUE"""),"2075-1117")</f>
        <v>2075-1117</v>
      </c>
      <c r="H1937" s="27" t="str">
        <f ca="1">IFERROR(__xludf.DUMMYFUNCTION("""COMPUTED_VALUE"""),"https://link.springer.com/journal/13168")</f>
        <v>https://link.springer.com/journal/13168</v>
      </c>
      <c r="I1937" s="1" t="str">
        <f ca="1">IFERROR(__xludf.DUMMYFUNCTION("""COMPUTED_VALUE"""),"Pleiades Publishing")</f>
        <v>Pleiades Publishing</v>
      </c>
      <c r="J1937" s="1">
        <f ca="1">IFERROR(__xludf.DUMMYFUNCTION("""COMPUTED_VALUE"""),2010)</f>
        <v>2010</v>
      </c>
      <c r="K1937" s="1" t="str">
        <f ca="1">IFERROR(__xludf.DUMMYFUNCTION("""COMPUTED_VALUE"""),"Biomedical and Life Sciences")</f>
        <v>Biomedical and Life Sciences</v>
      </c>
      <c r="L1937" s="1" t="str">
        <f ca="1">IFERROR(__xludf.DUMMYFUNCTION("""COMPUTED_VALUE"""),"〇")</f>
        <v>〇</v>
      </c>
      <c r="M1937" s="1" t="str">
        <f ca="1">IFERROR(__xludf.DUMMYFUNCTION("""COMPUTED_VALUE"""),"〇")</f>
        <v>〇</v>
      </c>
      <c r="N1937" s="1" t="str">
        <f ca="1">IFERROR(__xludf.DUMMYFUNCTION("""COMPUTED_VALUE"""),"SNS10")</f>
        <v>SNS10</v>
      </c>
      <c r="O1937" s="1"/>
      <c r="P1937" s="1"/>
    </row>
    <row r="1938" spans="1:16" ht="14.25" customHeight="1" x14ac:dyDescent="0.25">
      <c r="A1938" s="1"/>
      <c r="B1938" s="1">
        <f ca="1"/>
        <v>1926</v>
      </c>
      <c r="C1938" s="1">
        <f ca="1">IFERROR(__xludf.DUMMYFUNCTION("""COMPUTED_VALUE"""),2023)</f>
        <v>2023</v>
      </c>
      <c r="D1938" s="1">
        <f ca="1">IFERROR(__xludf.DUMMYFUNCTION("""COMPUTED_VALUE"""),11171)</f>
        <v>11171</v>
      </c>
      <c r="E1938" s="1" t="str">
        <f ca="1">IFERROR(__xludf.DUMMYFUNCTION("""COMPUTED_VALUE"""),"Russian Journal of Bioorganic Chemistry")</f>
        <v>Russian Journal of Bioorganic Chemistry</v>
      </c>
      <c r="F1938" s="1" t="str">
        <f ca="1">IFERROR(__xludf.DUMMYFUNCTION("""COMPUTED_VALUE"""),"1608-330X")</f>
        <v>1608-330X</v>
      </c>
      <c r="G1938" s="1" t="str">
        <f ca="1">IFERROR(__xludf.DUMMYFUNCTION("""COMPUTED_VALUE"""),"1068-1620")</f>
        <v>1068-1620</v>
      </c>
      <c r="H1938" s="27" t="str">
        <f ca="1">IFERROR(__xludf.DUMMYFUNCTION("""COMPUTED_VALUE"""),"https://link.springer.com/journal/11171")</f>
        <v>https://link.springer.com/journal/11171</v>
      </c>
      <c r="I1938" s="1" t="str">
        <f ca="1">IFERROR(__xludf.DUMMYFUNCTION("""COMPUTED_VALUE"""),"Pleiades Publishing")</f>
        <v>Pleiades Publishing</v>
      </c>
      <c r="J1938" s="1">
        <f ca="1">IFERROR(__xludf.DUMMYFUNCTION("""COMPUTED_VALUE"""),2000)</f>
        <v>2000</v>
      </c>
      <c r="K1938" s="1" t="str">
        <f ca="1">IFERROR(__xludf.DUMMYFUNCTION("""COMPUTED_VALUE"""),"Biomedical and Life Sciences")</f>
        <v>Biomedical and Life Sciences</v>
      </c>
      <c r="L1938" s="1" t="str">
        <f ca="1">IFERROR(__xludf.DUMMYFUNCTION("""COMPUTED_VALUE"""),"〇")</f>
        <v>〇</v>
      </c>
      <c r="M1938" s="1" t="str">
        <f ca="1">IFERROR(__xludf.DUMMYFUNCTION("""COMPUTED_VALUE"""),"〇")</f>
        <v>〇</v>
      </c>
      <c r="N1938" s="1"/>
      <c r="O1938" s="1"/>
      <c r="P1938" s="1"/>
    </row>
    <row r="1939" spans="1:16" ht="14.25" customHeight="1" x14ac:dyDescent="0.25">
      <c r="A1939" s="1"/>
      <c r="B1939" s="1">
        <f ca="1"/>
        <v>1927</v>
      </c>
      <c r="C1939" s="1">
        <f ca="1">IFERROR(__xludf.DUMMYFUNCTION("""COMPUTED_VALUE"""),2023)</f>
        <v>2023</v>
      </c>
      <c r="D1939" s="1">
        <f ca="1">IFERROR(__xludf.DUMMYFUNCTION("""COMPUTED_VALUE"""),11173)</f>
        <v>11173</v>
      </c>
      <c r="E1939" s="1" t="str">
        <f ca="1">IFERROR(__xludf.DUMMYFUNCTION("""COMPUTED_VALUE"""),"Russian Journal of Coordination Chemistry")</f>
        <v>Russian Journal of Coordination Chemistry</v>
      </c>
      <c r="F1939" s="1" t="str">
        <f ca="1">IFERROR(__xludf.DUMMYFUNCTION("""COMPUTED_VALUE"""),"1608-3318")</f>
        <v>1608-3318</v>
      </c>
      <c r="G1939" s="1" t="str">
        <f ca="1">IFERROR(__xludf.DUMMYFUNCTION("""COMPUTED_VALUE"""),"1070-3284")</f>
        <v>1070-3284</v>
      </c>
      <c r="H1939" s="27" t="str">
        <f ca="1">IFERROR(__xludf.DUMMYFUNCTION("""COMPUTED_VALUE"""),"https://link.springer.com/journal/11173")</f>
        <v>https://link.springer.com/journal/11173</v>
      </c>
      <c r="I1939" s="1" t="str">
        <f ca="1">IFERROR(__xludf.DUMMYFUNCTION("""COMPUTED_VALUE"""),"Pleiades Publishing")</f>
        <v>Pleiades Publishing</v>
      </c>
      <c r="J1939" s="1">
        <f ca="1">IFERROR(__xludf.DUMMYFUNCTION("""COMPUTED_VALUE"""),2000)</f>
        <v>2000</v>
      </c>
      <c r="K1939" s="1" t="str">
        <f ca="1">IFERROR(__xludf.DUMMYFUNCTION("""COMPUTED_VALUE"""),"Chemistry and Materials Science")</f>
        <v>Chemistry and Materials Science</v>
      </c>
      <c r="L1939" s="1" t="str">
        <f ca="1">IFERROR(__xludf.DUMMYFUNCTION("""COMPUTED_VALUE"""),"〇")</f>
        <v>〇</v>
      </c>
      <c r="M1939" s="1" t="str">
        <f ca="1">IFERROR(__xludf.DUMMYFUNCTION("""COMPUTED_VALUE"""),"〇")</f>
        <v>〇</v>
      </c>
      <c r="N1939" s="1"/>
      <c r="O1939" s="1"/>
      <c r="P1939" s="1"/>
    </row>
    <row r="1940" spans="1:16" ht="14.25" customHeight="1" x14ac:dyDescent="0.25">
      <c r="A1940" s="1"/>
      <c r="B1940" s="1">
        <f ca="1"/>
        <v>1928</v>
      </c>
      <c r="C1940" s="1">
        <f ca="1">IFERROR(__xludf.DUMMYFUNCTION("""COMPUTED_VALUE"""),2023)</f>
        <v>2023</v>
      </c>
      <c r="D1940" s="1">
        <f ca="1">IFERROR(__xludf.DUMMYFUNCTION("""COMPUTED_VALUE"""),11174)</f>
        <v>11174</v>
      </c>
      <c r="E1940" s="1" t="str">
        <f ca="1">IFERROR(__xludf.DUMMYFUNCTION("""COMPUTED_VALUE"""),"Russian Journal of Developmental Biology")</f>
        <v>Russian Journal of Developmental Biology</v>
      </c>
      <c r="F1940" s="1" t="str">
        <f ca="1">IFERROR(__xludf.DUMMYFUNCTION("""COMPUTED_VALUE"""),"1608-3326")</f>
        <v>1608-3326</v>
      </c>
      <c r="G1940" s="1" t="str">
        <f ca="1">IFERROR(__xludf.DUMMYFUNCTION("""COMPUTED_VALUE"""),"1062-3604")</f>
        <v>1062-3604</v>
      </c>
      <c r="H1940" s="27" t="str">
        <f ca="1">IFERROR(__xludf.DUMMYFUNCTION("""COMPUTED_VALUE"""),"https://link.springer.com/journal/11174")</f>
        <v>https://link.springer.com/journal/11174</v>
      </c>
      <c r="I1940" s="1" t="str">
        <f ca="1">IFERROR(__xludf.DUMMYFUNCTION("""COMPUTED_VALUE"""),"Pleiades Publishing")</f>
        <v>Pleiades Publishing</v>
      </c>
      <c r="J1940" s="1">
        <f ca="1">IFERROR(__xludf.DUMMYFUNCTION("""COMPUTED_VALUE"""),2000)</f>
        <v>2000</v>
      </c>
      <c r="K1940" s="1" t="str">
        <f ca="1">IFERROR(__xludf.DUMMYFUNCTION("""COMPUTED_VALUE"""),"Biomedical and Life Sciences")</f>
        <v>Biomedical and Life Sciences</v>
      </c>
      <c r="L1940" s="1" t="str">
        <f ca="1">IFERROR(__xludf.DUMMYFUNCTION("""COMPUTED_VALUE"""),"〇")</f>
        <v>〇</v>
      </c>
      <c r="M1940" s="1" t="str">
        <f ca="1">IFERROR(__xludf.DUMMYFUNCTION("""COMPUTED_VALUE"""),"〇")</f>
        <v>〇</v>
      </c>
      <c r="N1940" s="1"/>
      <c r="O1940" s="1"/>
      <c r="P1940" s="1"/>
    </row>
    <row r="1941" spans="1:16" ht="14.25" customHeight="1" x14ac:dyDescent="0.25">
      <c r="A1941" s="1"/>
      <c r="B1941" s="1">
        <f ca="1"/>
        <v>1929</v>
      </c>
      <c r="C1941" s="1">
        <f ca="1">IFERROR(__xludf.DUMMYFUNCTION("""COMPUTED_VALUE"""),2023)</f>
        <v>2023</v>
      </c>
      <c r="D1941" s="1">
        <f ca="1">IFERROR(__xludf.DUMMYFUNCTION("""COMPUTED_VALUE"""),11184)</f>
        <v>11184</v>
      </c>
      <c r="E1941" s="1" t="str">
        <f ca="1">IFERROR(__xludf.DUMMYFUNCTION("""COMPUTED_VALUE"""),"Russian Journal of Ecology")</f>
        <v>Russian Journal of Ecology</v>
      </c>
      <c r="F1941" s="1" t="str">
        <f ca="1">IFERROR(__xludf.DUMMYFUNCTION("""COMPUTED_VALUE"""),"1608-3334")</f>
        <v>1608-3334</v>
      </c>
      <c r="G1941" s="1" t="str">
        <f ca="1">IFERROR(__xludf.DUMMYFUNCTION("""COMPUTED_VALUE"""),"1067-4136")</f>
        <v>1067-4136</v>
      </c>
      <c r="H1941" s="27" t="str">
        <f ca="1">IFERROR(__xludf.DUMMYFUNCTION("""COMPUTED_VALUE"""),"https://link.springer.com/journal/11184")</f>
        <v>https://link.springer.com/journal/11184</v>
      </c>
      <c r="I1941" s="1" t="str">
        <f ca="1">IFERROR(__xludf.DUMMYFUNCTION("""COMPUTED_VALUE"""),"Pleiades Publishing")</f>
        <v>Pleiades Publishing</v>
      </c>
      <c r="J1941" s="1">
        <f ca="1">IFERROR(__xludf.DUMMYFUNCTION("""COMPUTED_VALUE"""),2000)</f>
        <v>2000</v>
      </c>
      <c r="K1941" s="1" t="str">
        <f ca="1">IFERROR(__xludf.DUMMYFUNCTION("""COMPUTED_VALUE"""),"Biomedical and Life Sciences")</f>
        <v>Biomedical and Life Sciences</v>
      </c>
      <c r="L1941" s="1" t="str">
        <f ca="1">IFERROR(__xludf.DUMMYFUNCTION("""COMPUTED_VALUE"""),"〇")</f>
        <v>〇</v>
      </c>
      <c r="M1941" s="1" t="str">
        <f ca="1">IFERROR(__xludf.DUMMYFUNCTION("""COMPUTED_VALUE"""),"〇")</f>
        <v>〇</v>
      </c>
      <c r="N1941" s="1"/>
      <c r="O1941" s="1"/>
      <c r="P1941" s="1"/>
    </row>
    <row r="1942" spans="1:16" ht="14.25" customHeight="1" x14ac:dyDescent="0.25">
      <c r="A1942" s="1"/>
      <c r="B1942" s="1">
        <f ca="1"/>
        <v>1930</v>
      </c>
      <c r="C1942" s="1">
        <f ca="1">IFERROR(__xludf.DUMMYFUNCTION("""COMPUTED_VALUE"""),2023)</f>
        <v>2023</v>
      </c>
      <c r="D1942" s="1">
        <f ca="1">IFERROR(__xludf.DUMMYFUNCTION("""COMPUTED_VALUE"""),11175)</f>
        <v>11175</v>
      </c>
      <c r="E1942" s="1" t="str">
        <f ca="1">IFERROR(__xludf.DUMMYFUNCTION("""COMPUTED_VALUE"""),"Russian Journal of Electrochemistry")</f>
        <v>Russian Journal of Electrochemistry</v>
      </c>
      <c r="F1942" s="1" t="str">
        <f ca="1">IFERROR(__xludf.DUMMYFUNCTION("""COMPUTED_VALUE"""),"1608-3342")</f>
        <v>1608-3342</v>
      </c>
      <c r="G1942" s="1" t="str">
        <f ca="1">IFERROR(__xludf.DUMMYFUNCTION("""COMPUTED_VALUE"""),"1023-1935")</f>
        <v>1023-1935</v>
      </c>
      <c r="H1942" s="27" t="str">
        <f ca="1">IFERROR(__xludf.DUMMYFUNCTION("""COMPUTED_VALUE"""),"https://link.springer.com/journal/11175")</f>
        <v>https://link.springer.com/journal/11175</v>
      </c>
      <c r="I1942" s="1" t="str">
        <f ca="1">IFERROR(__xludf.DUMMYFUNCTION("""COMPUTED_VALUE"""),"Pleiades Publishing")</f>
        <v>Pleiades Publishing</v>
      </c>
      <c r="J1942" s="1">
        <f ca="1">IFERROR(__xludf.DUMMYFUNCTION("""COMPUTED_VALUE"""),2000)</f>
        <v>2000</v>
      </c>
      <c r="K1942" s="1" t="str">
        <f ca="1">IFERROR(__xludf.DUMMYFUNCTION("""COMPUTED_VALUE"""),"Chemistry and Materials Science")</f>
        <v>Chemistry and Materials Science</v>
      </c>
      <c r="L1942" s="1" t="str">
        <f ca="1">IFERROR(__xludf.DUMMYFUNCTION("""COMPUTED_VALUE"""),"〇")</f>
        <v>〇</v>
      </c>
      <c r="M1942" s="1" t="str">
        <f ca="1">IFERROR(__xludf.DUMMYFUNCTION("""COMPUTED_VALUE"""),"〇")</f>
        <v>〇</v>
      </c>
      <c r="N1942" s="1"/>
      <c r="O1942" s="1"/>
      <c r="P1942" s="1"/>
    </row>
    <row r="1943" spans="1:16" ht="14.25" customHeight="1" x14ac:dyDescent="0.25">
      <c r="A1943" s="1"/>
      <c r="B1943" s="1">
        <f ca="1"/>
        <v>1931</v>
      </c>
      <c r="C1943" s="1">
        <f ca="1">IFERROR(__xludf.DUMMYFUNCTION("""COMPUTED_VALUE"""),2023)</f>
        <v>2023</v>
      </c>
      <c r="D1943" s="1">
        <f ca="1">IFERROR(__xludf.DUMMYFUNCTION("""COMPUTED_VALUE"""),11176)</f>
        <v>11176</v>
      </c>
      <c r="E1943" s="1" t="str">
        <f ca="1">IFERROR(__xludf.DUMMYFUNCTION("""COMPUTED_VALUE"""),"Russian Journal of General Chemistry")</f>
        <v>Russian Journal of General Chemistry</v>
      </c>
      <c r="F1943" s="1" t="str">
        <f ca="1">IFERROR(__xludf.DUMMYFUNCTION("""COMPUTED_VALUE"""),"1608-3350")</f>
        <v>1608-3350</v>
      </c>
      <c r="G1943" s="1" t="str">
        <f ca="1">IFERROR(__xludf.DUMMYFUNCTION("""COMPUTED_VALUE"""),"1070-3632")</f>
        <v>1070-3632</v>
      </c>
      <c r="H1943" s="27" t="str">
        <f ca="1">IFERROR(__xludf.DUMMYFUNCTION("""COMPUTED_VALUE"""),"https://link.springer.com/journal/11176")</f>
        <v>https://link.springer.com/journal/11176</v>
      </c>
      <c r="I1943" s="1" t="str">
        <f ca="1">IFERROR(__xludf.DUMMYFUNCTION("""COMPUTED_VALUE"""),"Pleiades Publishing")</f>
        <v>Pleiades Publishing</v>
      </c>
      <c r="J1943" s="1">
        <f ca="1">IFERROR(__xludf.DUMMYFUNCTION("""COMPUTED_VALUE"""),2001)</f>
        <v>2001</v>
      </c>
      <c r="K1943" s="1" t="str">
        <f ca="1">IFERROR(__xludf.DUMMYFUNCTION("""COMPUTED_VALUE"""),"Chemistry and Materials Science")</f>
        <v>Chemistry and Materials Science</v>
      </c>
      <c r="L1943" s="1" t="str">
        <f ca="1">IFERROR(__xludf.DUMMYFUNCTION("""COMPUTED_VALUE"""),"〇")</f>
        <v>〇</v>
      </c>
      <c r="M1943" s="1" t="str">
        <f ca="1">IFERROR(__xludf.DUMMYFUNCTION("""COMPUTED_VALUE"""),"〇")</f>
        <v>〇</v>
      </c>
      <c r="N1943" s="1"/>
      <c r="O1943" s="1"/>
      <c r="P1943" s="1"/>
    </row>
    <row r="1944" spans="1:16" ht="14.25" customHeight="1" x14ac:dyDescent="0.25">
      <c r="A1944" s="1"/>
      <c r="B1944" s="1">
        <f ca="1"/>
        <v>1932</v>
      </c>
      <c r="C1944" s="1">
        <f ca="1">IFERROR(__xludf.DUMMYFUNCTION("""COMPUTED_VALUE"""),2023)</f>
        <v>2023</v>
      </c>
      <c r="D1944" s="1">
        <f ca="1">IFERROR(__xludf.DUMMYFUNCTION("""COMPUTED_VALUE"""),11177)</f>
        <v>11177</v>
      </c>
      <c r="E1944" s="1" t="str">
        <f ca="1">IFERROR(__xludf.DUMMYFUNCTION("""COMPUTED_VALUE"""),"Russian Journal of Genetics")</f>
        <v>Russian Journal of Genetics</v>
      </c>
      <c r="F1944" s="1" t="str">
        <f ca="1">IFERROR(__xludf.DUMMYFUNCTION("""COMPUTED_VALUE"""),"1608-3369")</f>
        <v>1608-3369</v>
      </c>
      <c r="G1944" s="1" t="str">
        <f ca="1">IFERROR(__xludf.DUMMYFUNCTION("""COMPUTED_VALUE"""),"1022-7954")</f>
        <v>1022-7954</v>
      </c>
      <c r="H1944" s="27" t="str">
        <f ca="1">IFERROR(__xludf.DUMMYFUNCTION("""COMPUTED_VALUE"""),"https://link.springer.com/journal/11177")</f>
        <v>https://link.springer.com/journal/11177</v>
      </c>
      <c r="I1944" s="1" t="str">
        <f ca="1">IFERROR(__xludf.DUMMYFUNCTION("""COMPUTED_VALUE"""),"Pleiades Publishing")</f>
        <v>Pleiades Publishing</v>
      </c>
      <c r="J1944" s="1">
        <f ca="1">IFERROR(__xludf.DUMMYFUNCTION("""COMPUTED_VALUE"""),2000)</f>
        <v>2000</v>
      </c>
      <c r="K1944" s="1" t="str">
        <f ca="1">IFERROR(__xludf.DUMMYFUNCTION("""COMPUTED_VALUE"""),"Biomedical and Life Sciences")</f>
        <v>Biomedical and Life Sciences</v>
      </c>
      <c r="L1944" s="1" t="str">
        <f ca="1">IFERROR(__xludf.DUMMYFUNCTION("""COMPUTED_VALUE"""),"〇")</f>
        <v>〇</v>
      </c>
      <c r="M1944" s="1" t="str">
        <f ca="1">IFERROR(__xludf.DUMMYFUNCTION("""COMPUTED_VALUE"""),"〇")</f>
        <v>〇</v>
      </c>
      <c r="N1944" s="1"/>
      <c r="O1944" s="1"/>
      <c r="P1944" s="1"/>
    </row>
    <row r="1945" spans="1:16" ht="14.25" customHeight="1" x14ac:dyDescent="0.25">
      <c r="A1945" s="1"/>
      <c r="B1945" s="1">
        <f ca="1"/>
        <v>1933</v>
      </c>
      <c r="C1945" s="1">
        <f ca="1">IFERROR(__xludf.DUMMYFUNCTION("""COMPUTED_VALUE"""),2023)</f>
        <v>2023</v>
      </c>
      <c r="D1945" s="1">
        <f ca="1">IFERROR(__xludf.DUMMYFUNCTION("""COMPUTED_VALUE"""),11502)</f>
        <v>11502</v>
      </c>
      <c r="E1945" s="1" t="str">
        <f ca="1">IFERROR(__xludf.DUMMYFUNCTION("""COMPUTED_VALUE"""),"Russian Journal of Inorganic Chemistry")</f>
        <v>Russian Journal of Inorganic Chemistry</v>
      </c>
      <c r="F1945" s="1" t="str">
        <f ca="1">IFERROR(__xludf.DUMMYFUNCTION("""COMPUTED_VALUE"""),"1531-8613")</f>
        <v>1531-8613</v>
      </c>
      <c r="G1945" s="1" t="str">
        <f ca="1">IFERROR(__xludf.DUMMYFUNCTION("""COMPUTED_VALUE"""),"0036-0236")</f>
        <v>0036-0236</v>
      </c>
      <c r="H1945" s="27" t="str">
        <f ca="1">IFERROR(__xludf.DUMMYFUNCTION("""COMPUTED_VALUE"""),"https://link.springer.com/journal/11502")</f>
        <v>https://link.springer.com/journal/11502</v>
      </c>
      <c r="I1945" s="1" t="str">
        <f ca="1">IFERROR(__xludf.DUMMYFUNCTION("""COMPUTED_VALUE"""),"Pleiades Publishing")</f>
        <v>Pleiades Publishing</v>
      </c>
      <c r="J1945" s="1">
        <f ca="1">IFERROR(__xludf.DUMMYFUNCTION("""COMPUTED_VALUE"""),2006)</f>
        <v>2006</v>
      </c>
      <c r="K1945" s="1" t="str">
        <f ca="1">IFERROR(__xludf.DUMMYFUNCTION("""COMPUTED_VALUE"""),"Chemistry and Materials Science")</f>
        <v>Chemistry and Materials Science</v>
      </c>
      <c r="L1945" s="1" t="str">
        <f ca="1">IFERROR(__xludf.DUMMYFUNCTION("""COMPUTED_VALUE"""),"〇")</f>
        <v>〇</v>
      </c>
      <c r="M1945" s="1" t="str">
        <f ca="1">IFERROR(__xludf.DUMMYFUNCTION("""COMPUTED_VALUE"""),"〇")</f>
        <v>〇</v>
      </c>
      <c r="N1945" s="1"/>
      <c r="O1945" s="1"/>
      <c r="P1945" s="1"/>
    </row>
    <row r="1946" spans="1:16" ht="14.25" customHeight="1" x14ac:dyDescent="0.25">
      <c r="A1946" s="1"/>
      <c r="B1946" s="1">
        <f ca="1"/>
        <v>1934</v>
      </c>
      <c r="C1946" s="1">
        <f ca="1">IFERROR(__xludf.DUMMYFUNCTION("""COMPUTED_VALUE"""),2023)</f>
        <v>2023</v>
      </c>
      <c r="D1946" s="1">
        <f ca="1">IFERROR(__xludf.DUMMYFUNCTION("""COMPUTED_VALUE"""),11179)</f>
        <v>11179</v>
      </c>
      <c r="E1946" s="1" t="str">
        <f ca="1">IFERROR(__xludf.DUMMYFUNCTION("""COMPUTED_VALUE"""),"Russian Journal of Marine Biology")</f>
        <v>Russian Journal of Marine Biology</v>
      </c>
      <c r="F1946" s="1" t="str">
        <f ca="1">IFERROR(__xludf.DUMMYFUNCTION("""COMPUTED_VALUE"""),"1608-3377")</f>
        <v>1608-3377</v>
      </c>
      <c r="G1946" s="1" t="str">
        <f ca="1">IFERROR(__xludf.DUMMYFUNCTION("""COMPUTED_VALUE"""),"1063-0740")</f>
        <v>1063-0740</v>
      </c>
      <c r="H1946" s="27" t="str">
        <f ca="1">IFERROR(__xludf.DUMMYFUNCTION("""COMPUTED_VALUE"""),"https://link.springer.com/journal/11179")</f>
        <v>https://link.springer.com/journal/11179</v>
      </c>
      <c r="I1946" s="1" t="str">
        <f ca="1">IFERROR(__xludf.DUMMYFUNCTION("""COMPUTED_VALUE"""),"Pleiades Publishing")</f>
        <v>Pleiades Publishing</v>
      </c>
      <c r="J1946" s="1">
        <f ca="1">IFERROR(__xludf.DUMMYFUNCTION("""COMPUTED_VALUE"""),2000)</f>
        <v>2000</v>
      </c>
      <c r="K1946" s="1" t="str">
        <f ca="1">IFERROR(__xludf.DUMMYFUNCTION("""COMPUTED_VALUE"""),"Biomedical and Life Sciences")</f>
        <v>Biomedical and Life Sciences</v>
      </c>
      <c r="L1946" s="1" t="str">
        <f ca="1">IFERROR(__xludf.DUMMYFUNCTION("""COMPUTED_VALUE"""),"〇")</f>
        <v>〇</v>
      </c>
      <c r="M1946" s="1" t="str">
        <f ca="1">IFERROR(__xludf.DUMMYFUNCTION("""COMPUTED_VALUE"""),"〇")</f>
        <v>〇</v>
      </c>
      <c r="N1946" s="1"/>
      <c r="O1946" s="1"/>
      <c r="P1946" s="1"/>
    </row>
    <row r="1947" spans="1:16" ht="14.25" customHeight="1" x14ac:dyDescent="0.25">
      <c r="A1947" s="1"/>
      <c r="B1947" s="1">
        <f ca="1"/>
        <v>1935</v>
      </c>
      <c r="C1947" s="1">
        <f ca="1">IFERROR(__xludf.DUMMYFUNCTION("""COMPUTED_VALUE"""),2023)</f>
        <v>2023</v>
      </c>
      <c r="D1947" s="1">
        <f ca="1">IFERROR(__xludf.DUMMYFUNCTION("""COMPUTED_VALUE"""),11503)</f>
        <v>11503</v>
      </c>
      <c r="E1947" s="1" t="str">
        <f ca="1">IFERROR(__xludf.DUMMYFUNCTION("""COMPUTED_VALUE"""),"Russian Journal of Mathematical Physics")</f>
        <v>Russian Journal of Mathematical Physics</v>
      </c>
      <c r="F1947" s="1" t="str">
        <f ca="1">IFERROR(__xludf.DUMMYFUNCTION("""COMPUTED_VALUE"""),"1555-6638")</f>
        <v>1555-6638</v>
      </c>
      <c r="G1947" s="1" t="str">
        <f ca="1">IFERROR(__xludf.DUMMYFUNCTION("""COMPUTED_VALUE"""),"1061-9208")</f>
        <v>1061-9208</v>
      </c>
      <c r="H1947" s="27" t="str">
        <f ca="1">IFERROR(__xludf.DUMMYFUNCTION("""COMPUTED_VALUE"""),"https://link.springer.com/journal/11503")</f>
        <v>https://link.springer.com/journal/11503</v>
      </c>
      <c r="I1947" s="1" t="str">
        <f ca="1">IFERROR(__xludf.DUMMYFUNCTION("""COMPUTED_VALUE"""),"Pleiades Publishing")</f>
        <v>Pleiades Publishing</v>
      </c>
      <c r="J1947" s="1">
        <f ca="1">IFERROR(__xludf.DUMMYFUNCTION("""COMPUTED_VALUE"""),2006)</f>
        <v>2006</v>
      </c>
      <c r="K1947" s="1" t="str">
        <f ca="1">IFERROR(__xludf.DUMMYFUNCTION("""COMPUTED_VALUE"""),"Physics and Astronomy")</f>
        <v>Physics and Astronomy</v>
      </c>
      <c r="L1947" s="1" t="str">
        <f ca="1">IFERROR(__xludf.DUMMYFUNCTION("""COMPUTED_VALUE"""),"〇")</f>
        <v>〇</v>
      </c>
      <c r="M1947" s="1" t="str">
        <f ca="1">IFERROR(__xludf.DUMMYFUNCTION("""COMPUTED_VALUE"""),"〇")</f>
        <v>〇</v>
      </c>
      <c r="N1947" s="1"/>
      <c r="O1947" s="1"/>
      <c r="P1947" s="1"/>
    </row>
    <row r="1948" spans="1:16" ht="14.25" customHeight="1" x14ac:dyDescent="0.25">
      <c r="A1948" s="1"/>
      <c r="B1948" s="1">
        <f ca="1"/>
        <v>1936</v>
      </c>
      <c r="C1948" s="1">
        <f ca="1">IFERROR(__xludf.DUMMYFUNCTION("""COMPUTED_VALUE"""),2023)</f>
        <v>2023</v>
      </c>
      <c r="D1948" s="1">
        <f ca="1">IFERROR(__xludf.DUMMYFUNCTION("""COMPUTED_VALUE"""),11181)</f>
        <v>11181</v>
      </c>
      <c r="E1948" s="1" t="str">
        <f ca="1">IFERROR(__xludf.DUMMYFUNCTION("""COMPUTED_VALUE"""),"Russian Journal of Nondestructive Testing")</f>
        <v>Russian Journal of Nondestructive Testing</v>
      </c>
      <c r="F1948" s="1" t="str">
        <f ca="1">IFERROR(__xludf.DUMMYFUNCTION("""COMPUTED_VALUE"""),"1608-3385")</f>
        <v>1608-3385</v>
      </c>
      <c r="G1948" s="1" t="str">
        <f ca="1">IFERROR(__xludf.DUMMYFUNCTION("""COMPUTED_VALUE"""),"1061-8309")</f>
        <v>1061-8309</v>
      </c>
      <c r="H1948" s="27" t="str">
        <f ca="1">IFERROR(__xludf.DUMMYFUNCTION("""COMPUTED_VALUE"""),"https://link.springer.com/journal/11181")</f>
        <v>https://link.springer.com/journal/11181</v>
      </c>
      <c r="I1948" s="1" t="str">
        <f ca="1">IFERROR(__xludf.DUMMYFUNCTION("""COMPUTED_VALUE"""),"Pleiades Publishing")</f>
        <v>Pleiades Publishing</v>
      </c>
      <c r="J1948" s="1">
        <f ca="1">IFERROR(__xludf.DUMMYFUNCTION("""COMPUTED_VALUE"""),2000)</f>
        <v>2000</v>
      </c>
      <c r="K1948" s="1" t="str">
        <f ca="1">IFERROR(__xludf.DUMMYFUNCTION("""COMPUTED_VALUE"""),"Chemistry and Materials Science")</f>
        <v>Chemistry and Materials Science</v>
      </c>
      <c r="L1948" s="1" t="str">
        <f ca="1">IFERROR(__xludf.DUMMYFUNCTION("""COMPUTED_VALUE"""),"〇")</f>
        <v>〇</v>
      </c>
      <c r="M1948" s="1" t="str">
        <f ca="1">IFERROR(__xludf.DUMMYFUNCTION("""COMPUTED_VALUE"""),"〇")</f>
        <v>〇</v>
      </c>
      <c r="N1948" s="1"/>
      <c r="O1948" s="1"/>
      <c r="P1948" s="1"/>
    </row>
    <row r="1949" spans="1:16" ht="14.25" customHeight="1" x14ac:dyDescent="0.25">
      <c r="A1949" s="1"/>
      <c r="B1949" s="1">
        <f ca="1"/>
        <v>1937</v>
      </c>
      <c r="C1949" s="1">
        <f ca="1">IFERROR(__xludf.DUMMYFUNCTION("""COMPUTED_VALUE"""),2023)</f>
        <v>2023</v>
      </c>
      <c r="D1949" s="1">
        <f ca="1">IFERROR(__xludf.DUMMYFUNCTION("""COMPUTED_VALUE"""),11981)</f>
        <v>11981</v>
      </c>
      <c r="E1949" s="1" t="str">
        <f ca="1">IFERROR(__xludf.DUMMYFUNCTION("""COMPUTED_VALUE"""),"Russian Journal of Non-Ferrous Metals")</f>
        <v>Russian Journal of Non-Ferrous Metals</v>
      </c>
      <c r="F1949" s="1" t="str">
        <f ca="1">IFERROR(__xludf.DUMMYFUNCTION("""COMPUTED_VALUE"""),"1934-970X")</f>
        <v>1934-970X</v>
      </c>
      <c r="G1949" s="1" t="str">
        <f ca="1">IFERROR(__xludf.DUMMYFUNCTION("""COMPUTED_VALUE"""),"1067-8212")</f>
        <v>1067-8212</v>
      </c>
      <c r="H1949" s="27" t="str">
        <f ca="1">IFERROR(__xludf.DUMMYFUNCTION("""COMPUTED_VALUE"""),"https://link.springer.com/journal/11981")</f>
        <v>https://link.springer.com/journal/11981</v>
      </c>
      <c r="I1949" s="1" t="str">
        <f ca="1">IFERROR(__xludf.DUMMYFUNCTION("""COMPUTED_VALUE"""),"Pleiades Publishing")</f>
        <v>Pleiades Publishing</v>
      </c>
      <c r="J1949" s="1">
        <f ca="1">IFERROR(__xludf.DUMMYFUNCTION("""COMPUTED_VALUE"""),2007)</f>
        <v>2007</v>
      </c>
      <c r="K1949" s="1" t="str">
        <f ca="1">IFERROR(__xludf.DUMMYFUNCTION("""COMPUTED_VALUE"""),"Chemistry and Materials Science")</f>
        <v>Chemistry and Materials Science</v>
      </c>
      <c r="L1949" s="1" t="str">
        <f ca="1">IFERROR(__xludf.DUMMYFUNCTION("""COMPUTED_VALUE"""),"〇")</f>
        <v>〇</v>
      </c>
      <c r="M1949" s="1" t="str">
        <f ca="1">IFERROR(__xludf.DUMMYFUNCTION("""COMPUTED_VALUE"""),"〇")</f>
        <v>〇</v>
      </c>
      <c r="N1949" s="1" t="str">
        <f ca="1">IFERROR(__xludf.DUMMYFUNCTION("""COMPUTED_VALUE"""),"TO7")</f>
        <v>TO7</v>
      </c>
      <c r="O1949" s="1"/>
      <c r="P1949" s="1"/>
    </row>
    <row r="1950" spans="1:16" ht="14.25" customHeight="1" x14ac:dyDescent="0.25">
      <c r="A1950" s="1"/>
      <c r="B1950" s="1">
        <f ca="1"/>
        <v>1938</v>
      </c>
      <c r="C1950" s="1">
        <f ca="1">IFERROR(__xludf.DUMMYFUNCTION("""COMPUTED_VALUE"""),2023)</f>
        <v>2023</v>
      </c>
      <c r="D1950" s="1">
        <f ca="1">IFERROR(__xludf.DUMMYFUNCTION("""COMPUTED_VALUE"""),11178)</f>
        <v>11178</v>
      </c>
      <c r="E1950" s="1" t="str">
        <f ca="1">IFERROR(__xludf.DUMMYFUNCTION("""COMPUTED_VALUE"""),"Russian Journal of Organic Chemistry")</f>
        <v>Russian Journal of Organic Chemistry</v>
      </c>
      <c r="F1950" s="1" t="str">
        <f ca="1">IFERROR(__xludf.DUMMYFUNCTION("""COMPUTED_VALUE"""),"1608-3393")</f>
        <v>1608-3393</v>
      </c>
      <c r="G1950" s="1" t="str">
        <f ca="1">IFERROR(__xludf.DUMMYFUNCTION("""COMPUTED_VALUE"""),"1070-4280")</f>
        <v>1070-4280</v>
      </c>
      <c r="H1950" s="27" t="str">
        <f ca="1">IFERROR(__xludf.DUMMYFUNCTION("""COMPUTED_VALUE"""),"https://link.springer.com/journal/11178")</f>
        <v>https://link.springer.com/journal/11178</v>
      </c>
      <c r="I1950" s="1" t="str">
        <f ca="1">IFERROR(__xludf.DUMMYFUNCTION("""COMPUTED_VALUE"""),"Pleiades Publishing")</f>
        <v>Pleiades Publishing</v>
      </c>
      <c r="J1950" s="1">
        <f ca="1">IFERROR(__xludf.DUMMYFUNCTION("""COMPUTED_VALUE"""),2001)</f>
        <v>2001</v>
      </c>
      <c r="K1950" s="1" t="str">
        <f ca="1">IFERROR(__xludf.DUMMYFUNCTION("""COMPUTED_VALUE"""),"Chemistry and Materials Science")</f>
        <v>Chemistry and Materials Science</v>
      </c>
      <c r="L1950" s="1" t="str">
        <f ca="1">IFERROR(__xludf.DUMMYFUNCTION("""COMPUTED_VALUE"""),"〇")</f>
        <v>〇</v>
      </c>
      <c r="M1950" s="1" t="str">
        <f ca="1">IFERROR(__xludf.DUMMYFUNCTION("""COMPUTED_VALUE"""),"〇")</f>
        <v>〇</v>
      </c>
      <c r="N1950" s="1"/>
      <c r="O1950" s="1"/>
      <c r="P1950" s="1"/>
    </row>
    <row r="1951" spans="1:16" ht="14.25" customHeight="1" x14ac:dyDescent="0.25">
      <c r="A1951" s="1"/>
      <c r="B1951" s="1">
        <f ca="1"/>
        <v>1939</v>
      </c>
      <c r="C1951" s="1">
        <f ca="1">IFERROR(__xludf.DUMMYFUNCTION("""COMPUTED_VALUE"""),2023)</f>
        <v>2023</v>
      </c>
      <c r="D1951" s="1">
        <f ca="1">IFERROR(__xludf.DUMMYFUNCTION("""COMPUTED_VALUE"""),11720)</f>
        <v>11720</v>
      </c>
      <c r="E1951" s="1" t="str">
        <f ca="1">IFERROR(__xludf.DUMMYFUNCTION("""COMPUTED_VALUE"""),"Russian Journal of Pacific Geology")</f>
        <v>Russian Journal of Pacific Geology</v>
      </c>
      <c r="F1951" s="1" t="str">
        <f ca="1">IFERROR(__xludf.DUMMYFUNCTION("""COMPUTED_VALUE"""),"1819-7159")</f>
        <v>1819-7159</v>
      </c>
      <c r="G1951" s="1" t="str">
        <f ca="1">IFERROR(__xludf.DUMMYFUNCTION("""COMPUTED_VALUE"""),"1819-7140")</f>
        <v>1819-7140</v>
      </c>
      <c r="H1951" s="27" t="str">
        <f ca="1">IFERROR(__xludf.DUMMYFUNCTION("""COMPUTED_VALUE"""),"https://link.springer.com/journal/11720")</f>
        <v>https://link.springer.com/journal/11720</v>
      </c>
      <c r="I1951" s="1" t="str">
        <f ca="1">IFERROR(__xludf.DUMMYFUNCTION("""COMPUTED_VALUE"""),"Pleiades Publishing")</f>
        <v>Pleiades Publishing</v>
      </c>
      <c r="J1951" s="1">
        <f ca="1">IFERROR(__xludf.DUMMYFUNCTION("""COMPUTED_VALUE"""),2007)</f>
        <v>2007</v>
      </c>
      <c r="K1951" s="1" t="str">
        <f ca="1">IFERROR(__xludf.DUMMYFUNCTION("""COMPUTED_VALUE"""),"Earth and Environmental Science")</f>
        <v>Earth and Environmental Science</v>
      </c>
      <c r="L1951" s="1" t="str">
        <f ca="1">IFERROR(__xludf.DUMMYFUNCTION("""COMPUTED_VALUE"""),"〇")</f>
        <v>〇</v>
      </c>
      <c r="M1951" s="1" t="str">
        <f ca="1">IFERROR(__xludf.DUMMYFUNCTION("""COMPUTED_VALUE"""),"〇")</f>
        <v>〇</v>
      </c>
      <c r="N1951" s="1" t="str">
        <f ca="1">IFERROR(__xludf.DUMMYFUNCTION("""COMPUTED_VALUE"""),"SNS7")</f>
        <v>SNS7</v>
      </c>
      <c r="O1951" s="1"/>
      <c r="P1951" s="1"/>
    </row>
    <row r="1952" spans="1:16" ht="14.25" customHeight="1" x14ac:dyDescent="0.25">
      <c r="A1952" s="1"/>
      <c r="B1952" s="1">
        <f ca="1"/>
        <v>1940</v>
      </c>
      <c r="C1952" s="1">
        <f ca="1">IFERROR(__xludf.DUMMYFUNCTION("""COMPUTED_VALUE"""),2023)</f>
        <v>2023</v>
      </c>
      <c r="D1952" s="1">
        <f ca="1">IFERROR(__xludf.DUMMYFUNCTION("""COMPUTED_VALUE"""),11504)</f>
        <v>11504</v>
      </c>
      <c r="E1952" s="1" t="str">
        <f ca="1">IFERROR(__xludf.DUMMYFUNCTION("""COMPUTED_VALUE"""),"Russian Journal of Physical Chemistry A")</f>
        <v>Russian Journal of Physical Chemistry A</v>
      </c>
      <c r="F1952" s="1" t="str">
        <f ca="1">IFERROR(__xludf.DUMMYFUNCTION("""COMPUTED_VALUE"""),"1531-863X")</f>
        <v>1531-863X</v>
      </c>
      <c r="G1952" s="1" t="str">
        <f ca="1">IFERROR(__xludf.DUMMYFUNCTION("""COMPUTED_VALUE"""),"0036-0244")</f>
        <v>0036-0244</v>
      </c>
      <c r="H1952" s="27" t="str">
        <f ca="1">IFERROR(__xludf.DUMMYFUNCTION("""COMPUTED_VALUE"""),"https://link.springer.com/journal/11504")</f>
        <v>https://link.springer.com/journal/11504</v>
      </c>
      <c r="I1952" s="1" t="str">
        <f ca="1">IFERROR(__xludf.DUMMYFUNCTION("""COMPUTED_VALUE"""),"Pleiades Publishing")</f>
        <v>Pleiades Publishing</v>
      </c>
      <c r="J1952" s="1">
        <f ca="1">IFERROR(__xludf.DUMMYFUNCTION("""COMPUTED_VALUE"""),2006)</f>
        <v>2006</v>
      </c>
      <c r="K1952" s="1" t="str">
        <f ca="1">IFERROR(__xludf.DUMMYFUNCTION("""COMPUTED_VALUE"""),"Chemistry and Materials Science")</f>
        <v>Chemistry and Materials Science</v>
      </c>
      <c r="L1952" s="1" t="str">
        <f ca="1">IFERROR(__xludf.DUMMYFUNCTION("""COMPUTED_VALUE"""),"〇")</f>
        <v>〇</v>
      </c>
      <c r="M1952" s="1" t="str">
        <f ca="1">IFERROR(__xludf.DUMMYFUNCTION("""COMPUTED_VALUE"""),"〇")</f>
        <v>〇</v>
      </c>
      <c r="N1952" s="1"/>
      <c r="O1952" s="1"/>
      <c r="P1952" s="1"/>
    </row>
    <row r="1953" spans="1:16" ht="14.25" customHeight="1" x14ac:dyDescent="0.25">
      <c r="A1953" s="1"/>
      <c r="B1953" s="1">
        <f ca="1"/>
        <v>1941</v>
      </c>
      <c r="C1953" s="1">
        <f ca="1">IFERROR(__xludf.DUMMYFUNCTION("""COMPUTED_VALUE"""),2023)</f>
        <v>2023</v>
      </c>
      <c r="D1953" s="1">
        <f ca="1">IFERROR(__xludf.DUMMYFUNCTION("""COMPUTED_VALUE"""),11826)</f>
        <v>11826</v>
      </c>
      <c r="E1953" s="1" t="str">
        <f ca="1">IFERROR(__xludf.DUMMYFUNCTION("""COMPUTED_VALUE"""),"Russian Journal of Physical Chemistry B")</f>
        <v>Russian Journal of Physical Chemistry B</v>
      </c>
      <c r="F1953" s="1" t="str">
        <f ca="1">IFERROR(__xludf.DUMMYFUNCTION("""COMPUTED_VALUE"""),"1990-7923")</f>
        <v>1990-7923</v>
      </c>
      <c r="G1953" s="1" t="str">
        <f ca="1">IFERROR(__xludf.DUMMYFUNCTION("""COMPUTED_VALUE"""),"1990-7931")</f>
        <v>1990-7931</v>
      </c>
      <c r="H1953" s="27" t="str">
        <f ca="1">IFERROR(__xludf.DUMMYFUNCTION("""COMPUTED_VALUE"""),"https://link.springer.com/journal/11826")</f>
        <v>https://link.springer.com/journal/11826</v>
      </c>
      <c r="I1953" s="1" t="str">
        <f ca="1">IFERROR(__xludf.DUMMYFUNCTION("""COMPUTED_VALUE"""),"Pleiades Publishing")</f>
        <v>Pleiades Publishing</v>
      </c>
      <c r="J1953" s="1">
        <f ca="1">IFERROR(__xludf.DUMMYFUNCTION("""COMPUTED_VALUE"""),2007)</f>
        <v>2007</v>
      </c>
      <c r="K1953" s="1" t="str">
        <f ca="1">IFERROR(__xludf.DUMMYFUNCTION("""COMPUTED_VALUE"""),"Chemistry and Materials Science")</f>
        <v>Chemistry and Materials Science</v>
      </c>
      <c r="L1953" s="1" t="str">
        <f ca="1">IFERROR(__xludf.DUMMYFUNCTION("""COMPUTED_VALUE"""),"〇")</f>
        <v>〇</v>
      </c>
      <c r="M1953" s="1" t="str">
        <f ca="1">IFERROR(__xludf.DUMMYFUNCTION("""COMPUTED_VALUE"""),"〇")</f>
        <v>〇</v>
      </c>
      <c r="N1953" s="1" t="str">
        <f ca="1">IFERROR(__xludf.DUMMYFUNCTION("""COMPUTED_VALUE"""),"SNS7")</f>
        <v>SNS7</v>
      </c>
      <c r="O1953" s="1"/>
      <c r="P1953" s="1"/>
    </row>
    <row r="1954" spans="1:16" ht="14.25" customHeight="1" x14ac:dyDescent="0.25">
      <c r="A1954" s="1"/>
      <c r="B1954" s="1">
        <f ca="1"/>
        <v>1942</v>
      </c>
      <c r="C1954" s="1">
        <f ca="1">IFERROR(__xludf.DUMMYFUNCTION("""COMPUTED_VALUE"""),2023)</f>
        <v>2023</v>
      </c>
      <c r="D1954" s="1">
        <f ca="1">IFERROR(__xludf.DUMMYFUNCTION("""COMPUTED_VALUE"""),11183)</f>
        <v>11183</v>
      </c>
      <c r="E1954" s="1" t="str">
        <f ca="1">IFERROR(__xludf.DUMMYFUNCTION("""COMPUTED_VALUE"""),"Russian Journal of Plant Physiology")</f>
        <v>Russian Journal of Plant Physiology</v>
      </c>
      <c r="F1954" s="1" t="str">
        <f ca="1">IFERROR(__xludf.DUMMYFUNCTION("""COMPUTED_VALUE"""),"1608-3407")</f>
        <v>1608-3407</v>
      </c>
      <c r="G1954" s="1" t="str">
        <f ca="1">IFERROR(__xludf.DUMMYFUNCTION("""COMPUTED_VALUE"""),"1021-4437")</f>
        <v>1021-4437</v>
      </c>
      <c r="H1954" s="27" t="str">
        <f ca="1">IFERROR(__xludf.DUMMYFUNCTION("""COMPUTED_VALUE"""),"https://link.springer.com/journal/11183")</f>
        <v>https://link.springer.com/journal/11183</v>
      </c>
      <c r="I1954" s="1" t="str">
        <f ca="1">IFERROR(__xludf.DUMMYFUNCTION("""COMPUTED_VALUE"""),"Pleiades Publishing")</f>
        <v>Pleiades Publishing</v>
      </c>
      <c r="J1954" s="1">
        <f ca="1">IFERROR(__xludf.DUMMYFUNCTION("""COMPUTED_VALUE"""),2000)</f>
        <v>2000</v>
      </c>
      <c r="K1954" s="1" t="str">
        <f ca="1">IFERROR(__xludf.DUMMYFUNCTION("""COMPUTED_VALUE"""),"Biomedical and Life Sciences")</f>
        <v>Biomedical and Life Sciences</v>
      </c>
      <c r="L1954" s="1" t="str">
        <f ca="1">IFERROR(__xludf.DUMMYFUNCTION("""COMPUTED_VALUE"""),"〇")</f>
        <v>〇</v>
      </c>
      <c r="M1954" s="1" t="str">
        <f ca="1">IFERROR(__xludf.DUMMYFUNCTION("""COMPUTED_VALUE"""),"〇")</f>
        <v>〇</v>
      </c>
      <c r="N1954" s="1"/>
      <c r="O1954" s="1"/>
      <c r="P1954" s="1"/>
    </row>
    <row r="1955" spans="1:16" ht="14.25" customHeight="1" x14ac:dyDescent="0.25">
      <c r="A1955" s="1"/>
      <c r="B1955" s="1">
        <f ca="1"/>
        <v>1943</v>
      </c>
      <c r="C1955" s="1">
        <f ca="1">IFERROR(__xludf.DUMMYFUNCTION("""COMPUTED_VALUE"""),2023)</f>
        <v>2023</v>
      </c>
      <c r="D1955" s="1">
        <f ca="1">IFERROR(__xludf.DUMMYFUNCTION("""COMPUTED_VALUE"""),11185)</f>
        <v>11185</v>
      </c>
      <c r="E1955" s="1" t="str">
        <f ca="1">IFERROR(__xludf.DUMMYFUNCTION("""COMPUTED_VALUE"""),"Russian Linguistics")</f>
        <v>Russian Linguistics</v>
      </c>
      <c r="F1955" s="1" t="str">
        <f ca="1">IFERROR(__xludf.DUMMYFUNCTION("""COMPUTED_VALUE"""),"1572-8714")</f>
        <v>1572-8714</v>
      </c>
      <c r="G1955" s="1" t="str">
        <f ca="1">IFERROR(__xludf.DUMMYFUNCTION("""COMPUTED_VALUE"""),"0304-3487")</f>
        <v>0304-3487</v>
      </c>
      <c r="H1955" s="27" t="str">
        <f ca="1">IFERROR(__xludf.DUMMYFUNCTION("""COMPUTED_VALUE"""),"https://link.springer.com/journal/11185")</f>
        <v>https://link.springer.com/journal/11185</v>
      </c>
      <c r="I1955" s="1" t="str">
        <f ca="1">IFERROR(__xludf.DUMMYFUNCTION("""COMPUTED_VALUE"""),"Springer")</f>
        <v>Springer</v>
      </c>
      <c r="J1955" s="1">
        <f ca="1">IFERROR(__xludf.DUMMYFUNCTION("""COMPUTED_VALUE"""),2000)</f>
        <v>2000</v>
      </c>
      <c r="K1955" s="1" t="str">
        <f ca="1">IFERROR(__xludf.DUMMYFUNCTION("""COMPUTED_VALUE"""),"Social Sciences")</f>
        <v>Social Sciences</v>
      </c>
      <c r="L1955" s="1" t="str">
        <f ca="1">IFERROR(__xludf.DUMMYFUNCTION("""COMPUTED_VALUE"""),"〇")</f>
        <v>〇</v>
      </c>
      <c r="M1955" s="1" t="str">
        <f ca="1">IFERROR(__xludf.DUMMYFUNCTION("""COMPUTED_VALUE"""),"〇")</f>
        <v>〇</v>
      </c>
      <c r="N1955" s="1"/>
      <c r="O1955" s="1"/>
      <c r="P1955" s="1"/>
    </row>
    <row r="1956" spans="1:16" ht="14.25" customHeight="1" x14ac:dyDescent="0.25">
      <c r="A1956" s="1"/>
      <c r="B1956" s="1">
        <f ca="1"/>
        <v>1944</v>
      </c>
      <c r="C1956" s="1">
        <f ca="1">IFERROR(__xludf.DUMMYFUNCTION("""COMPUTED_VALUE"""),2023)</f>
        <v>2023</v>
      </c>
      <c r="D1956" s="1">
        <f ca="1">IFERROR(__xludf.DUMMYFUNCTION("""COMPUTED_VALUE"""),11982)</f>
        <v>11982</v>
      </c>
      <c r="E1956" s="1" t="str">
        <f ca="1">IFERROR(__xludf.DUMMYFUNCTION("""COMPUTED_VALUE"""),"Russian Mathematics")</f>
        <v>Russian Mathematics</v>
      </c>
      <c r="F1956" s="1" t="str">
        <f ca="1">IFERROR(__xludf.DUMMYFUNCTION("""COMPUTED_VALUE"""),"1934-810X")</f>
        <v>1934-810X</v>
      </c>
      <c r="G1956" s="1" t="str">
        <f ca="1">IFERROR(__xludf.DUMMYFUNCTION("""COMPUTED_VALUE"""),"1066-369X")</f>
        <v>1066-369X</v>
      </c>
      <c r="H1956" s="27" t="str">
        <f ca="1">IFERROR(__xludf.DUMMYFUNCTION("""COMPUTED_VALUE"""),"https://link.springer.com/journal/11982")</f>
        <v>https://link.springer.com/journal/11982</v>
      </c>
      <c r="I1956" s="1" t="str">
        <f ca="1">IFERROR(__xludf.DUMMYFUNCTION("""COMPUTED_VALUE"""),"Pleiades Publishing")</f>
        <v>Pleiades Publishing</v>
      </c>
      <c r="J1956" s="1">
        <f ca="1">IFERROR(__xludf.DUMMYFUNCTION("""COMPUTED_VALUE"""),2007)</f>
        <v>2007</v>
      </c>
      <c r="K1956" s="1" t="str">
        <f ca="1">IFERROR(__xludf.DUMMYFUNCTION("""COMPUTED_VALUE"""),"Mathematics and Statistics")</f>
        <v>Mathematics and Statistics</v>
      </c>
      <c r="L1956" s="1" t="str">
        <f ca="1">IFERROR(__xludf.DUMMYFUNCTION("""COMPUTED_VALUE"""),"〇")</f>
        <v>〇</v>
      </c>
      <c r="M1956" s="1" t="str">
        <f ca="1">IFERROR(__xludf.DUMMYFUNCTION("""COMPUTED_VALUE"""),"〇")</f>
        <v>〇</v>
      </c>
      <c r="N1956" s="1" t="str">
        <f ca="1">IFERROR(__xludf.DUMMYFUNCTION("""COMPUTED_VALUE"""),"TO7")</f>
        <v>TO7</v>
      </c>
      <c r="O1956" s="1"/>
      <c r="P1956" s="1"/>
    </row>
    <row r="1957" spans="1:16" ht="14.25" customHeight="1" x14ac:dyDescent="0.25">
      <c r="A1957" s="1"/>
      <c r="B1957" s="1">
        <f ca="1"/>
        <v>1945</v>
      </c>
      <c r="C1957" s="1">
        <f ca="1">IFERROR(__xludf.DUMMYFUNCTION("""COMPUTED_VALUE"""),2023)</f>
        <v>2023</v>
      </c>
      <c r="D1957" s="1">
        <f ca="1">IFERROR(__xludf.DUMMYFUNCTION("""COMPUTED_VALUE"""),11505)</f>
        <v>11505</v>
      </c>
      <c r="E1957" s="1" t="str">
        <f ca="1">IFERROR(__xludf.DUMMYFUNCTION("""COMPUTED_VALUE"""),"Russian Metallurgy (Metally)")</f>
        <v>Russian Metallurgy (Metally)</v>
      </c>
      <c r="F1957" s="1" t="str">
        <f ca="1">IFERROR(__xludf.DUMMYFUNCTION("""COMPUTED_VALUE"""),"1555-6255")</f>
        <v>1555-6255</v>
      </c>
      <c r="G1957" s="1" t="str">
        <f ca="1">IFERROR(__xludf.DUMMYFUNCTION("""COMPUTED_VALUE"""),"0036-0295")</f>
        <v>0036-0295</v>
      </c>
      <c r="H1957" s="27" t="str">
        <f ca="1">IFERROR(__xludf.DUMMYFUNCTION("""COMPUTED_VALUE"""),"https://link.springer.com/journal/11505")</f>
        <v>https://link.springer.com/journal/11505</v>
      </c>
      <c r="I1957" s="1" t="str">
        <f ca="1">IFERROR(__xludf.DUMMYFUNCTION("""COMPUTED_VALUE"""),"Pleiades Publishing")</f>
        <v>Pleiades Publishing</v>
      </c>
      <c r="J1957" s="1">
        <f ca="1">IFERROR(__xludf.DUMMYFUNCTION("""COMPUTED_VALUE"""),2006)</f>
        <v>2006</v>
      </c>
      <c r="K1957" s="1" t="str">
        <f ca="1">IFERROR(__xludf.DUMMYFUNCTION("""COMPUTED_VALUE"""),"Chemistry and Materials Science")</f>
        <v>Chemistry and Materials Science</v>
      </c>
      <c r="L1957" s="1" t="str">
        <f ca="1">IFERROR(__xludf.DUMMYFUNCTION("""COMPUTED_VALUE"""),"〇")</f>
        <v>〇</v>
      </c>
      <c r="M1957" s="1" t="str">
        <f ca="1">IFERROR(__xludf.DUMMYFUNCTION("""COMPUTED_VALUE"""),"〇")</f>
        <v>〇</v>
      </c>
      <c r="N1957" s="1"/>
      <c r="O1957" s="1"/>
      <c r="P1957" s="1"/>
    </row>
    <row r="1958" spans="1:16" ht="14.25" customHeight="1" x14ac:dyDescent="0.25">
      <c r="A1958" s="1"/>
      <c r="B1958" s="1">
        <f ca="1"/>
        <v>1946</v>
      </c>
      <c r="C1958" s="1">
        <f ca="1">IFERROR(__xludf.DUMMYFUNCTION("""COMPUTED_VALUE"""),2023)</f>
        <v>2023</v>
      </c>
      <c r="D1958" s="1">
        <f ca="1">IFERROR(__xludf.DUMMYFUNCTION("""COMPUTED_VALUE"""),11983)</f>
        <v>11983</v>
      </c>
      <c r="E1958" s="1" t="str">
        <f ca="1">IFERROR(__xludf.DUMMYFUNCTION("""COMPUTED_VALUE"""),"Russian Meteorology and Hydrology")</f>
        <v>Russian Meteorology and Hydrology</v>
      </c>
      <c r="F1958" s="1" t="str">
        <f ca="1">IFERROR(__xludf.DUMMYFUNCTION("""COMPUTED_VALUE"""),"1934-8096")</f>
        <v>1934-8096</v>
      </c>
      <c r="G1958" s="1" t="str">
        <f ca="1">IFERROR(__xludf.DUMMYFUNCTION("""COMPUTED_VALUE"""),"1068-3739")</f>
        <v>1068-3739</v>
      </c>
      <c r="H1958" s="27" t="str">
        <f ca="1">IFERROR(__xludf.DUMMYFUNCTION("""COMPUTED_VALUE"""),"https://link.springer.com/journal/11983")</f>
        <v>https://link.springer.com/journal/11983</v>
      </c>
      <c r="I1958" s="1" t="str">
        <f ca="1">IFERROR(__xludf.DUMMYFUNCTION("""COMPUTED_VALUE"""),"Pleiades Publishing")</f>
        <v>Pleiades Publishing</v>
      </c>
      <c r="J1958" s="1">
        <f ca="1">IFERROR(__xludf.DUMMYFUNCTION("""COMPUTED_VALUE"""),2007)</f>
        <v>2007</v>
      </c>
      <c r="K1958" s="1" t="str">
        <f ca="1">IFERROR(__xludf.DUMMYFUNCTION("""COMPUTED_VALUE"""),"Earth and Environmental Science")</f>
        <v>Earth and Environmental Science</v>
      </c>
      <c r="L1958" s="1" t="str">
        <f ca="1">IFERROR(__xludf.DUMMYFUNCTION("""COMPUTED_VALUE"""),"〇")</f>
        <v>〇</v>
      </c>
      <c r="M1958" s="1" t="str">
        <f ca="1">IFERROR(__xludf.DUMMYFUNCTION("""COMPUTED_VALUE"""),"〇")</f>
        <v>〇</v>
      </c>
      <c r="N1958" s="1" t="str">
        <f ca="1">IFERROR(__xludf.DUMMYFUNCTION("""COMPUTED_VALUE"""),"TO7")</f>
        <v>TO7</v>
      </c>
      <c r="O1958" s="1"/>
      <c r="P1958" s="1"/>
    </row>
    <row r="1959" spans="1:16" ht="14.25" customHeight="1" x14ac:dyDescent="0.25">
      <c r="A1959" s="1"/>
      <c r="B1959" s="1">
        <f ca="1"/>
        <v>1947</v>
      </c>
      <c r="C1959" s="1">
        <f ca="1">IFERROR(__xludf.DUMMYFUNCTION("""COMPUTED_VALUE"""),2023)</f>
        <v>2023</v>
      </c>
      <c r="D1959" s="1">
        <f ca="1">IFERROR(__xludf.DUMMYFUNCTION("""COMPUTED_VALUE"""),11180)</f>
        <v>11180</v>
      </c>
      <c r="E1959" s="1" t="str">
        <f ca="1">IFERROR(__xludf.DUMMYFUNCTION("""COMPUTED_VALUE"""),"Russian Microelectronics")</f>
        <v>Russian Microelectronics</v>
      </c>
      <c r="F1959" s="1" t="str">
        <f ca="1">IFERROR(__xludf.DUMMYFUNCTION("""COMPUTED_VALUE"""),"1608-3415")</f>
        <v>1608-3415</v>
      </c>
      <c r="G1959" s="1" t="str">
        <f ca="1">IFERROR(__xludf.DUMMYFUNCTION("""COMPUTED_VALUE"""),"1063-7397")</f>
        <v>1063-7397</v>
      </c>
      <c r="H1959" s="27" t="str">
        <f ca="1">IFERROR(__xludf.DUMMYFUNCTION("""COMPUTED_VALUE"""),"https://link.springer.com/journal/11180")</f>
        <v>https://link.springer.com/journal/11180</v>
      </c>
      <c r="I1959" s="1" t="str">
        <f ca="1">IFERROR(__xludf.DUMMYFUNCTION("""COMPUTED_VALUE"""),"Pleiades Publishing")</f>
        <v>Pleiades Publishing</v>
      </c>
      <c r="J1959" s="1">
        <f ca="1">IFERROR(__xludf.DUMMYFUNCTION("""COMPUTED_VALUE"""),2000)</f>
        <v>2000</v>
      </c>
      <c r="K1959" s="1" t="str">
        <f ca="1">IFERROR(__xludf.DUMMYFUNCTION("""COMPUTED_VALUE"""),"Engineering")</f>
        <v>Engineering</v>
      </c>
      <c r="L1959" s="1" t="str">
        <f ca="1">IFERROR(__xludf.DUMMYFUNCTION("""COMPUTED_VALUE"""),"〇")</f>
        <v>〇</v>
      </c>
      <c r="M1959" s="1" t="str">
        <f ca="1">IFERROR(__xludf.DUMMYFUNCTION("""COMPUTED_VALUE"""),"〇")</f>
        <v>〇</v>
      </c>
      <c r="N1959" s="1"/>
      <c r="O1959" s="1"/>
      <c r="P1959" s="1"/>
    </row>
    <row r="1960" spans="1:16" ht="14.25" customHeight="1" x14ac:dyDescent="0.25">
      <c r="A1960" s="1"/>
      <c r="B1960" s="1">
        <f ca="1"/>
        <v>1948</v>
      </c>
      <c r="C1960" s="1">
        <f ca="1">IFERROR(__xludf.DUMMYFUNCTION("""COMPUTED_VALUE"""),2023)</f>
        <v>2023</v>
      </c>
      <c r="D1960" s="1">
        <f ca="1">IFERROR(__xludf.DUMMYFUNCTION("""COMPUTED_VALUE"""),11182)</f>
        <v>11182</v>
      </c>
      <c r="E1960" s="1" t="str">
        <f ca="1">IFERROR(__xludf.DUMMYFUNCTION("""COMPUTED_VALUE"""),"Russian Physics Journal")</f>
        <v>Russian Physics Journal</v>
      </c>
      <c r="F1960" s="1" t="str">
        <f ca="1">IFERROR(__xludf.DUMMYFUNCTION("""COMPUTED_VALUE"""),"1573-9228")</f>
        <v>1573-9228</v>
      </c>
      <c r="G1960" s="1" t="str">
        <f ca="1">IFERROR(__xludf.DUMMYFUNCTION("""COMPUTED_VALUE"""),"1064-8887")</f>
        <v>1064-8887</v>
      </c>
      <c r="H1960" s="27" t="str">
        <f ca="1">IFERROR(__xludf.DUMMYFUNCTION("""COMPUTED_VALUE"""),"https://link.springer.com/journal/11182")</f>
        <v>https://link.springer.com/journal/11182</v>
      </c>
      <c r="I1960" s="1" t="str">
        <f ca="1">IFERROR(__xludf.DUMMYFUNCTION("""COMPUTED_VALUE"""),"Springer")</f>
        <v>Springer</v>
      </c>
      <c r="J1960" s="1">
        <f ca="1">IFERROR(__xludf.DUMMYFUNCTION("""COMPUTED_VALUE"""),2000)</f>
        <v>2000</v>
      </c>
      <c r="K1960" s="1" t="str">
        <f ca="1">IFERROR(__xludf.DUMMYFUNCTION("""COMPUTED_VALUE"""),"Physics and Astronomy")</f>
        <v>Physics and Astronomy</v>
      </c>
      <c r="L1960" s="1" t="str">
        <f ca="1">IFERROR(__xludf.DUMMYFUNCTION("""COMPUTED_VALUE"""),"〇")</f>
        <v>〇</v>
      </c>
      <c r="M1960" s="1" t="str">
        <f ca="1">IFERROR(__xludf.DUMMYFUNCTION("""COMPUTED_VALUE"""),"〇")</f>
        <v>〇</v>
      </c>
      <c r="N1960" s="1"/>
      <c r="O1960" s="1"/>
      <c r="P1960" s="1"/>
    </row>
    <row r="1961" spans="1:16" ht="14.25" customHeight="1" x14ac:dyDescent="0.25">
      <c r="A1961" s="1"/>
      <c r="B1961" s="1">
        <f ca="1"/>
        <v>1949</v>
      </c>
      <c r="C1961" s="1">
        <f ca="1">IFERROR(__xludf.DUMMYFUNCTION("""COMPUTED_VALUE"""),2023)</f>
        <v>2023</v>
      </c>
      <c r="D1961" s="1">
        <f ca="1">IFERROR(__xludf.DUMMYFUNCTION("""COMPUTED_VALUE"""),12046)</f>
        <v>12046</v>
      </c>
      <c r="E1961" s="1" t="str">
        <f ca="1">IFERROR(__xludf.DUMMYFUNCTION("""COMPUTED_VALUE"""),"Sādhanā")</f>
        <v>Sādhanā</v>
      </c>
      <c r="F1961" s="1" t="str">
        <f ca="1">IFERROR(__xludf.DUMMYFUNCTION("""COMPUTED_VALUE"""),"0973-7677")</f>
        <v>0973-7677</v>
      </c>
      <c r="G1961" s="1"/>
      <c r="H1961" s="27" t="str">
        <f ca="1">IFERROR(__xludf.DUMMYFUNCTION("""COMPUTED_VALUE"""),"https://link.springer.com/journal/12046")</f>
        <v>https://link.springer.com/journal/12046</v>
      </c>
      <c r="I1961" s="1" t="str">
        <f ca="1">IFERROR(__xludf.DUMMYFUNCTION("""COMPUTED_VALUE"""),"Springer")</f>
        <v>Springer</v>
      </c>
      <c r="J1961" s="1">
        <f ca="1">IFERROR(__xludf.DUMMYFUNCTION("""COMPUTED_VALUE"""),2000)</f>
        <v>2000</v>
      </c>
      <c r="K1961" s="1" t="str">
        <f ca="1">IFERROR(__xludf.DUMMYFUNCTION("""COMPUTED_VALUE"""),"Engineering")</f>
        <v>Engineering</v>
      </c>
      <c r="L1961" s="1"/>
      <c r="M1961" s="1" t="str">
        <f ca="1">IFERROR(__xludf.DUMMYFUNCTION("""COMPUTED_VALUE"""),"〇")</f>
        <v>〇</v>
      </c>
      <c r="N1961" s="1" t="str">
        <f ca="1">IFERROR(__xludf.DUMMYFUNCTION("""COMPUTED_VALUE"""),"SNS7")</f>
        <v>SNS7</v>
      </c>
      <c r="O1961" s="1"/>
      <c r="P1961" s="1"/>
    </row>
    <row r="1962" spans="1:16" ht="14.25" customHeight="1" x14ac:dyDescent="0.25">
      <c r="A1962" s="1"/>
      <c r="B1962" s="1">
        <f ca="1"/>
        <v>1950</v>
      </c>
      <c r="C1962" s="1">
        <f ca="1">IFERROR(__xludf.DUMMYFUNCTION("""COMPUTED_VALUE"""),2023)</f>
        <v>2023</v>
      </c>
      <c r="D1962" s="1">
        <f ca="1">IFERROR(__xludf.DUMMYFUNCTION("""COMPUTED_VALUE"""),42797)</f>
        <v>42797</v>
      </c>
      <c r="E1962" s="1" t="str">
        <f ca="1">IFERROR(__xludf.DUMMYFUNCTION("""COMPUTED_VALUE"""),"Safety in Extreme Environments")</f>
        <v>Safety in Extreme Environments</v>
      </c>
      <c r="F1962" s="1" t="str">
        <f ca="1">IFERROR(__xludf.DUMMYFUNCTION("""COMPUTED_VALUE"""),"2524-8189")</f>
        <v>2524-8189</v>
      </c>
      <c r="G1962" s="1" t="str">
        <f ca="1">IFERROR(__xludf.DUMMYFUNCTION("""COMPUTED_VALUE"""),"2524-8170")</f>
        <v>2524-8170</v>
      </c>
      <c r="H1962" s="27" t="str">
        <f ca="1">IFERROR(__xludf.DUMMYFUNCTION("""COMPUTED_VALUE"""),"https://link.springer.com/journal/42797")</f>
        <v>https://link.springer.com/journal/42797</v>
      </c>
      <c r="I1962" s="1" t="str">
        <f ca="1">IFERROR(__xludf.DUMMYFUNCTION("""COMPUTED_VALUE"""),"Springer")</f>
        <v>Springer</v>
      </c>
      <c r="J1962" s="1">
        <f ca="1">IFERROR(__xludf.DUMMYFUNCTION("""COMPUTED_VALUE"""),2019)</f>
        <v>2019</v>
      </c>
      <c r="K1962" s="1" t="str">
        <f ca="1">IFERROR(__xludf.DUMMYFUNCTION("""COMPUTED_VALUE"""),"Earth and Environmental Science")</f>
        <v>Earth and Environmental Science</v>
      </c>
      <c r="L1962" s="1" t="str">
        <f ca="1">IFERROR(__xludf.DUMMYFUNCTION("""COMPUTED_VALUE"""),"〇")</f>
        <v>〇</v>
      </c>
      <c r="M1962" s="1"/>
      <c r="N1962" s="1" t="str">
        <f ca="1">IFERROR(__xludf.DUMMYFUNCTION("""COMPUTED_VALUE"""),"SNS19")</f>
        <v>SNS19</v>
      </c>
      <c r="O1962" s="1"/>
      <c r="P1962" s="1"/>
    </row>
    <row r="1963" spans="1:16" ht="14.25" customHeight="1" x14ac:dyDescent="0.25">
      <c r="A1963" s="1"/>
      <c r="B1963" s="1">
        <f ca="1"/>
        <v>1951</v>
      </c>
      <c r="C1963" s="1">
        <f ca="1">IFERROR(__xludf.DUMMYFUNCTION("""COMPUTED_VALUE"""),2023)</f>
        <v>2023</v>
      </c>
      <c r="D1963" s="1">
        <f ca="1">IFERROR(__xludf.DUMMYFUNCTION("""COMPUTED_VALUE"""),13572)</f>
        <v>13572</v>
      </c>
      <c r="E1963" s="1" t="str">
        <f ca="1">IFERROR(__xludf.DUMMYFUNCTION("""COMPUTED_VALUE"""),"Sankhya")</f>
        <v>Sankhya</v>
      </c>
      <c r="F1963" s="1"/>
      <c r="G1963" s="1"/>
      <c r="H1963" s="27" t="str">
        <f ca="1">IFERROR(__xludf.DUMMYFUNCTION("""COMPUTED_VALUE"""),"https://link.springer.com/journal/13572")</f>
        <v>https://link.springer.com/journal/13572</v>
      </c>
      <c r="I1963" s="1" t="str">
        <f ca="1">IFERROR(__xludf.DUMMYFUNCTION("""COMPUTED_VALUE"""),"Springer")</f>
        <v>Springer</v>
      </c>
      <c r="J1963" s="1">
        <f ca="1">IFERROR(__xludf.DUMMYFUNCTION("""COMPUTED_VALUE"""),2010)</f>
        <v>2010</v>
      </c>
      <c r="K1963" s="1" t="str">
        <f ca="1">IFERROR(__xludf.DUMMYFUNCTION("""COMPUTED_VALUE"""),"Mathematics and Statistics")</f>
        <v>Mathematics and Statistics</v>
      </c>
      <c r="L1963" s="1"/>
      <c r="M1963" s="1"/>
      <c r="N1963" s="1" t="str">
        <f ca="1">IFERROR(__xludf.DUMMYFUNCTION("""COMPUTED_VALUE"""),"TO10")</f>
        <v>TO10</v>
      </c>
      <c r="O1963" s="1"/>
      <c r="P1963" s="1"/>
    </row>
    <row r="1964" spans="1:16" ht="14.25" customHeight="1" x14ac:dyDescent="0.25">
      <c r="A1964" s="1"/>
      <c r="B1964" s="1">
        <f ca="1"/>
        <v>1952</v>
      </c>
      <c r="C1964" s="1">
        <f ca="1">IFERROR(__xludf.DUMMYFUNCTION("""COMPUTED_VALUE"""),2023)</f>
        <v>2023</v>
      </c>
      <c r="D1964" s="1">
        <f ca="1">IFERROR(__xludf.DUMMYFUNCTION("""COMPUTED_VALUE"""),40863)</f>
        <v>40863</v>
      </c>
      <c r="E1964" s="1" t="str">
        <f ca="1">IFERROR(__xludf.DUMMYFUNCTION("""COMPUTED_VALUE"""),"São Paulo Journal of Mathematical Sciences")</f>
        <v>São Paulo Journal of Mathematical Sciences</v>
      </c>
      <c r="F1964" s="1" t="str">
        <f ca="1">IFERROR(__xludf.DUMMYFUNCTION("""COMPUTED_VALUE"""),"2316-9028")</f>
        <v>2316-9028</v>
      </c>
      <c r="G1964" s="1" t="str">
        <f ca="1">IFERROR(__xludf.DUMMYFUNCTION("""COMPUTED_VALUE"""),"1982-6907")</f>
        <v>1982-6907</v>
      </c>
      <c r="H1964" s="27" t="str">
        <f ca="1">IFERROR(__xludf.DUMMYFUNCTION("""COMPUTED_VALUE"""),"https://link.springer.com/journal/40863")</f>
        <v>https://link.springer.com/journal/40863</v>
      </c>
      <c r="I1964" s="1" t="str">
        <f ca="1">IFERROR(__xludf.DUMMYFUNCTION("""COMPUTED_VALUE"""),"Springer")</f>
        <v>Springer</v>
      </c>
      <c r="J1964" s="1">
        <f ca="1">IFERROR(__xludf.DUMMYFUNCTION("""COMPUTED_VALUE"""),2015)</f>
        <v>2015</v>
      </c>
      <c r="K1964" s="1" t="str">
        <f ca="1">IFERROR(__xludf.DUMMYFUNCTION("""COMPUTED_VALUE"""),"Mathematics and Statistics")</f>
        <v>Mathematics and Statistics</v>
      </c>
      <c r="L1964" s="1" t="str">
        <f ca="1">IFERROR(__xludf.DUMMYFUNCTION("""COMPUTED_VALUE"""),"〇")</f>
        <v>〇</v>
      </c>
      <c r="M1964" s="1"/>
      <c r="N1964" s="1" t="str">
        <f ca="1">IFERROR(__xludf.DUMMYFUNCTION("""COMPUTED_VALUE"""),"TO15")</f>
        <v>TO15</v>
      </c>
      <c r="O1964" s="1"/>
      <c r="P1964" s="1"/>
    </row>
    <row r="1965" spans="1:16" ht="14.25" customHeight="1" x14ac:dyDescent="0.25">
      <c r="A1965" s="1"/>
      <c r="B1965" s="1">
        <f ca="1"/>
        <v>1953</v>
      </c>
      <c r="C1965" s="1">
        <f ca="1">IFERROR(__xludf.DUMMYFUNCTION("""COMPUTED_VALUE"""),2023)</f>
        <v>2023</v>
      </c>
      <c r="D1965" s="1">
        <f ca="1">IFERROR(__xludf.DUMMYFUNCTION("""COMPUTED_VALUE"""),940)</f>
        <v>940</v>
      </c>
      <c r="E1965" s="1" t="str">
        <f ca="1">IFERROR(__xludf.DUMMYFUNCTION("""COMPUTED_VALUE"""),"Schmerzmedizin")</f>
        <v>Schmerzmedizin</v>
      </c>
      <c r="F1965" s="1" t="str">
        <f ca="1">IFERROR(__xludf.DUMMYFUNCTION("""COMPUTED_VALUE"""),"2364-1010")</f>
        <v>2364-1010</v>
      </c>
      <c r="G1965" s="1" t="str">
        <f ca="1">IFERROR(__xludf.DUMMYFUNCTION("""COMPUTED_VALUE"""),"2194-2536")</f>
        <v>2194-2536</v>
      </c>
      <c r="H1965" s="27" t="str">
        <f ca="1">IFERROR(__xludf.DUMMYFUNCTION("""COMPUTED_VALUE"""),"https://link.springer.com/journal/940")</f>
        <v>https://link.springer.com/journal/940</v>
      </c>
      <c r="I1965" s="1" t="str">
        <f ca="1">IFERROR(__xludf.DUMMYFUNCTION("""COMPUTED_VALUE"""),"SpringerMedizin")</f>
        <v>SpringerMedizin</v>
      </c>
      <c r="J1965" s="1">
        <f ca="1">IFERROR(__xludf.DUMMYFUNCTION("""COMPUTED_VALUE"""),2015)</f>
        <v>2015</v>
      </c>
      <c r="K1965" s="1" t="str">
        <f ca="1">IFERROR(__xludf.DUMMYFUNCTION("""COMPUTED_VALUE"""),"Medicine")</f>
        <v>Medicine</v>
      </c>
      <c r="L1965" s="1" t="str">
        <f ca="1">IFERROR(__xludf.DUMMYFUNCTION("""COMPUTED_VALUE"""),"〇")</f>
        <v>〇</v>
      </c>
      <c r="M1965" s="1"/>
      <c r="N1965" s="1"/>
      <c r="O1965" s="1"/>
      <c r="P1965" s="1"/>
    </row>
    <row r="1966" spans="1:16" ht="14.25" customHeight="1" x14ac:dyDescent="0.25">
      <c r="A1966" s="1"/>
      <c r="B1966" s="1">
        <f ca="1"/>
        <v>1954</v>
      </c>
      <c r="C1966" s="1">
        <f ca="1">IFERROR(__xludf.DUMMYFUNCTION("""COMPUTED_VALUE"""),2023)</f>
        <v>2023</v>
      </c>
      <c r="D1966" s="1">
        <f ca="1">IFERROR(__xludf.DUMMYFUNCTION("""COMPUTED_VALUE"""),12310)</f>
        <v>12310</v>
      </c>
      <c r="E1966" s="1" t="str">
        <f ca="1">IFERROR(__xludf.DUMMYFUNCTION("""COMPUTED_VALUE"""),"School Mental Health")</f>
        <v>School Mental Health</v>
      </c>
      <c r="F1966" s="1" t="str">
        <f ca="1">IFERROR(__xludf.DUMMYFUNCTION("""COMPUTED_VALUE"""),"1866-2633")</f>
        <v>1866-2633</v>
      </c>
      <c r="G1966" s="1" t="str">
        <f ca="1">IFERROR(__xludf.DUMMYFUNCTION("""COMPUTED_VALUE"""),"1866-2625")</f>
        <v>1866-2625</v>
      </c>
      <c r="H1966" s="27" t="str">
        <f ca="1">IFERROR(__xludf.DUMMYFUNCTION("""COMPUTED_VALUE"""),"https://link.springer.com/journal/12310")</f>
        <v>https://link.springer.com/journal/12310</v>
      </c>
      <c r="I1966" s="1" t="str">
        <f ca="1">IFERROR(__xludf.DUMMYFUNCTION("""COMPUTED_VALUE"""),"Springer")</f>
        <v>Springer</v>
      </c>
      <c r="J1966" s="1">
        <f ca="1">IFERROR(__xludf.DUMMYFUNCTION("""COMPUTED_VALUE"""),2009)</f>
        <v>2009</v>
      </c>
      <c r="K1966" s="1" t="str">
        <f ca="1">IFERROR(__xludf.DUMMYFUNCTION("""COMPUTED_VALUE"""),"Behavioral Science and Psychology")</f>
        <v>Behavioral Science and Psychology</v>
      </c>
      <c r="L1966" s="1" t="str">
        <f ca="1">IFERROR(__xludf.DUMMYFUNCTION("""COMPUTED_VALUE"""),"〇")</f>
        <v>〇</v>
      </c>
      <c r="M1966" s="1" t="str">
        <f ca="1">IFERROR(__xludf.DUMMYFUNCTION("""COMPUTED_VALUE"""),"〇")</f>
        <v>〇</v>
      </c>
      <c r="N1966" s="1" t="str">
        <f ca="1">IFERROR(__xludf.DUMMYFUNCTION("""COMPUTED_VALUE"""),"SNS9")</f>
        <v>SNS9</v>
      </c>
      <c r="O1966" s="1"/>
      <c r="P1966" s="1"/>
    </row>
    <row r="1967" spans="1:16" ht="14.25" customHeight="1" x14ac:dyDescent="0.25">
      <c r="A1967" s="1"/>
      <c r="B1967" s="1">
        <f ca="1"/>
        <v>1955</v>
      </c>
      <c r="C1967" s="1">
        <f ca="1">IFERROR(__xludf.DUMMYFUNCTION("""COMPUTED_VALUE"""),2023)</f>
        <v>2023</v>
      </c>
      <c r="D1967" s="1">
        <f ca="1">IFERROR(__xludf.DUMMYFUNCTION("""COMPUTED_VALUE"""),43472)</f>
        <v>43472</v>
      </c>
      <c r="E1967" s="1" t="str">
        <f ca="1">IFERROR(__xludf.DUMMYFUNCTION("""COMPUTED_VALUE"""),"Schweizer Gastroenterologie")</f>
        <v>Schweizer Gastroenterologie</v>
      </c>
      <c r="F1967" s="1" t="str">
        <f ca="1">IFERROR(__xludf.DUMMYFUNCTION("""COMPUTED_VALUE"""),"2662-7159")</f>
        <v>2662-7159</v>
      </c>
      <c r="G1967" s="1" t="str">
        <f ca="1">IFERROR(__xludf.DUMMYFUNCTION("""COMPUTED_VALUE"""),"2662-7140")</f>
        <v>2662-7140</v>
      </c>
      <c r="H1967" s="27" t="str">
        <f ca="1">IFERROR(__xludf.DUMMYFUNCTION("""COMPUTED_VALUE"""),"https://link.springer.com/journal/43472")</f>
        <v>https://link.springer.com/journal/43472</v>
      </c>
      <c r="I1967" s="1" t="str">
        <f ca="1">IFERROR(__xludf.DUMMYFUNCTION("""COMPUTED_VALUE"""),"SpringerMedizin")</f>
        <v>SpringerMedizin</v>
      </c>
      <c r="J1967" s="1">
        <f ca="1">IFERROR(__xludf.DUMMYFUNCTION("""COMPUTED_VALUE"""),2020)</f>
        <v>2020</v>
      </c>
      <c r="K1967" s="1" t="str">
        <f ca="1">IFERROR(__xludf.DUMMYFUNCTION("""COMPUTED_VALUE"""),"Medicine")</f>
        <v>Medicine</v>
      </c>
      <c r="L1967" s="1" t="str">
        <f ca="1">IFERROR(__xludf.DUMMYFUNCTION("""COMPUTED_VALUE"""),"〇")</f>
        <v>〇</v>
      </c>
      <c r="M1967" s="1"/>
      <c r="N1967" s="1" t="str">
        <f ca="1">IFERROR(__xludf.DUMMYFUNCTION("""COMPUTED_VALUE"""),"SNS20")</f>
        <v>SNS20</v>
      </c>
      <c r="O1967" s="1"/>
      <c r="P1967" s="1"/>
    </row>
    <row r="1968" spans="1:16" ht="14.25" customHeight="1" x14ac:dyDescent="0.25">
      <c r="A1968" s="1"/>
      <c r="B1968" s="1">
        <f ca="1"/>
        <v>1956</v>
      </c>
      <c r="C1968" s="1">
        <f ca="1">IFERROR(__xludf.DUMMYFUNCTION("""COMPUTED_VALUE"""),2023)</f>
        <v>2023</v>
      </c>
      <c r="D1968" s="1">
        <f ca="1">IFERROR(__xludf.DUMMYFUNCTION("""COMPUTED_VALUE"""),11191)</f>
        <v>11191</v>
      </c>
      <c r="E1968" s="1" t="str">
        <f ca="1">IFERROR(__xludf.DUMMYFUNCTION("""COMPUTED_VALUE"""),"Science &amp; Education")</f>
        <v>Science &amp; Education</v>
      </c>
      <c r="F1968" s="1" t="str">
        <f ca="1">IFERROR(__xludf.DUMMYFUNCTION("""COMPUTED_VALUE"""),"1573-1901")</f>
        <v>1573-1901</v>
      </c>
      <c r="G1968" s="1" t="str">
        <f ca="1">IFERROR(__xludf.DUMMYFUNCTION("""COMPUTED_VALUE"""),"0926-7220")</f>
        <v>0926-7220</v>
      </c>
      <c r="H1968" s="27" t="str">
        <f ca="1">IFERROR(__xludf.DUMMYFUNCTION("""COMPUTED_VALUE"""),"https://link.springer.com/journal/11191")</f>
        <v>https://link.springer.com/journal/11191</v>
      </c>
      <c r="I1968" s="1" t="str">
        <f ca="1">IFERROR(__xludf.DUMMYFUNCTION("""COMPUTED_VALUE"""),"Springer")</f>
        <v>Springer</v>
      </c>
      <c r="J1968" s="1">
        <f ca="1">IFERROR(__xludf.DUMMYFUNCTION("""COMPUTED_VALUE"""),2000)</f>
        <v>2000</v>
      </c>
      <c r="K1968" s="1" t="str">
        <f ca="1">IFERROR(__xludf.DUMMYFUNCTION("""COMPUTED_VALUE"""),"Education")</f>
        <v>Education</v>
      </c>
      <c r="L1968" s="1" t="str">
        <f ca="1">IFERROR(__xludf.DUMMYFUNCTION("""COMPUTED_VALUE"""),"〇")</f>
        <v>〇</v>
      </c>
      <c r="M1968" s="1" t="str">
        <f ca="1">IFERROR(__xludf.DUMMYFUNCTION("""COMPUTED_VALUE"""),"〇")</f>
        <v>〇</v>
      </c>
      <c r="N1968" s="1"/>
      <c r="O1968" s="1"/>
      <c r="P1968" s="1"/>
    </row>
    <row r="1969" spans="1:16" ht="14.25" customHeight="1" x14ac:dyDescent="0.25">
      <c r="A1969" s="1"/>
      <c r="B1969" s="1">
        <f ca="1"/>
        <v>1957</v>
      </c>
      <c r="C1969" s="1">
        <f ca="1">IFERROR(__xludf.DUMMYFUNCTION("""COMPUTED_VALUE"""),2023)</f>
        <v>2023</v>
      </c>
      <c r="D1969" s="1">
        <f ca="1">IFERROR(__xludf.DUMMYFUNCTION("""COMPUTED_VALUE"""),11948)</f>
        <v>11948</v>
      </c>
      <c r="E1969" s="1" t="str">
        <f ca="1">IFERROR(__xludf.DUMMYFUNCTION("""COMPUTED_VALUE"""),"Science and Engineering Ethics")</f>
        <v>Science and Engineering Ethics</v>
      </c>
      <c r="F1969" s="1" t="str">
        <f ca="1">IFERROR(__xludf.DUMMYFUNCTION("""COMPUTED_VALUE"""),"1471-5546")</f>
        <v>1471-5546</v>
      </c>
      <c r="G1969" s="1" t="str">
        <f ca="1">IFERROR(__xludf.DUMMYFUNCTION("""COMPUTED_VALUE"""),"1353-3452")</f>
        <v>1353-3452</v>
      </c>
      <c r="H1969" s="27" t="str">
        <f ca="1">IFERROR(__xludf.DUMMYFUNCTION("""COMPUTED_VALUE"""),"https://link.springer.com/journal/11948")</f>
        <v>https://link.springer.com/journal/11948</v>
      </c>
      <c r="I1969" s="1" t="str">
        <f ca="1">IFERROR(__xludf.DUMMYFUNCTION("""COMPUTED_VALUE"""),"Springer")</f>
        <v>Springer</v>
      </c>
      <c r="J1969" s="1">
        <f ca="1">IFERROR(__xludf.DUMMYFUNCTION("""COMPUTED_VALUE"""),2000)</f>
        <v>2000</v>
      </c>
      <c r="K1969" s="1" t="str">
        <f ca="1">IFERROR(__xludf.DUMMYFUNCTION("""COMPUTED_VALUE"""),"Education")</f>
        <v>Education</v>
      </c>
      <c r="L1969" s="1" t="str">
        <f ca="1">IFERROR(__xludf.DUMMYFUNCTION("""COMPUTED_VALUE"""),"〇")</f>
        <v>〇</v>
      </c>
      <c r="M1969" s="1" t="str">
        <f ca="1">IFERROR(__xludf.DUMMYFUNCTION("""COMPUTED_VALUE"""),"〇")</f>
        <v>〇</v>
      </c>
      <c r="N1969" s="1" t="str">
        <f ca="1">IFERROR(__xludf.DUMMYFUNCTION("""COMPUTED_VALUE"""),"TO7")</f>
        <v>TO7</v>
      </c>
      <c r="O1969" s="1"/>
      <c r="P1969" s="1"/>
    </row>
    <row r="1970" spans="1:16" ht="14.25" customHeight="1" x14ac:dyDescent="0.25">
      <c r="A1970" s="1"/>
      <c r="B1970" s="1">
        <f ca="1"/>
        <v>1958</v>
      </c>
      <c r="C1970" s="1">
        <f ca="1">IFERROR(__xludf.DUMMYFUNCTION("""COMPUTED_VALUE"""),2023)</f>
        <v>2023</v>
      </c>
      <c r="D1970" s="1">
        <f ca="1">IFERROR(__xludf.DUMMYFUNCTION("""COMPUTED_VALUE"""),11426)</f>
        <v>11426</v>
      </c>
      <c r="E1970" s="1" t="str">
        <f ca="1">IFERROR(__xludf.DUMMYFUNCTION("""COMPUTED_VALUE"""),"Science China Chemistry")</f>
        <v>Science China Chemistry</v>
      </c>
      <c r="F1970" s="1" t="str">
        <f ca="1">IFERROR(__xludf.DUMMYFUNCTION("""COMPUTED_VALUE"""),"1869-1870")</f>
        <v>1869-1870</v>
      </c>
      <c r="G1970" s="1" t="str">
        <f ca="1">IFERROR(__xludf.DUMMYFUNCTION("""COMPUTED_VALUE"""),"1674-7291")</f>
        <v>1674-7291</v>
      </c>
      <c r="H1970" s="27" t="str">
        <f ca="1">IFERROR(__xludf.DUMMYFUNCTION("""COMPUTED_VALUE"""),"https://link.springer.com/journal/11426")</f>
        <v>https://link.springer.com/journal/11426</v>
      </c>
      <c r="I1970" s="1" t="str">
        <f ca="1">IFERROR(__xludf.DUMMYFUNCTION("""COMPUTED_VALUE"""),"Science China Press, co-published with Springer")</f>
        <v>Science China Press, co-published with Springer</v>
      </c>
      <c r="J1970" s="1">
        <f ca="1">IFERROR(__xludf.DUMMYFUNCTION("""COMPUTED_VALUE"""),2000)</f>
        <v>2000</v>
      </c>
      <c r="K1970" s="1" t="str">
        <f ca="1">IFERROR(__xludf.DUMMYFUNCTION("""COMPUTED_VALUE"""),"Chemistry and Materials Science")</f>
        <v>Chemistry and Materials Science</v>
      </c>
      <c r="L1970" s="1" t="str">
        <f ca="1">IFERROR(__xludf.DUMMYFUNCTION("""COMPUTED_VALUE"""),"〇")</f>
        <v>〇</v>
      </c>
      <c r="M1970" s="1" t="str">
        <f ca="1">IFERROR(__xludf.DUMMYFUNCTION("""COMPUTED_VALUE"""),"〇")</f>
        <v>〇</v>
      </c>
      <c r="N1970" s="1"/>
      <c r="O1970" s="1"/>
      <c r="P1970" s="1"/>
    </row>
    <row r="1971" spans="1:16" ht="14.25" customHeight="1" x14ac:dyDescent="0.25">
      <c r="A1971" s="1"/>
      <c r="B1971" s="1">
        <f ca="1"/>
        <v>1959</v>
      </c>
      <c r="C1971" s="1">
        <f ca="1">IFERROR(__xludf.DUMMYFUNCTION("""COMPUTED_VALUE"""),2023)</f>
        <v>2023</v>
      </c>
      <c r="D1971" s="1">
        <f ca="1">IFERROR(__xludf.DUMMYFUNCTION("""COMPUTED_VALUE"""),11430)</f>
        <v>11430</v>
      </c>
      <c r="E1971" s="1" t="str">
        <f ca="1">IFERROR(__xludf.DUMMYFUNCTION("""COMPUTED_VALUE"""),"Science China Earth Sciences")</f>
        <v>Science China Earth Sciences</v>
      </c>
      <c r="F1971" s="1" t="str">
        <f ca="1">IFERROR(__xludf.DUMMYFUNCTION("""COMPUTED_VALUE"""),"1869-1897")</f>
        <v>1869-1897</v>
      </c>
      <c r="G1971" s="1" t="str">
        <f ca="1">IFERROR(__xludf.DUMMYFUNCTION("""COMPUTED_VALUE"""),"1674-7313")</f>
        <v>1674-7313</v>
      </c>
      <c r="H1971" s="27" t="str">
        <f ca="1">IFERROR(__xludf.DUMMYFUNCTION("""COMPUTED_VALUE"""),"https://link.springer.com/journal/11430")</f>
        <v>https://link.springer.com/journal/11430</v>
      </c>
      <c r="I1971" s="1" t="str">
        <f ca="1">IFERROR(__xludf.DUMMYFUNCTION("""COMPUTED_VALUE"""),"Science China Press, co-published with Springer")</f>
        <v>Science China Press, co-published with Springer</v>
      </c>
      <c r="J1971" s="1">
        <f ca="1">IFERROR(__xludf.DUMMYFUNCTION("""COMPUTED_VALUE"""),2000)</f>
        <v>2000</v>
      </c>
      <c r="K1971" s="1" t="str">
        <f ca="1">IFERROR(__xludf.DUMMYFUNCTION("""COMPUTED_VALUE"""),"Earth and Environmental Science")</f>
        <v>Earth and Environmental Science</v>
      </c>
      <c r="L1971" s="1" t="str">
        <f ca="1">IFERROR(__xludf.DUMMYFUNCTION("""COMPUTED_VALUE"""),"〇")</f>
        <v>〇</v>
      </c>
      <c r="M1971" s="1" t="str">
        <f ca="1">IFERROR(__xludf.DUMMYFUNCTION("""COMPUTED_VALUE"""),"〇")</f>
        <v>〇</v>
      </c>
      <c r="N1971" s="1"/>
      <c r="O1971" s="1"/>
      <c r="P1971" s="1"/>
    </row>
    <row r="1972" spans="1:16" ht="14.25" customHeight="1" x14ac:dyDescent="0.25">
      <c r="A1972" s="1"/>
      <c r="B1972" s="1">
        <f ca="1"/>
        <v>1960</v>
      </c>
      <c r="C1972" s="1">
        <f ca="1">IFERROR(__xludf.DUMMYFUNCTION("""COMPUTED_VALUE"""),2023)</f>
        <v>2023</v>
      </c>
      <c r="D1972" s="1">
        <f ca="1">IFERROR(__xludf.DUMMYFUNCTION("""COMPUTED_VALUE"""),11432)</f>
        <v>11432</v>
      </c>
      <c r="E1972" s="1" t="str">
        <f ca="1">IFERROR(__xludf.DUMMYFUNCTION("""COMPUTED_VALUE"""),"Science China Information Sciences")</f>
        <v>Science China Information Sciences</v>
      </c>
      <c r="F1972" s="1" t="str">
        <f ca="1">IFERROR(__xludf.DUMMYFUNCTION("""COMPUTED_VALUE"""),"1869-1919")</f>
        <v>1869-1919</v>
      </c>
      <c r="G1972" s="1" t="str">
        <f ca="1">IFERROR(__xludf.DUMMYFUNCTION("""COMPUTED_VALUE"""),"1674-733X")</f>
        <v>1674-733X</v>
      </c>
      <c r="H1972" s="27" t="str">
        <f ca="1">IFERROR(__xludf.DUMMYFUNCTION("""COMPUTED_VALUE"""),"https://link.springer.com/journal/11432")</f>
        <v>https://link.springer.com/journal/11432</v>
      </c>
      <c r="I1972" s="1" t="str">
        <f ca="1">IFERROR(__xludf.DUMMYFUNCTION("""COMPUTED_VALUE"""),"Science China Press, co-published with Springer")</f>
        <v>Science China Press, co-published with Springer</v>
      </c>
      <c r="J1972" s="1">
        <f ca="1">IFERROR(__xludf.DUMMYFUNCTION("""COMPUTED_VALUE"""),2001)</f>
        <v>2001</v>
      </c>
      <c r="K1972" s="1" t="str">
        <f ca="1">IFERROR(__xludf.DUMMYFUNCTION("""COMPUTED_VALUE"""),"Computer Science")</f>
        <v>Computer Science</v>
      </c>
      <c r="L1972" s="1" t="str">
        <f ca="1">IFERROR(__xludf.DUMMYFUNCTION("""COMPUTED_VALUE"""),"〇")</f>
        <v>〇</v>
      </c>
      <c r="M1972" s="1" t="str">
        <f ca="1">IFERROR(__xludf.DUMMYFUNCTION("""COMPUTED_VALUE"""),"〇")</f>
        <v>〇</v>
      </c>
      <c r="N1972" s="1"/>
      <c r="O1972" s="1"/>
      <c r="P1972" s="1"/>
    </row>
    <row r="1973" spans="1:16" ht="14.25" customHeight="1" x14ac:dyDescent="0.25">
      <c r="A1973" s="1"/>
      <c r="B1973" s="1">
        <f ca="1"/>
        <v>1961</v>
      </c>
      <c r="C1973" s="1">
        <f ca="1">IFERROR(__xludf.DUMMYFUNCTION("""COMPUTED_VALUE"""),2023)</f>
        <v>2023</v>
      </c>
      <c r="D1973" s="1">
        <f ca="1">IFERROR(__xludf.DUMMYFUNCTION("""COMPUTED_VALUE"""),11427)</f>
        <v>11427</v>
      </c>
      <c r="E1973" s="1" t="str">
        <f ca="1">IFERROR(__xludf.DUMMYFUNCTION("""COMPUTED_VALUE"""),"Science China Life Sciences")</f>
        <v>Science China Life Sciences</v>
      </c>
      <c r="F1973" s="1" t="str">
        <f ca="1">IFERROR(__xludf.DUMMYFUNCTION("""COMPUTED_VALUE"""),"1869-1889")</f>
        <v>1869-1889</v>
      </c>
      <c r="G1973" s="1" t="str">
        <f ca="1">IFERROR(__xludf.DUMMYFUNCTION("""COMPUTED_VALUE"""),"1674-7305")</f>
        <v>1674-7305</v>
      </c>
      <c r="H1973" s="27" t="str">
        <f ca="1">IFERROR(__xludf.DUMMYFUNCTION("""COMPUTED_VALUE"""),"https://link.springer.com/journal/11427")</f>
        <v>https://link.springer.com/journal/11427</v>
      </c>
      <c r="I1973" s="1" t="str">
        <f ca="1">IFERROR(__xludf.DUMMYFUNCTION("""COMPUTED_VALUE"""),"Science China Press, co-published with Springer")</f>
        <v>Science China Press, co-published with Springer</v>
      </c>
      <c r="J1973" s="1">
        <f ca="1">IFERROR(__xludf.DUMMYFUNCTION("""COMPUTED_VALUE"""),2000)</f>
        <v>2000</v>
      </c>
      <c r="K1973" s="1" t="str">
        <f ca="1">IFERROR(__xludf.DUMMYFUNCTION("""COMPUTED_VALUE"""),"Biomedical and Life Sciences")</f>
        <v>Biomedical and Life Sciences</v>
      </c>
      <c r="L1973" s="1" t="str">
        <f ca="1">IFERROR(__xludf.DUMMYFUNCTION("""COMPUTED_VALUE"""),"〇")</f>
        <v>〇</v>
      </c>
      <c r="M1973" s="1"/>
      <c r="N1973" s="1"/>
      <c r="O1973" s="1"/>
      <c r="P1973" s="1"/>
    </row>
    <row r="1974" spans="1:16" ht="14.25" customHeight="1" x14ac:dyDescent="0.25">
      <c r="A1974" s="1"/>
      <c r="B1974" s="1">
        <f ca="1"/>
        <v>1962</v>
      </c>
      <c r="C1974" s="1">
        <f ca="1">IFERROR(__xludf.DUMMYFUNCTION("""COMPUTED_VALUE"""),2023)</f>
        <v>2023</v>
      </c>
      <c r="D1974" s="1">
        <f ca="1">IFERROR(__xludf.DUMMYFUNCTION("""COMPUTED_VALUE"""),40843)</f>
        <v>40843</v>
      </c>
      <c r="E1974" s="1" t="str">
        <f ca="1">IFERROR(__xludf.DUMMYFUNCTION("""COMPUTED_VALUE"""),"Science China Materials")</f>
        <v>Science China Materials</v>
      </c>
      <c r="F1974" s="1" t="str">
        <f ca="1">IFERROR(__xludf.DUMMYFUNCTION("""COMPUTED_VALUE"""),"2199-4501")</f>
        <v>2199-4501</v>
      </c>
      <c r="G1974" s="1" t="str">
        <f ca="1">IFERROR(__xludf.DUMMYFUNCTION("""COMPUTED_VALUE"""),"2095-8226")</f>
        <v>2095-8226</v>
      </c>
      <c r="H1974" s="27" t="str">
        <f ca="1">IFERROR(__xludf.DUMMYFUNCTION("""COMPUTED_VALUE"""),"https://link.springer.com/journal/40843")</f>
        <v>https://link.springer.com/journal/40843</v>
      </c>
      <c r="I1974" s="1" t="str">
        <f ca="1">IFERROR(__xludf.DUMMYFUNCTION("""COMPUTED_VALUE"""),"Science China Press, co-published with Springer")</f>
        <v>Science China Press, co-published with Springer</v>
      </c>
      <c r="J1974" s="1">
        <f ca="1">IFERROR(__xludf.DUMMYFUNCTION("""COMPUTED_VALUE"""),2014)</f>
        <v>2014</v>
      </c>
      <c r="K1974" s="1" t="str">
        <f ca="1">IFERROR(__xludf.DUMMYFUNCTION("""COMPUTED_VALUE"""),"Chemistry and Materials Science")</f>
        <v>Chemistry and Materials Science</v>
      </c>
      <c r="L1974" s="1" t="str">
        <f ca="1">IFERROR(__xludf.DUMMYFUNCTION("""COMPUTED_VALUE"""),"〇")</f>
        <v>〇</v>
      </c>
      <c r="M1974" s="1"/>
      <c r="N1974" s="1" t="str">
        <f ca="1">IFERROR(__xludf.DUMMYFUNCTION("""COMPUTED_VALUE"""),"SNS14")</f>
        <v>SNS14</v>
      </c>
      <c r="O1974" s="1"/>
      <c r="P1974" s="1"/>
    </row>
    <row r="1975" spans="1:16" ht="14.25" customHeight="1" x14ac:dyDescent="0.25">
      <c r="A1975" s="1"/>
      <c r="B1975" s="1">
        <f ca="1"/>
        <v>1963</v>
      </c>
      <c r="C1975" s="1">
        <f ca="1">IFERROR(__xludf.DUMMYFUNCTION("""COMPUTED_VALUE"""),2023)</f>
        <v>2023</v>
      </c>
      <c r="D1975" s="1">
        <f ca="1">IFERROR(__xludf.DUMMYFUNCTION("""COMPUTED_VALUE"""),11425)</f>
        <v>11425</v>
      </c>
      <c r="E1975" s="1" t="str">
        <f ca="1">IFERROR(__xludf.DUMMYFUNCTION("""COMPUTED_VALUE"""),"Science China Mathematics")</f>
        <v>Science China Mathematics</v>
      </c>
      <c r="F1975" s="1" t="str">
        <f ca="1">IFERROR(__xludf.DUMMYFUNCTION("""COMPUTED_VALUE"""),"1869-1862")</f>
        <v>1869-1862</v>
      </c>
      <c r="G1975" s="1" t="str">
        <f ca="1">IFERROR(__xludf.DUMMYFUNCTION("""COMPUTED_VALUE"""),"1674-7283")</f>
        <v>1674-7283</v>
      </c>
      <c r="H1975" s="27" t="str">
        <f ca="1">IFERROR(__xludf.DUMMYFUNCTION("""COMPUTED_VALUE"""),"https://link.springer.com/journal/11425")</f>
        <v>https://link.springer.com/journal/11425</v>
      </c>
      <c r="I1975" s="1" t="str">
        <f ca="1">IFERROR(__xludf.DUMMYFUNCTION("""COMPUTED_VALUE"""),"Science China Press, co-published with Springer")</f>
        <v>Science China Press, co-published with Springer</v>
      </c>
      <c r="J1975" s="1">
        <f ca="1">IFERROR(__xludf.DUMMYFUNCTION("""COMPUTED_VALUE"""),2000)</f>
        <v>2000</v>
      </c>
      <c r="K1975" s="1" t="str">
        <f ca="1">IFERROR(__xludf.DUMMYFUNCTION("""COMPUTED_VALUE"""),"Mathematics and Statistics")</f>
        <v>Mathematics and Statistics</v>
      </c>
      <c r="L1975" s="1" t="str">
        <f ca="1">IFERROR(__xludf.DUMMYFUNCTION("""COMPUTED_VALUE"""),"〇")</f>
        <v>〇</v>
      </c>
      <c r="M1975" s="1" t="str">
        <f ca="1">IFERROR(__xludf.DUMMYFUNCTION("""COMPUTED_VALUE"""),"〇")</f>
        <v>〇</v>
      </c>
      <c r="N1975" s="1"/>
      <c r="O1975" s="1"/>
      <c r="P1975" s="1"/>
    </row>
    <row r="1976" spans="1:16" ht="14.25" customHeight="1" x14ac:dyDescent="0.25">
      <c r="A1976" s="1"/>
      <c r="B1976" s="1">
        <f ca="1"/>
        <v>1964</v>
      </c>
      <c r="C1976" s="1">
        <f ca="1">IFERROR(__xludf.DUMMYFUNCTION("""COMPUTED_VALUE"""),2023)</f>
        <v>2023</v>
      </c>
      <c r="D1976" s="1">
        <f ca="1">IFERROR(__xludf.DUMMYFUNCTION("""COMPUTED_VALUE"""),11433)</f>
        <v>11433</v>
      </c>
      <c r="E1976" s="1" t="str">
        <f ca="1">IFERROR(__xludf.DUMMYFUNCTION("""COMPUTED_VALUE"""),"Science China Physics, Mechanics &amp; Astronomy")</f>
        <v>Science China Physics, Mechanics &amp; Astronomy</v>
      </c>
      <c r="F1976" s="1" t="str">
        <f ca="1">IFERROR(__xludf.DUMMYFUNCTION("""COMPUTED_VALUE"""),"1869-1927")</f>
        <v>1869-1927</v>
      </c>
      <c r="G1976" s="1" t="str">
        <f ca="1">IFERROR(__xludf.DUMMYFUNCTION("""COMPUTED_VALUE"""),"1674-7348")</f>
        <v>1674-7348</v>
      </c>
      <c r="H1976" s="27" t="str">
        <f ca="1">IFERROR(__xludf.DUMMYFUNCTION("""COMPUTED_VALUE"""),"https://link.springer.com/journal/11433")</f>
        <v>https://link.springer.com/journal/11433</v>
      </c>
      <c r="I1976" s="1" t="str">
        <f ca="1">IFERROR(__xludf.DUMMYFUNCTION("""COMPUTED_VALUE"""),"Science China Press, co-published with Springer")</f>
        <v>Science China Press, co-published with Springer</v>
      </c>
      <c r="J1976" s="1">
        <f ca="1">IFERROR(__xludf.DUMMYFUNCTION("""COMPUTED_VALUE"""),2003)</f>
        <v>2003</v>
      </c>
      <c r="K1976" s="1" t="str">
        <f ca="1">IFERROR(__xludf.DUMMYFUNCTION("""COMPUTED_VALUE"""),"Physics and Astronomy")</f>
        <v>Physics and Astronomy</v>
      </c>
      <c r="L1976" s="1" t="str">
        <f ca="1">IFERROR(__xludf.DUMMYFUNCTION("""COMPUTED_VALUE"""),"〇")</f>
        <v>〇</v>
      </c>
      <c r="M1976" s="1" t="str">
        <f ca="1">IFERROR(__xludf.DUMMYFUNCTION("""COMPUTED_VALUE"""),"〇")</f>
        <v>〇</v>
      </c>
      <c r="N1976" s="1"/>
      <c r="O1976" s="1"/>
      <c r="P1976" s="1"/>
    </row>
    <row r="1977" spans="1:16" ht="14.25" customHeight="1" x14ac:dyDescent="0.25">
      <c r="A1977" s="1"/>
      <c r="B1977" s="1">
        <f ca="1"/>
        <v>1965</v>
      </c>
      <c r="C1977" s="1">
        <f ca="1">IFERROR(__xludf.DUMMYFUNCTION("""COMPUTED_VALUE"""),2023)</f>
        <v>2023</v>
      </c>
      <c r="D1977" s="1">
        <f ca="1">IFERROR(__xludf.DUMMYFUNCTION("""COMPUTED_VALUE"""),11431)</f>
        <v>11431</v>
      </c>
      <c r="E1977" s="1" t="str">
        <f ca="1">IFERROR(__xludf.DUMMYFUNCTION("""COMPUTED_VALUE"""),"Science China Technological Sciences")</f>
        <v>Science China Technological Sciences</v>
      </c>
      <c r="F1977" s="1" t="str">
        <f ca="1">IFERROR(__xludf.DUMMYFUNCTION("""COMPUTED_VALUE"""),"1869-1900")</f>
        <v>1869-1900</v>
      </c>
      <c r="G1977" s="1" t="str">
        <f ca="1">IFERROR(__xludf.DUMMYFUNCTION("""COMPUTED_VALUE"""),"1674-7321")</f>
        <v>1674-7321</v>
      </c>
      <c r="H1977" s="27" t="str">
        <f ca="1">IFERROR(__xludf.DUMMYFUNCTION("""COMPUTED_VALUE"""),"https://link.springer.com/journal/11431")</f>
        <v>https://link.springer.com/journal/11431</v>
      </c>
      <c r="I1977" s="1" t="str">
        <f ca="1">IFERROR(__xludf.DUMMYFUNCTION("""COMPUTED_VALUE"""),"Science China Press, co-published with Springer")</f>
        <v>Science China Press, co-published with Springer</v>
      </c>
      <c r="J1977" s="1">
        <f ca="1">IFERROR(__xludf.DUMMYFUNCTION("""COMPUTED_VALUE"""),2000)</f>
        <v>2000</v>
      </c>
      <c r="K1977" s="1" t="str">
        <f ca="1">IFERROR(__xludf.DUMMYFUNCTION("""COMPUTED_VALUE"""),"Engineering")</f>
        <v>Engineering</v>
      </c>
      <c r="L1977" s="1" t="str">
        <f ca="1">IFERROR(__xludf.DUMMYFUNCTION("""COMPUTED_VALUE"""),"〇")</f>
        <v>〇</v>
      </c>
      <c r="M1977" s="1" t="str">
        <f ca="1">IFERROR(__xludf.DUMMYFUNCTION("""COMPUTED_VALUE"""),"〇")</f>
        <v>〇</v>
      </c>
      <c r="N1977" s="1"/>
      <c r="O1977" s="1"/>
      <c r="P1977" s="1"/>
    </row>
    <row r="1978" spans="1:16" ht="14.25" customHeight="1" x14ac:dyDescent="0.25">
      <c r="A1978" s="1"/>
      <c r="B1978" s="1">
        <f ca="1"/>
        <v>1966</v>
      </c>
      <c r="C1978" s="1">
        <f ca="1">IFERROR(__xludf.DUMMYFUNCTION("""COMPUTED_VALUE"""),2023)</f>
        <v>2023</v>
      </c>
      <c r="D1978" s="1">
        <f ca="1">IFERROR(__xludf.DUMMYFUNCTION("""COMPUTED_VALUE"""),11984)</f>
        <v>11984</v>
      </c>
      <c r="E1978" s="1" t="str">
        <f ca="1">IFERROR(__xludf.DUMMYFUNCTION("""COMPUTED_VALUE"""),"Scientific and Technical Information Processing")</f>
        <v>Scientific and Technical Information Processing</v>
      </c>
      <c r="F1978" s="1" t="str">
        <f ca="1">IFERROR(__xludf.DUMMYFUNCTION("""COMPUTED_VALUE"""),"1934-8118")</f>
        <v>1934-8118</v>
      </c>
      <c r="G1978" s="1" t="str">
        <f ca="1">IFERROR(__xludf.DUMMYFUNCTION("""COMPUTED_VALUE"""),"0147-6882")</f>
        <v>0147-6882</v>
      </c>
      <c r="H1978" s="27" t="str">
        <f ca="1">IFERROR(__xludf.DUMMYFUNCTION("""COMPUTED_VALUE"""),"https://link.springer.com/journal/11984")</f>
        <v>https://link.springer.com/journal/11984</v>
      </c>
      <c r="I1978" s="1" t="str">
        <f ca="1">IFERROR(__xludf.DUMMYFUNCTION("""COMPUTED_VALUE"""),"Pleiades Publishing")</f>
        <v>Pleiades Publishing</v>
      </c>
      <c r="J1978" s="1">
        <f ca="1">IFERROR(__xludf.DUMMYFUNCTION("""COMPUTED_VALUE"""),2007)</f>
        <v>2007</v>
      </c>
      <c r="K1978" s="1" t="str">
        <f ca="1">IFERROR(__xludf.DUMMYFUNCTION("""COMPUTED_VALUE"""),"Computer Science")</f>
        <v>Computer Science</v>
      </c>
      <c r="L1978" s="1" t="str">
        <f ca="1">IFERROR(__xludf.DUMMYFUNCTION("""COMPUTED_VALUE"""),"〇")</f>
        <v>〇</v>
      </c>
      <c r="M1978" s="1" t="str">
        <f ca="1">IFERROR(__xludf.DUMMYFUNCTION("""COMPUTED_VALUE"""),"〇")</f>
        <v>〇</v>
      </c>
      <c r="N1978" s="1" t="str">
        <f ca="1">IFERROR(__xludf.DUMMYFUNCTION("""COMPUTED_VALUE"""),"TO7")</f>
        <v>TO7</v>
      </c>
      <c r="O1978" s="1"/>
      <c r="P1978" s="1"/>
    </row>
    <row r="1979" spans="1:16" ht="14.25" customHeight="1" x14ac:dyDescent="0.25">
      <c r="A1979" s="1"/>
      <c r="B1979" s="1">
        <f ca="1"/>
        <v>1967</v>
      </c>
      <c r="C1979" s="1">
        <f ca="1">IFERROR(__xludf.DUMMYFUNCTION("""COMPUTED_VALUE"""),2023)</f>
        <v>2023</v>
      </c>
      <c r="D1979" s="1">
        <f ca="1">IFERROR(__xludf.DUMMYFUNCTION("""COMPUTED_VALUE"""),11192)</f>
        <v>11192</v>
      </c>
      <c r="E1979" s="1" t="str">
        <f ca="1">IFERROR(__xludf.DUMMYFUNCTION("""COMPUTED_VALUE"""),"Scientometrics")</f>
        <v>Scientometrics</v>
      </c>
      <c r="F1979" s="1" t="str">
        <f ca="1">IFERROR(__xludf.DUMMYFUNCTION("""COMPUTED_VALUE"""),"1588-2861")</f>
        <v>1588-2861</v>
      </c>
      <c r="G1979" s="1" t="str">
        <f ca="1">IFERROR(__xludf.DUMMYFUNCTION("""COMPUTED_VALUE"""),"0138-9130")</f>
        <v>0138-9130</v>
      </c>
      <c r="H1979" s="27" t="str">
        <f ca="1">IFERROR(__xludf.DUMMYFUNCTION("""COMPUTED_VALUE"""),"https://link.springer.com/journal/11192")</f>
        <v>https://link.springer.com/journal/11192</v>
      </c>
      <c r="I1979" s="1" t="str">
        <f ca="1">IFERROR(__xludf.DUMMYFUNCTION("""COMPUTED_VALUE"""),"Akadémiai Kiadó, co-published with Springer")</f>
        <v>Akadémiai Kiadó, co-published with Springer</v>
      </c>
      <c r="J1979" s="1">
        <f ca="1">IFERROR(__xludf.DUMMYFUNCTION("""COMPUTED_VALUE"""),2000)</f>
        <v>2000</v>
      </c>
      <c r="K1979" s="1" t="str">
        <f ca="1">IFERROR(__xludf.DUMMYFUNCTION("""COMPUTED_VALUE"""),"Computer Science")</f>
        <v>Computer Science</v>
      </c>
      <c r="L1979" s="1" t="str">
        <f ca="1">IFERROR(__xludf.DUMMYFUNCTION("""COMPUTED_VALUE"""),"〇")</f>
        <v>〇</v>
      </c>
      <c r="M1979" s="1" t="str">
        <f ca="1">IFERROR(__xludf.DUMMYFUNCTION("""COMPUTED_VALUE"""),"〇")</f>
        <v>〇</v>
      </c>
      <c r="N1979" s="1"/>
      <c r="O1979" s="1"/>
      <c r="P1979" s="1"/>
    </row>
    <row r="1980" spans="1:16" ht="14.25" customHeight="1" x14ac:dyDescent="0.25">
      <c r="A1980" s="1"/>
      <c r="B1980" s="1">
        <f ca="1"/>
        <v>1968</v>
      </c>
      <c r="C1980" s="1">
        <f ca="1">IFERROR(__xludf.DUMMYFUNCTION("""COMPUTED_VALUE"""),2023)</f>
        <v>2023</v>
      </c>
      <c r="D1980" s="1">
        <f ca="1">IFERROR(__xludf.DUMMYFUNCTION("""COMPUTED_VALUE"""),11990)</f>
        <v>11990</v>
      </c>
      <c r="E1980" s="1" t="str">
        <f ca="1">IFERROR(__xludf.DUMMYFUNCTION("""COMPUTED_VALUE"""),"Seismic Instruments")</f>
        <v>Seismic Instruments</v>
      </c>
      <c r="F1980" s="1" t="str">
        <f ca="1">IFERROR(__xludf.DUMMYFUNCTION("""COMPUTED_VALUE"""),"1934-7871")</f>
        <v>1934-7871</v>
      </c>
      <c r="G1980" s="1" t="str">
        <f ca="1">IFERROR(__xludf.DUMMYFUNCTION("""COMPUTED_VALUE"""),"0747-9239")</f>
        <v>0747-9239</v>
      </c>
      <c r="H1980" s="27" t="str">
        <f ca="1">IFERROR(__xludf.DUMMYFUNCTION("""COMPUTED_VALUE"""),"https://link.springer.com/journal/11990")</f>
        <v>https://link.springer.com/journal/11990</v>
      </c>
      <c r="I1980" s="1" t="str">
        <f ca="1">IFERROR(__xludf.DUMMYFUNCTION("""COMPUTED_VALUE"""),"Pleiades Publishing")</f>
        <v>Pleiades Publishing</v>
      </c>
      <c r="J1980" s="1">
        <f ca="1">IFERROR(__xludf.DUMMYFUNCTION("""COMPUTED_VALUE"""),2007)</f>
        <v>2007</v>
      </c>
      <c r="K1980" s="1" t="str">
        <f ca="1">IFERROR(__xludf.DUMMYFUNCTION("""COMPUTED_VALUE"""),"Earth and Environmental Science")</f>
        <v>Earth and Environmental Science</v>
      </c>
      <c r="L1980" s="1" t="str">
        <f ca="1">IFERROR(__xludf.DUMMYFUNCTION("""COMPUTED_VALUE"""),"〇")</f>
        <v>〇</v>
      </c>
      <c r="M1980" s="1" t="str">
        <f ca="1">IFERROR(__xludf.DUMMYFUNCTION("""COMPUTED_VALUE"""),"〇")</f>
        <v>〇</v>
      </c>
      <c r="N1980" s="1" t="str">
        <f ca="1">IFERROR(__xludf.DUMMYFUNCTION("""COMPUTED_VALUE"""),"TO7")</f>
        <v>TO7</v>
      </c>
      <c r="O1980" s="1"/>
      <c r="P1980" s="1"/>
    </row>
    <row r="1981" spans="1:16" ht="14.25" customHeight="1" x14ac:dyDescent="0.25">
      <c r="A1981" s="1"/>
      <c r="B1981" s="1">
        <f ca="1"/>
        <v>1969</v>
      </c>
      <c r="C1981" s="1">
        <f ca="1">IFERROR(__xludf.DUMMYFUNCTION("""COMPUTED_VALUE"""),2023)</f>
        <v>2023</v>
      </c>
      <c r="D1981" s="1">
        <f ca="1">IFERROR(__xludf.DUMMYFUNCTION("""COMPUTED_VALUE"""),29)</f>
        <v>29</v>
      </c>
      <c r="E1981" s="1" t="str">
        <f ca="1">IFERROR(__xludf.DUMMYFUNCTION("""COMPUTED_VALUE"""),"Selecta Mathematica")</f>
        <v>Selecta Mathematica</v>
      </c>
      <c r="F1981" s="1" t="str">
        <f ca="1">IFERROR(__xludf.DUMMYFUNCTION("""COMPUTED_VALUE"""),"1420-9020")</f>
        <v>1420-9020</v>
      </c>
      <c r="G1981" s="1" t="str">
        <f ca="1">IFERROR(__xludf.DUMMYFUNCTION("""COMPUTED_VALUE"""),"1022-1824")</f>
        <v>1022-1824</v>
      </c>
      <c r="H1981" s="27" t="str">
        <f ca="1">IFERROR(__xludf.DUMMYFUNCTION("""COMPUTED_VALUE"""),"https://link.springer.com/journal/29")</f>
        <v>https://link.springer.com/journal/29</v>
      </c>
      <c r="I1981" s="1" t="str">
        <f ca="1">IFERROR(__xludf.DUMMYFUNCTION("""COMPUTED_VALUE"""),"Birkhäuser")</f>
        <v>Birkhäuser</v>
      </c>
      <c r="J1981" s="1">
        <f ca="1">IFERROR(__xludf.DUMMYFUNCTION("""COMPUTED_VALUE"""),2000)</f>
        <v>2000</v>
      </c>
      <c r="K1981" s="1" t="str">
        <f ca="1">IFERROR(__xludf.DUMMYFUNCTION("""COMPUTED_VALUE"""),"Mathematics and Statistics")</f>
        <v>Mathematics and Statistics</v>
      </c>
      <c r="L1981" s="1" t="str">
        <f ca="1">IFERROR(__xludf.DUMMYFUNCTION("""COMPUTED_VALUE"""),"〇")</f>
        <v>〇</v>
      </c>
      <c r="M1981" s="1" t="str">
        <f ca="1">IFERROR(__xludf.DUMMYFUNCTION("""COMPUTED_VALUE"""),"〇")</f>
        <v>〇</v>
      </c>
      <c r="N1981" s="1"/>
      <c r="O1981" s="1"/>
      <c r="P1981" s="1"/>
    </row>
    <row r="1982" spans="1:16" ht="14.25" customHeight="1" x14ac:dyDescent="0.25">
      <c r="A1982" s="1"/>
      <c r="B1982" s="1">
        <f ca="1"/>
        <v>1970</v>
      </c>
      <c r="C1982" s="1">
        <f ca="1">IFERROR(__xludf.DUMMYFUNCTION("""COMPUTED_VALUE"""),2023)</f>
        <v>2023</v>
      </c>
      <c r="D1982" s="1">
        <f ca="1">IFERROR(__xludf.DUMMYFUNCTION("""COMPUTED_VALUE"""),40324)</f>
        <v>40324</v>
      </c>
      <c r="E1982" s="1" t="str">
        <f ca="1">IFERROR(__xludf.DUMMYFUNCTION("""COMPUTED_VALUE"""),"SeMA Journal")</f>
        <v>SeMA Journal</v>
      </c>
      <c r="F1982" s="1" t="str">
        <f ca="1">IFERROR(__xludf.DUMMYFUNCTION("""COMPUTED_VALUE"""),"2281-7875")</f>
        <v>2281-7875</v>
      </c>
      <c r="G1982" s="1" t="str">
        <f ca="1">IFERROR(__xludf.DUMMYFUNCTION("""COMPUTED_VALUE"""),"2254-3902")</f>
        <v>2254-3902</v>
      </c>
      <c r="H1982" s="27" t="str">
        <f ca="1">IFERROR(__xludf.DUMMYFUNCTION("""COMPUTED_VALUE"""),"https://link.springer.com/journal/40324")</f>
        <v>https://link.springer.com/journal/40324</v>
      </c>
      <c r="I1982" s="1" t="str">
        <f ca="1">IFERROR(__xludf.DUMMYFUNCTION("""COMPUTED_VALUE"""),"Springer")</f>
        <v>Springer</v>
      </c>
      <c r="J1982" s="1">
        <f ca="1">IFERROR(__xludf.DUMMYFUNCTION("""COMPUTED_VALUE"""),2010)</f>
        <v>2010</v>
      </c>
      <c r="K1982" s="1" t="str">
        <f ca="1">IFERROR(__xludf.DUMMYFUNCTION("""COMPUTED_VALUE"""),"Mathematics and Statistics")</f>
        <v>Mathematics and Statistics</v>
      </c>
      <c r="L1982" s="1" t="str">
        <f ca="1">IFERROR(__xludf.DUMMYFUNCTION("""COMPUTED_VALUE"""),"〇")</f>
        <v>〇</v>
      </c>
      <c r="M1982" s="1"/>
      <c r="N1982" s="1" t="str">
        <f ca="1">IFERROR(__xludf.DUMMYFUNCTION("""COMPUTED_VALUE"""),"TO13")</f>
        <v>TO13</v>
      </c>
      <c r="O1982" s="1"/>
      <c r="P1982" s="1"/>
    </row>
    <row r="1983" spans="1:16" ht="14.25" customHeight="1" x14ac:dyDescent="0.25">
      <c r="A1983" s="1"/>
      <c r="B1983" s="1">
        <f ca="1"/>
        <v>1971</v>
      </c>
      <c r="C1983" s="1">
        <f ca="1">IFERROR(__xludf.DUMMYFUNCTION("""COMPUTED_VALUE"""),2023)</f>
        <v>2023</v>
      </c>
      <c r="D1983" s="1">
        <f ca="1">IFERROR(__xludf.DUMMYFUNCTION("""COMPUTED_VALUE"""),11453)</f>
        <v>11453</v>
      </c>
      <c r="E1983" s="1" t="str">
        <f ca="1">IFERROR(__xludf.DUMMYFUNCTION("""COMPUTED_VALUE"""),"Semiconductors")</f>
        <v>Semiconductors</v>
      </c>
      <c r="F1983" s="1" t="str">
        <f ca="1">IFERROR(__xludf.DUMMYFUNCTION("""COMPUTED_VALUE"""),"1090-6479")</f>
        <v>1090-6479</v>
      </c>
      <c r="G1983" s="1" t="str">
        <f ca="1">IFERROR(__xludf.DUMMYFUNCTION("""COMPUTED_VALUE"""),"1063-7826")</f>
        <v>1063-7826</v>
      </c>
      <c r="H1983" s="27" t="str">
        <f ca="1">IFERROR(__xludf.DUMMYFUNCTION("""COMPUTED_VALUE"""),"https://link.springer.com/journal/11453")</f>
        <v>https://link.springer.com/journal/11453</v>
      </c>
      <c r="I1983" s="1" t="str">
        <f ca="1">IFERROR(__xludf.DUMMYFUNCTION("""COMPUTED_VALUE"""),"Pleiades Publishing")</f>
        <v>Pleiades Publishing</v>
      </c>
      <c r="J1983" s="1">
        <f ca="1">IFERROR(__xludf.DUMMYFUNCTION("""COMPUTED_VALUE"""),2000)</f>
        <v>2000</v>
      </c>
      <c r="K1983" s="1" t="str">
        <f ca="1">IFERROR(__xludf.DUMMYFUNCTION("""COMPUTED_VALUE"""),"Physics and Astronomy")</f>
        <v>Physics and Astronomy</v>
      </c>
      <c r="L1983" s="1" t="str">
        <f ca="1">IFERROR(__xludf.DUMMYFUNCTION("""COMPUTED_VALUE"""),"〇")</f>
        <v>〇</v>
      </c>
      <c r="M1983" s="1" t="str">
        <f ca="1">IFERROR(__xludf.DUMMYFUNCTION("""COMPUTED_VALUE"""),"〇")</f>
        <v>〇</v>
      </c>
      <c r="N1983" s="1"/>
      <c r="O1983" s="1"/>
      <c r="P1983" s="1"/>
    </row>
    <row r="1984" spans="1:16" ht="14.25" customHeight="1" x14ac:dyDescent="0.25">
      <c r="A1984" s="1"/>
      <c r="B1984" s="1">
        <f ca="1"/>
        <v>1972</v>
      </c>
      <c r="C1984" s="1">
        <f ca="1">IFERROR(__xludf.DUMMYFUNCTION("""COMPUTED_VALUE"""),2023)</f>
        <v>2023</v>
      </c>
      <c r="D1984" s="1">
        <f ca="1">IFERROR(__xludf.DUMMYFUNCTION("""COMPUTED_VALUE"""),233)</f>
        <v>233</v>
      </c>
      <c r="E1984" s="1" t="str">
        <f ca="1">IFERROR(__xludf.DUMMYFUNCTION("""COMPUTED_VALUE"""),"Semigroup Forum")</f>
        <v>Semigroup Forum</v>
      </c>
      <c r="F1984" s="1" t="str">
        <f ca="1">IFERROR(__xludf.DUMMYFUNCTION("""COMPUTED_VALUE"""),"1432-2137")</f>
        <v>1432-2137</v>
      </c>
      <c r="G1984" s="1" t="str">
        <f ca="1">IFERROR(__xludf.DUMMYFUNCTION("""COMPUTED_VALUE"""),"0037-1912")</f>
        <v>0037-1912</v>
      </c>
      <c r="H1984" s="27" t="str">
        <f ca="1">IFERROR(__xludf.DUMMYFUNCTION("""COMPUTED_VALUE"""),"https://link.springer.com/journal/233")</f>
        <v>https://link.springer.com/journal/233</v>
      </c>
      <c r="I1984" s="1" t="str">
        <f ca="1">IFERROR(__xludf.DUMMYFUNCTION("""COMPUTED_VALUE"""),"Springer")</f>
        <v>Springer</v>
      </c>
      <c r="J1984" s="1">
        <f ca="1">IFERROR(__xludf.DUMMYFUNCTION("""COMPUTED_VALUE"""),2000)</f>
        <v>2000</v>
      </c>
      <c r="K1984" s="1" t="str">
        <f ca="1">IFERROR(__xludf.DUMMYFUNCTION("""COMPUTED_VALUE"""),"Mathematics and Statistics")</f>
        <v>Mathematics and Statistics</v>
      </c>
      <c r="L1984" s="1" t="str">
        <f ca="1">IFERROR(__xludf.DUMMYFUNCTION("""COMPUTED_VALUE"""),"〇")</f>
        <v>〇</v>
      </c>
      <c r="M1984" s="1" t="str">
        <f ca="1">IFERROR(__xludf.DUMMYFUNCTION("""COMPUTED_VALUE"""),"〇")</f>
        <v>〇</v>
      </c>
      <c r="N1984" s="1"/>
      <c r="O1984" s="1"/>
      <c r="P1984" s="1"/>
    </row>
    <row r="1985" spans="1:16" ht="14.25" customHeight="1" x14ac:dyDescent="0.25">
      <c r="A1985" s="1"/>
      <c r="B1985" s="1">
        <f ca="1"/>
        <v>1973</v>
      </c>
      <c r="C1985" s="1">
        <f ca="1">IFERROR(__xludf.DUMMYFUNCTION("""COMPUTED_VALUE"""),2023)</f>
        <v>2023</v>
      </c>
      <c r="D1985" s="1">
        <f ca="1">IFERROR(__xludf.DUMMYFUNCTION("""COMPUTED_VALUE"""),281)</f>
        <v>281</v>
      </c>
      <c r="E1985" s="1" t="str">
        <f ca="1">IFERROR(__xludf.DUMMYFUNCTION("""COMPUTED_VALUE"""),"Seminars in Immunopathology")</f>
        <v>Seminars in Immunopathology</v>
      </c>
      <c r="F1985" s="1" t="str">
        <f ca="1">IFERROR(__xludf.DUMMYFUNCTION("""COMPUTED_VALUE"""),"1863-2300")</f>
        <v>1863-2300</v>
      </c>
      <c r="G1985" s="1" t="str">
        <f ca="1">IFERROR(__xludf.DUMMYFUNCTION("""COMPUTED_VALUE"""),"1863-2297")</f>
        <v>1863-2297</v>
      </c>
      <c r="H1985" s="27" t="str">
        <f ca="1">IFERROR(__xludf.DUMMYFUNCTION("""COMPUTED_VALUE"""),"https://link.springer.com/journal/281")</f>
        <v>https://link.springer.com/journal/281</v>
      </c>
      <c r="I1985" s="1" t="str">
        <f ca="1">IFERROR(__xludf.DUMMYFUNCTION("""COMPUTED_VALUE"""),"Springer")</f>
        <v>Springer</v>
      </c>
      <c r="J1985" s="1">
        <f ca="1">IFERROR(__xludf.DUMMYFUNCTION("""COMPUTED_VALUE"""),2000)</f>
        <v>2000</v>
      </c>
      <c r="K1985" s="1" t="str">
        <f ca="1">IFERROR(__xludf.DUMMYFUNCTION("""COMPUTED_VALUE"""),"Biomedical and Life Sciences")</f>
        <v>Biomedical and Life Sciences</v>
      </c>
      <c r="L1985" s="1" t="str">
        <f ca="1">IFERROR(__xludf.DUMMYFUNCTION("""COMPUTED_VALUE"""),"〇")</f>
        <v>〇</v>
      </c>
      <c r="M1985" s="1" t="str">
        <f ca="1">IFERROR(__xludf.DUMMYFUNCTION("""COMPUTED_VALUE"""),"〇")</f>
        <v>〇</v>
      </c>
      <c r="N1985" s="1"/>
      <c r="O1985" s="1"/>
      <c r="P1985" s="1"/>
    </row>
    <row r="1986" spans="1:16" ht="14.25" customHeight="1" x14ac:dyDescent="0.25">
      <c r="A1986" s="1"/>
      <c r="B1986" s="1">
        <f ca="1"/>
        <v>1974</v>
      </c>
      <c r="C1986" s="1">
        <f ca="1">IFERROR(__xludf.DUMMYFUNCTION("""COMPUTED_VALUE"""),2023)</f>
        <v>2023</v>
      </c>
      <c r="D1986" s="1">
        <f ca="1">IFERROR(__xludf.DUMMYFUNCTION("""COMPUTED_VALUE"""),11220)</f>
        <v>11220</v>
      </c>
      <c r="E1986" s="1" t="str">
        <f ca="1">IFERROR(__xludf.DUMMYFUNCTION("""COMPUTED_VALUE"""),"Sensing and Imaging")</f>
        <v>Sensing and Imaging</v>
      </c>
      <c r="F1986" s="1" t="str">
        <f ca="1">IFERROR(__xludf.DUMMYFUNCTION("""COMPUTED_VALUE"""),"1557-2072")</f>
        <v>1557-2072</v>
      </c>
      <c r="G1986" s="1"/>
      <c r="H1986" s="27" t="str">
        <f ca="1">IFERROR(__xludf.DUMMYFUNCTION("""COMPUTED_VALUE"""),"https://link.springer.com/journal/11220")</f>
        <v>https://link.springer.com/journal/11220</v>
      </c>
      <c r="I1986" s="1" t="str">
        <f ca="1">IFERROR(__xludf.DUMMYFUNCTION("""COMPUTED_VALUE"""),"Springer")</f>
        <v>Springer</v>
      </c>
      <c r="J1986" s="1">
        <f ca="1">IFERROR(__xludf.DUMMYFUNCTION("""COMPUTED_VALUE"""),2000)</f>
        <v>2000</v>
      </c>
      <c r="K1986" s="1" t="str">
        <f ca="1">IFERROR(__xludf.DUMMYFUNCTION("""COMPUTED_VALUE"""),"Engineering")</f>
        <v>Engineering</v>
      </c>
      <c r="L1986" s="1"/>
      <c r="M1986" s="1" t="str">
        <f ca="1">IFERROR(__xludf.DUMMYFUNCTION("""COMPUTED_VALUE"""),"〇")</f>
        <v>〇</v>
      </c>
      <c r="N1986" s="1"/>
      <c r="O1986" s="1"/>
      <c r="P1986" s="1"/>
    </row>
    <row r="1987" spans="1:16" ht="14.25" customHeight="1" x14ac:dyDescent="0.25">
      <c r="A1987" s="1"/>
      <c r="B1987" s="1">
        <f ca="1"/>
        <v>1975</v>
      </c>
      <c r="C1987" s="1">
        <f ca="1">IFERROR(__xludf.DUMMYFUNCTION("""COMPUTED_VALUE"""),2023)</f>
        <v>2023</v>
      </c>
      <c r="D1987" s="1">
        <f ca="1">IFERROR(__xludf.DUMMYFUNCTION("""COMPUTED_VALUE"""),11628)</f>
        <v>11628</v>
      </c>
      <c r="E1987" s="1" t="str">
        <f ca="1">IFERROR(__xludf.DUMMYFUNCTION("""COMPUTED_VALUE"""),"Service Business")</f>
        <v>Service Business</v>
      </c>
      <c r="F1987" s="1" t="str">
        <f ca="1">IFERROR(__xludf.DUMMYFUNCTION("""COMPUTED_VALUE"""),"1862-8508")</f>
        <v>1862-8508</v>
      </c>
      <c r="G1987" s="1"/>
      <c r="H1987" s="27" t="str">
        <f ca="1">IFERROR(__xludf.DUMMYFUNCTION("""COMPUTED_VALUE"""),"https://link.springer.com/journal/11628")</f>
        <v>https://link.springer.com/journal/11628</v>
      </c>
      <c r="I1987" s="1" t="str">
        <f ca="1">IFERROR(__xludf.DUMMYFUNCTION("""COMPUTED_VALUE"""),"Springer")</f>
        <v>Springer</v>
      </c>
      <c r="J1987" s="1">
        <f ca="1">IFERROR(__xludf.DUMMYFUNCTION("""COMPUTED_VALUE"""),2007)</f>
        <v>2007</v>
      </c>
      <c r="K1987" s="1" t="str">
        <f ca="1">IFERROR(__xludf.DUMMYFUNCTION("""COMPUTED_VALUE"""),"Business and Management")</f>
        <v>Business and Management</v>
      </c>
      <c r="L1987" s="1"/>
      <c r="M1987" s="1" t="str">
        <f ca="1">IFERROR(__xludf.DUMMYFUNCTION("""COMPUTED_VALUE"""),"〇")</f>
        <v>〇</v>
      </c>
      <c r="N1987" s="1" t="str">
        <f ca="1">IFERROR(__xludf.DUMMYFUNCTION("""COMPUTED_VALUE"""),"SNS7")</f>
        <v>SNS7</v>
      </c>
      <c r="O1987" s="1"/>
      <c r="P1987" s="1"/>
    </row>
    <row r="1988" spans="1:16" ht="14.25" customHeight="1" x14ac:dyDescent="0.25">
      <c r="A1988" s="1"/>
      <c r="B1988" s="1">
        <f ca="1"/>
        <v>1976</v>
      </c>
      <c r="C1988" s="1">
        <f ca="1">IFERROR(__xludf.DUMMYFUNCTION("""COMPUTED_VALUE"""),2023)</f>
        <v>2023</v>
      </c>
      <c r="D1988" s="1">
        <f ca="1">IFERROR(__xludf.DUMMYFUNCTION("""COMPUTED_VALUE"""),11761)</f>
        <v>11761</v>
      </c>
      <c r="E1988" s="1" t="str">
        <f ca="1">IFERROR(__xludf.DUMMYFUNCTION("""COMPUTED_VALUE"""),"Service Oriented Computing and Applications")</f>
        <v>Service Oriented Computing and Applications</v>
      </c>
      <c r="F1988" s="1" t="str">
        <f ca="1">IFERROR(__xludf.DUMMYFUNCTION("""COMPUTED_VALUE"""),"1863-2394")</f>
        <v>1863-2394</v>
      </c>
      <c r="G1988" s="1"/>
      <c r="H1988" s="27" t="str">
        <f ca="1">IFERROR(__xludf.DUMMYFUNCTION("""COMPUTED_VALUE"""),"https://link.springer.com/journal/11761")</f>
        <v>https://link.springer.com/journal/11761</v>
      </c>
      <c r="I1988" s="1" t="str">
        <f ca="1">IFERROR(__xludf.DUMMYFUNCTION("""COMPUTED_VALUE"""),"Springer")</f>
        <v>Springer</v>
      </c>
      <c r="J1988" s="1">
        <f ca="1">IFERROR(__xludf.DUMMYFUNCTION("""COMPUTED_VALUE"""),2007)</f>
        <v>2007</v>
      </c>
      <c r="K1988" s="1" t="str">
        <f ca="1">IFERROR(__xludf.DUMMYFUNCTION("""COMPUTED_VALUE"""),"Computer Science")</f>
        <v>Computer Science</v>
      </c>
      <c r="L1988" s="1"/>
      <c r="M1988" s="1" t="str">
        <f ca="1">IFERROR(__xludf.DUMMYFUNCTION("""COMPUTED_VALUE"""),"〇")</f>
        <v>〇</v>
      </c>
      <c r="N1988" s="1" t="str">
        <f ca="1">IFERROR(__xludf.DUMMYFUNCTION("""COMPUTED_VALUE"""),"SNS7")</f>
        <v>SNS7</v>
      </c>
      <c r="O1988" s="1"/>
      <c r="P1988" s="1"/>
    </row>
    <row r="1989" spans="1:16" ht="14.25" customHeight="1" x14ac:dyDescent="0.25">
      <c r="A1989" s="1"/>
      <c r="B1989" s="1">
        <f ca="1"/>
        <v>1977</v>
      </c>
      <c r="C1989" s="1">
        <f ca="1">IFERROR(__xludf.DUMMYFUNCTION("""COMPUTED_VALUE"""),2023)</f>
        <v>2023</v>
      </c>
      <c r="D1989" s="1">
        <f ca="1">IFERROR(__xludf.DUMMYFUNCTION("""COMPUTED_VALUE"""),11228)</f>
        <v>11228</v>
      </c>
      <c r="E1989" s="1" t="str">
        <f ca="1">IFERROR(__xludf.DUMMYFUNCTION("""COMPUTED_VALUE"""),"Set-Valued and Variational Analysis")</f>
        <v>Set-Valued and Variational Analysis</v>
      </c>
      <c r="F1989" s="1" t="str">
        <f ca="1">IFERROR(__xludf.DUMMYFUNCTION("""COMPUTED_VALUE"""),"1877-0541")</f>
        <v>1877-0541</v>
      </c>
      <c r="G1989" s="1" t="str">
        <f ca="1">IFERROR(__xludf.DUMMYFUNCTION("""COMPUTED_VALUE"""),"1877-0533")</f>
        <v>1877-0533</v>
      </c>
      <c r="H1989" s="27" t="str">
        <f ca="1">IFERROR(__xludf.DUMMYFUNCTION("""COMPUTED_VALUE"""),"https://link.springer.com/journal/11228")</f>
        <v>https://link.springer.com/journal/11228</v>
      </c>
      <c r="I1989" s="1" t="str">
        <f ca="1">IFERROR(__xludf.DUMMYFUNCTION("""COMPUTED_VALUE"""),"Springer")</f>
        <v>Springer</v>
      </c>
      <c r="J1989" s="1">
        <f ca="1">IFERROR(__xludf.DUMMYFUNCTION("""COMPUTED_VALUE"""),2000)</f>
        <v>2000</v>
      </c>
      <c r="K1989" s="1" t="str">
        <f ca="1">IFERROR(__xludf.DUMMYFUNCTION("""COMPUTED_VALUE"""),"Mathematics and Statistics")</f>
        <v>Mathematics and Statistics</v>
      </c>
      <c r="L1989" s="1" t="str">
        <f ca="1">IFERROR(__xludf.DUMMYFUNCTION("""COMPUTED_VALUE"""),"〇")</f>
        <v>〇</v>
      </c>
      <c r="M1989" s="1" t="str">
        <f ca="1">IFERROR(__xludf.DUMMYFUNCTION("""COMPUTED_VALUE"""),"〇")</f>
        <v>〇</v>
      </c>
      <c r="N1989" s="1"/>
      <c r="O1989" s="1"/>
      <c r="P1989" s="1"/>
    </row>
    <row r="1990" spans="1:16" ht="14.25" customHeight="1" x14ac:dyDescent="0.25">
      <c r="A1990" s="1"/>
      <c r="B1990" s="1">
        <f ca="1"/>
        <v>1978</v>
      </c>
      <c r="C1990" s="1">
        <f ca="1">IFERROR(__xludf.DUMMYFUNCTION("""COMPUTED_VALUE"""),2023)</f>
        <v>2023</v>
      </c>
      <c r="D1990" s="1">
        <f ca="1">IFERROR(__xludf.DUMMYFUNCTION("""COMPUTED_VALUE"""),11199)</f>
        <v>11199</v>
      </c>
      <c r="E1990" s="1" t="str">
        <f ca="1">IFERROR(__xludf.DUMMYFUNCTION("""COMPUTED_VALUE"""),"Sex Roles")</f>
        <v>Sex Roles</v>
      </c>
      <c r="F1990" s="1" t="str">
        <f ca="1">IFERROR(__xludf.DUMMYFUNCTION("""COMPUTED_VALUE"""),"1573-2762")</f>
        <v>1573-2762</v>
      </c>
      <c r="G1990" s="1" t="str">
        <f ca="1">IFERROR(__xludf.DUMMYFUNCTION("""COMPUTED_VALUE"""),"0360-0025")</f>
        <v>0360-0025</v>
      </c>
      <c r="H1990" s="27" t="str">
        <f ca="1">IFERROR(__xludf.DUMMYFUNCTION("""COMPUTED_VALUE"""),"https://link.springer.com/journal/11199")</f>
        <v>https://link.springer.com/journal/11199</v>
      </c>
      <c r="I1990" s="1" t="str">
        <f ca="1">IFERROR(__xludf.DUMMYFUNCTION("""COMPUTED_VALUE"""),"Springer")</f>
        <v>Springer</v>
      </c>
      <c r="J1990" s="1">
        <f ca="1">IFERROR(__xludf.DUMMYFUNCTION("""COMPUTED_VALUE"""),2000)</f>
        <v>2000</v>
      </c>
      <c r="K1990" s="1" t="str">
        <f ca="1">IFERROR(__xludf.DUMMYFUNCTION("""COMPUTED_VALUE"""),"Behavioral Science and Psychology")</f>
        <v>Behavioral Science and Psychology</v>
      </c>
      <c r="L1990" s="1" t="str">
        <f ca="1">IFERROR(__xludf.DUMMYFUNCTION("""COMPUTED_VALUE"""),"〇")</f>
        <v>〇</v>
      </c>
      <c r="M1990" s="1" t="str">
        <f ca="1">IFERROR(__xludf.DUMMYFUNCTION("""COMPUTED_VALUE"""),"〇")</f>
        <v>〇</v>
      </c>
      <c r="N1990" s="1"/>
      <c r="O1990" s="1"/>
      <c r="P1990" s="1"/>
    </row>
    <row r="1991" spans="1:16" ht="14.25" customHeight="1" x14ac:dyDescent="0.25">
      <c r="A1991" s="1"/>
      <c r="B1991" s="1">
        <f ca="1"/>
        <v>1979</v>
      </c>
      <c r="C1991" s="1">
        <f ca="1">IFERROR(__xludf.DUMMYFUNCTION("""COMPUTED_VALUE"""),2023)</f>
        <v>2023</v>
      </c>
      <c r="D1991" s="1">
        <f ca="1">IFERROR(__xludf.DUMMYFUNCTION("""COMPUTED_VALUE"""),12119)</f>
        <v>12119</v>
      </c>
      <c r="E1991" s="1" t="str">
        <f ca="1">IFERROR(__xludf.DUMMYFUNCTION("""COMPUTED_VALUE"""),"Sexuality &amp; Culture")</f>
        <v>Sexuality &amp; Culture</v>
      </c>
      <c r="F1991" s="1" t="str">
        <f ca="1">IFERROR(__xludf.DUMMYFUNCTION("""COMPUTED_VALUE"""),"1936-4822")</f>
        <v>1936-4822</v>
      </c>
      <c r="G1991" s="1" t="str">
        <f ca="1">IFERROR(__xludf.DUMMYFUNCTION("""COMPUTED_VALUE"""),"1095-5143")</f>
        <v>1095-5143</v>
      </c>
      <c r="H1991" s="27" t="str">
        <f ca="1">IFERROR(__xludf.DUMMYFUNCTION("""COMPUTED_VALUE"""),"https://link.springer.com/journal/12119")</f>
        <v>https://link.springer.com/journal/12119</v>
      </c>
      <c r="I1991" s="1" t="str">
        <f ca="1">IFERROR(__xludf.DUMMYFUNCTION("""COMPUTED_VALUE"""),"Springer")</f>
        <v>Springer</v>
      </c>
      <c r="J1991" s="1">
        <f ca="1">IFERROR(__xludf.DUMMYFUNCTION("""COMPUTED_VALUE"""),2000)</f>
        <v>2000</v>
      </c>
      <c r="K1991" s="1" t="str">
        <f ca="1">IFERROR(__xludf.DUMMYFUNCTION("""COMPUTED_VALUE"""),"Social Sciences")</f>
        <v>Social Sciences</v>
      </c>
      <c r="L1991" s="1" t="str">
        <f ca="1">IFERROR(__xludf.DUMMYFUNCTION("""COMPUTED_VALUE"""),"〇")</f>
        <v>〇</v>
      </c>
      <c r="M1991" s="1" t="str">
        <f ca="1">IFERROR(__xludf.DUMMYFUNCTION("""COMPUTED_VALUE"""),"〇")</f>
        <v>〇</v>
      </c>
      <c r="N1991" s="1" t="str">
        <f ca="1">IFERROR(__xludf.DUMMYFUNCTION("""COMPUTED_VALUE"""),"TO7")</f>
        <v>TO7</v>
      </c>
      <c r="O1991" s="1"/>
      <c r="P1991" s="1"/>
    </row>
    <row r="1992" spans="1:16" ht="14.25" customHeight="1" x14ac:dyDescent="0.25">
      <c r="A1992" s="1"/>
      <c r="B1992" s="1">
        <f ca="1"/>
        <v>1980</v>
      </c>
      <c r="C1992" s="1">
        <f ca="1">IFERROR(__xludf.DUMMYFUNCTION("""COMPUTED_VALUE"""),2023)</f>
        <v>2023</v>
      </c>
      <c r="D1992" s="1">
        <f ca="1">IFERROR(__xludf.DUMMYFUNCTION("""COMPUTED_VALUE"""),11195)</f>
        <v>11195</v>
      </c>
      <c r="E1992" s="1" t="str">
        <f ca="1">IFERROR(__xludf.DUMMYFUNCTION("""COMPUTED_VALUE"""),"Sexuality and Disability")</f>
        <v>Sexuality and Disability</v>
      </c>
      <c r="F1992" s="1" t="str">
        <f ca="1">IFERROR(__xludf.DUMMYFUNCTION("""COMPUTED_VALUE"""),"1573-6717")</f>
        <v>1573-6717</v>
      </c>
      <c r="G1992" s="1" t="str">
        <f ca="1">IFERROR(__xludf.DUMMYFUNCTION("""COMPUTED_VALUE"""),"0146-1044")</f>
        <v>0146-1044</v>
      </c>
      <c r="H1992" s="27" t="str">
        <f ca="1">IFERROR(__xludf.DUMMYFUNCTION("""COMPUTED_VALUE"""),"https://link.springer.com/journal/11195")</f>
        <v>https://link.springer.com/journal/11195</v>
      </c>
      <c r="I1992" s="1" t="str">
        <f ca="1">IFERROR(__xludf.DUMMYFUNCTION("""COMPUTED_VALUE"""),"Springer")</f>
        <v>Springer</v>
      </c>
      <c r="J1992" s="1">
        <f ca="1">IFERROR(__xludf.DUMMYFUNCTION("""COMPUTED_VALUE"""),2000)</f>
        <v>2000</v>
      </c>
      <c r="K1992" s="1" t="str">
        <f ca="1">IFERROR(__xludf.DUMMYFUNCTION("""COMPUTED_VALUE"""),"Behavioral Science and Psychology")</f>
        <v>Behavioral Science and Psychology</v>
      </c>
      <c r="L1992" s="1" t="str">
        <f ca="1">IFERROR(__xludf.DUMMYFUNCTION("""COMPUTED_VALUE"""),"〇")</f>
        <v>〇</v>
      </c>
      <c r="M1992" s="1" t="str">
        <f ca="1">IFERROR(__xludf.DUMMYFUNCTION("""COMPUTED_VALUE"""),"〇")</f>
        <v>〇</v>
      </c>
      <c r="N1992" s="1"/>
      <c r="O1992" s="1"/>
      <c r="P1992" s="1"/>
    </row>
    <row r="1993" spans="1:16" ht="14.25" customHeight="1" x14ac:dyDescent="0.25">
      <c r="A1993" s="1"/>
      <c r="B1993" s="1">
        <f ca="1"/>
        <v>1981</v>
      </c>
      <c r="C1993" s="1">
        <f ca="1">IFERROR(__xludf.DUMMYFUNCTION("""COMPUTED_VALUE"""),2023)</f>
        <v>2023</v>
      </c>
      <c r="D1993" s="1">
        <f ca="1">IFERROR(__xludf.DUMMYFUNCTION("""COMPUTED_VALUE"""),13178)</f>
        <v>13178</v>
      </c>
      <c r="E1993" s="1" t="str">
        <f ca="1">IFERROR(__xludf.DUMMYFUNCTION("""COMPUTED_VALUE"""),"Sexuality Research and Social Policy")</f>
        <v>Sexuality Research and Social Policy</v>
      </c>
      <c r="F1993" s="1" t="str">
        <f ca="1">IFERROR(__xludf.DUMMYFUNCTION("""COMPUTED_VALUE"""),"1553-6610")</f>
        <v>1553-6610</v>
      </c>
      <c r="G1993" s="1"/>
      <c r="H1993" s="27" t="str">
        <f ca="1">IFERROR(__xludf.DUMMYFUNCTION("""COMPUTED_VALUE"""),"https://link.springer.com/journal/13178")</f>
        <v>https://link.springer.com/journal/13178</v>
      </c>
      <c r="I1993" s="1" t="str">
        <f ca="1">IFERROR(__xludf.DUMMYFUNCTION("""COMPUTED_VALUE"""),"Springer")</f>
        <v>Springer</v>
      </c>
      <c r="J1993" s="1">
        <f ca="1">IFERROR(__xludf.DUMMYFUNCTION("""COMPUTED_VALUE"""),2004)</f>
        <v>2004</v>
      </c>
      <c r="K1993" s="1" t="str">
        <f ca="1">IFERROR(__xludf.DUMMYFUNCTION("""COMPUTED_VALUE"""),"Behavioral Science and Psychology")</f>
        <v>Behavioral Science and Psychology</v>
      </c>
      <c r="L1993" s="1"/>
      <c r="M1993" s="1"/>
      <c r="N1993" s="1" t="str">
        <f ca="1">IFERROR(__xludf.DUMMYFUNCTION("""COMPUTED_VALUE"""),"TO10")</f>
        <v>TO10</v>
      </c>
      <c r="O1993" s="1"/>
      <c r="P1993" s="1"/>
    </row>
    <row r="1994" spans="1:16" ht="14.25" customHeight="1" x14ac:dyDescent="0.25">
      <c r="A1994" s="1"/>
      <c r="B1994" s="1">
        <f ca="1"/>
        <v>1982</v>
      </c>
      <c r="C1994" s="1">
        <f ca="1">IFERROR(__xludf.DUMMYFUNCTION("""COMPUTED_VALUE"""),2023)</f>
        <v>2023</v>
      </c>
      <c r="D1994" s="1">
        <f ca="1">IFERROR(__xludf.DUMMYFUNCTION("""COMPUTED_VALUE"""),40830)</f>
        <v>40830</v>
      </c>
      <c r="E1994" s="1" t="str">
        <f ca="1">IFERROR(__xludf.DUMMYFUNCTION("""COMPUTED_VALUE"""),"Shape Memory and Superelasticity")</f>
        <v>Shape Memory and Superelasticity</v>
      </c>
      <c r="F1994" s="1" t="str">
        <f ca="1">IFERROR(__xludf.DUMMYFUNCTION("""COMPUTED_VALUE"""),"2199-3858")</f>
        <v>2199-3858</v>
      </c>
      <c r="G1994" s="1" t="str">
        <f ca="1">IFERROR(__xludf.DUMMYFUNCTION("""COMPUTED_VALUE"""),"2199-384X")</f>
        <v>2199-384X</v>
      </c>
      <c r="H1994" s="27" t="str">
        <f ca="1">IFERROR(__xludf.DUMMYFUNCTION("""COMPUTED_VALUE"""),"https://link.springer.com/journal/40830")</f>
        <v>https://link.springer.com/journal/40830</v>
      </c>
      <c r="I1994" s="1" t="str">
        <f ca="1">IFERROR(__xludf.DUMMYFUNCTION("""COMPUTED_VALUE"""),"Springer")</f>
        <v>Springer</v>
      </c>
      <c r="J1994" s="1">
        <f ca="1">IFERROR(__xludf.DUMMYFUNCTION("""COMPUTED_VALUE"""),2015)</f>
        <v>2015</v>
      </c>
      <c r="K1994" s="1" t="str">
        <f ca="1">IFERROR(__xludf.DUMMYFUNCTION("""COMPUTED_VALUE"""),"Chemistry and Materials Science")</f>
        <v>Chemistry and Materials Science</v>
      </c>
      <c r="L1994" s="1" t="str">
        <f ca="1">IFERROR(__xludf.DUMMYFUNCTION("""COMPUTED_VALUE"""),"〇")</f>
        <v>〇</v>
      </c>
      <c r="M1994" s="1"/>
      <c r="N1994" s="1" t="str">
        <f ca="1">IFERROR(__xludf.DUMMYFUNCTION("""COMPUTED_VALUE"""),"SNS15")</f>
        <v>SNS15</v>
      </c>
      <c r="O1994" s="1"/>
      <c r="P1994" s="1"/>
    </row>
    <row r="1995" spans="1:16" ht="14.25" customHeight="1" x14ac:dyDescent="0.25">
      <c r="A1995" s="1"/>
      <c r="B1995" s="1">
        <f ca="1"/>
        <v>1983</v>
      </c>
      <c r="C1995" s="1">
        <f ca="1">IFERROR(__xludf.DUMMYFUNCTION("""COMPUTED_VALUE"""),2023)</f>
        <v>2023</v>
      </c>
      <c r="D1995" s="1">
        <f ca="1">IFERROR(__xludf.DUMMYFUNCTION("""COMPUTED_VALUE"""),193)</f>
        <v>193</v>
      </c>
      <c r="E1995" s="1" t="str">
        <f ca="1">IFERROR(__xludf.DUMMYFUNCTION("""COMPUTED_VALUE"""),"Shock Waves")</f>
        <v>Shock Waves</v>
      </c>
      <c r="F1995" s="1" t="str">
        <f ca="1">IFERROR(__xludf.DUMMYFUNCTION("""COMPUTED_VALUE"""),"1432-2153")</f>
        <v>1432-2153</v>
      </c>
      <c r="G1995" s="1" t="str">
        <f ca="1">IFERROR(__xludf.DUMMYFUNCTION("""COMPUTED_VALUE"""),"0938-1287")</f>
        <v>0938-1287</v>
      </c>
      <c r="H1995" s="27" t="str">
        <f ca="1">IFERROR(__xludf.DUMMYFUNCTION("""COMPUTED_VALUE"""),"https://link.springer.com/journal/193")</f>
        <v>https://link.springer.com/journal/193</v>
      </c>
      <c r="I1995" s="1" t="str">
        <f ca="1">IFERROR(__xludf.DUMMYFUNCTION("""COMPUTED_VALUE"""),"Springer")</f>
        <v>Springer</v>
      </c>
      <c r="J1995" s="1">
        <f ca="1">IFERROR(__xludf.DUMMYFUNCTION("""COMPUTED_VALUE"""),2000)</f>
        <v>2000</v>
      </c>
      <c r="K1995" s="1" t="str">
        <f ca="1">IFERROR(__xludf.DUMMYFUNCTION("""COMPUTED_VALUE"""),"Engineering")</f>
        <v>Engineering</v>
      </c>
      <c r="L1995" s="1" t="str">
        <f ca="1">IFERROR(__xludf.DUMMYFUNCTION("""COMPUTED_VALUE"""),"〇")</f>
        <v>〇</v>
      </c>
      <c r="M1995" s="1" t="str">
        <f ca="1">IFERROR(__xludf.DUMMYFUNCTION("""COMPUTED_VALUE"""),"〇")</f>
        <v>〇</v>
      </c>
      <c r="N1995" s="1"/>
      <c r="O1995" s="1"/>
      <c r="P1995" s="1"/>
    </row>
    <row r="1996" spans="1:16" ht="14.25" customHeight="1" x14ac:dyDescent="0.25">
      <c r="A1996" s="1"/>
      <c r="B1996" s="1">
        <f ca="1"/>
        <v>1984</v>
      </c>
      <c r="C1996" s="1">
        <f ca="1">IFERROR(__xludf.DUMMYFUNCTION("""COMPUTED_VALUE"""),2023)</f>
        <v>2023</v>
      </c>
      <c r="D1996" s="1">
        <f ca="1">IFERROR(__xludf.DUMMYFUNCTION("""COMPUTED_VALUE"""),12002)</f>
        <v>12002</v>
      </c>
      <c r="E1996" s="1" t="str">
        <f ca="1">IFERROR(__xludf.DUMMYFUNCTION("""COMPUTED_VALUE"""),"Siberian Advances in Mathematics")</f>
        <v>Siberian Advances in Mathematics</v>
      </c>
      <c r="F1996" s="1" t="str">
        <f ca="1">IFERROR(__xludf.DUMMYFUNCTION("""COMPUTED_VALUE"""),"1934-8126")</f>
        <v>1934-8126</v>
      </c>
      <c r="G1996" s="1" t="str">
        <f ca="1">IFERROR(__xludf.DUMMYFUNCTION("""COMPUTED_VALUE"""),"1055-1344")</f>
        <v>1055-1344</v>
      </c>
      <c r="H1996" s="27" t="str">
        <f ca="1">IFERROR(__xludf.DUMMYFUNCTION("""COMPUTED_VALUE"""),"https://link.springer.com/journal/12002")</f>
        <v>https://link.springer.com/journal/12002</v>
      </c>
      <c r="I1996" s="1" t="str">
        <f ca="1">IFERROR(__xludf.DUMMYFUNCTION("""COMPUTED_VALUE"""),"Pleiades Publishing")</f>
        <v>Pleiades Publishing</v>
      </c>
      <c r="J1996" s="1">
        <f ca="1">IFERROR(__xludf.DUMMYFUNCTION("""COMPUTED_VALUE"""),2007)</f>
        <v>2007</v>
      </c>
      <c r="K1996" s="1" t="str">
        <f ca="1">IFERROR(__xludf.DUMMYFUNCTION("""COMPUTED_VALUE"""),"Mathematics and Statistics")</f>
        <v>Mathematics and Statistics</v>
      </c>
      <c r="L1996" s="1" t="str">
        <f ca="1">IFERROR(__xludf.DUMMYFUNCTION("""COMPUTED_VALUE"""),"〇")</f>
        <v>〇</v>
      </c>
      <c r="M1996" s="1" t="str">
        <f ca="1">IFERROR(__xludf.DUMMYFUNCTION("""COMPUTED_VALUE"""),"〇")</f>
        <v>〇</v>
      </c>
      <c r="N1996" s="1" t="str">
        <f ca="1">IFERROR(__xludf.DUMMYFUNCTION("""COMPUTED_VALUE"""),"TO7")</f>
        <v>TO7</v>
      </c>
      <c r="O1996" s="1"/>
      <c r="P1996" s="1"/>
    </row>
    <row r="1997" spans="1:16" ht="14.25" customHeight="1" x14ac:dyDescent="0.25">
      <c r="A1997" s="1"/>
      <c r="B1997" s="1">
        <f ca="1"/>
        <v>1985</v>
      </c>
      <c r="C1997" s="1">
        <f ca="1">IFERROR(__xludf.DUMMYFUNCTION("""COMPUTED_VALUE"""),2023)</f>
        <v>2023</v>
      </c>
      <c r="D1997" s="1">
        <f ca="1">IFERROR(__xludf.DUMMYFUNCTION("""COMPUTED_VALUE"""),11202)</f>
        <v>11202</v>
      </c>
      <c r="E1997" s="1" t="str">
        <f ca="1">IFERROR(__xludf.DUMMYFUNCTION("""COMPUTED_VALUE"""),"Siberian Mathematical Journal")</f>
        <v>Siberian Mathematical Journal</v>
      </c>
      <c r="F1997" s="1" t="str">
        <f ca="1">IFERROR(__xludf.DUMMYFUNCTION("""COMPUTED_VALUE"""),"1573-9260")</f>
        <v>1573-9260</v>
      </c>
      <c r="G1997" s="1" t="str">
        <f ca="1">IFERROR(__xludf.DUMMYFUNCTION("""COMPUTED_VALUE"""),"0037-4466")</f>
        <v>0037-4466</v>
      </c>
      <c r="H1997" s="27" t="str">
        <f ca="1">IFERROR(__xludf.DUMMYFUNCTION("""COMPUTED_VALUE"""),"https://link.springer.com/journal/11202")</f>
        <v>https://link.springer.com/journal/11202</v>
      </c>
      <c r="I1997" s="1" t="str">
        <f ca="1">IFERROR(__xludf.DUMMYFUNCTION("""COMPUTED_VALUE"""),"Pleiades Publishing")</f>
        <v>Pleiades Publishing</v>
      </c>
      <c r="J1997" s="1">
        <f ca="1">IFERROR(__xludf.DUMMYFUNCTION("""COMPUTED_VALUE"""),2000)</f>
        <v>2000</v>
      </c>
      <c r="K1997" s="1" t="str">
        <f ca="1">IFERROR(__xludf.DUMMYFUNCTION("""COMPUTED_VALUE"""),"Mathematics and Statistics")</f>
        <v>Mathematics and Statistics</v>
      </c>
      <c r="L1997" s="1" t="str">
        <f ca="1">IFERROR(__xludf.DUMMYFUNCTION("""COMPUTED_VALUE"""),"〇")</f>
        <v>〇</v>
      </c>
      <c r="M1997" s="1" t="str">
        <f ca="1">IFERROR(__xludf.DUMMYFUNCTION("""COMPUTED_VALUE"""),"〇")</f>
        <v>〇</v>
      </c>
      <c r="N1997" s="1"/>
      <c r="O1997" s="1"/>
      <c r="P1997" s="1"/>
    </row>
    <row r="1998" spans="1:16" ht="14.25" customHeight="1" x14ac:dyDescent="0.25">
      <c r="A1998" s="1"/>
      <c r="B1998" s="1">
        <f ca="1"/>
        <v>1986</v>
      </c>
      <c r="C1998" s="1">
        <f ca="1">IFERROR(__xludf.DUMMYFUNCTION("""COMPUTED_VALUE"""),2023)</f>
        <v>2023</v>
      </c>
      <c r="D1998" s="1">
        <f ca="1">IFERROR(__xludf.DUMMYFUNCTION("""COMPUTED_VALUE"""),11760)</f>
        <v>11760</v>
      </c>
      <c r="E1998" s="1" t="str">
        <f ca="1">IFERROR(__xludf.DUMMYFUNCTION("""COMPUTED_VALUE"""),"Signal, Image and Video Processing")</f>
        <v>Signal, Image and Video Processing</v>
      </c>
      <c r="F1998" s="1" t="str">
        <f ca="1">IFERROR(__xludf.DUMMYFUNCTION("""COMPUTED_VALUE"""),"1863-1711")</f>
        <v>1863-1711</v>
      </c>
      <c r="G1998" s="1"/>
      <c r="H1998" s="27" t="str">
        <f ca="1">IFERROR(__xludf.DUMMYFUNCTION("""COMPUTED_VALUE"""),"https://link.springer.com/journal/11760")</f>
        <v>https://link.springer.com/journal/11760</v>
      </c>
      <c r="I1998" s="1" t="str">
        <f ca="1">IFERROR(__xludf.DUMMYFUNCTION("""COMPUTED_VALUE"""),"Springer")</f>
        <v>Springer</v>
      </c>
      <c r="J1998" s="1">
        <f ca="1">IFERROR(__xludf.DUMMYFUNCTION("""COMPUTED_VALUE"""),2007)</f>
        <v>2007</v>
      </c>
      <c r="K1998" s="1" t="str">
        <f ca="1">IFERROR(__xludf.DUMMYFUNCTION("""COMPUTED_VALUE"""),"Computer Science")</f>
        <v>Computer Science</v>
      </c>
      <c r="L1998" s="1"/>
      <c r="M1998" s="1" t="str">
        <f ca="1">IFERROR(__xludf.DUMMYFUNCTION("""COMPUTED_VALUE"""),"〇")</f>
        <v>〇</v>
      </c>
      <c r="N1998" s="1" t="str">
        <f ca="1">IFERROR(__xludf.DUMMYFUNCTION("""COMPUTED_VALUE"""),"SNS7")</f>
        <v>SNS7</v>
      </c>
      <c r="O1998" s="1"/>
      <c r="P1998" s="1"/>
    </row>
    <row r="1999" spans="1:16" ht="14.25" customHeight="1" x14ac:dyDescent="0.25">
      <c r="A1999" s="1"/>
      <c r="B1999" s="1">
        <f ca="1"/>
        <v>1987</v>
      </c>
      <c r="C1999" s="1">
        <f ca="1">IFERROR(__xludf.DUMMYFUNCTION("""COMPUTED_VALUE"""),2023)</f>
        <v>2023</v>
      </c>
      <c r="D1999" s="1">
        <f ca="1">IFERROR(__xludf.DUMMYFUNCTION("""COMPUTED_VALUE"""),12633)</f>
        <v>12633</v>
      </c>
      <c r="E1999" s="1" t="str">
        <f ca="1">IFERROR(__xludf.DUMMYFUNCTION("""COMPUTED_VALUE"""),"Silicon")</f>
        <v>Silicon</v>
      </c>
      <c r="F1999" s="1" t="str">
        <f ca="1">IFERROR(__xludf.DUMMYFUNCTION("""COMPUTED_VALUE"""),"1876-9918")</f>
        <v>1876-9918</v>
      </c>
      <c r="G1999" s="1"/>
      <c r="H1999" s="27" t="str">
        <f ca="1">IFERROR(__xludf.DUMMYFUNCTION("""COMPUTED_VALUE"""),"https://link.springer.com/journal/12633")</f>
        <v>https://link.springer.com/journal/12633</v>
      </c>
      <c r="I1999" s="1" t="str">
        <f ca="1">IFERROR(__xludf.DUMMYFUNCTION("""COMPUTED_VALUE"""),"Springer")</f>
        <v>Springer</v>
      </c>
      <c r="J1999" s="1">
        <f ca="1">IFERROR(__xludf.DUMMYFUNCTION("""COMPUTED_VALUE"""),2009)</f>
        <v>2009</v>
      </c>
      <c r="K1999" s="1" t="str">
        <f ca="1">IFERROR(__xludf.DUMMYFUNCTION("""COMPUTED_VALUE"""),"Chemistry and Materials Science")</f>
        <v>Chemistry and Materials Science</v>
      </c>
      <c r="L1999" s="1"/>
      <c r="M1999" s="1" t="str">
        <f ca="1">IFERROR(__xludf.DUMMYFUNCTION("""COMPUTED_VALUE"""),"〇")</f>
        <v>〇</v>
      </c>
      <c r="N1999" s="1"/>
      <c r="O1999" s="1"/>
      <c r="P1999" s="1"/>
    </row>
    <row r="2000" spans="1:16" ht="14.25" customHeight="1" x14ac:dyDescent="0.25">
      <c r="A2000" s="1"/>
      <c r="B2000" s="1">
        <f ca="1"/>
        <v>1988</v>
      </c>
      <c r="C2000" s="1">
        <f ca="1">IFERROR(__xludf.DUMMYFUNCTION("""COMPUTED_VALUE"""),2023)</f>
        <v>2023</v>
      </c>
      <c r="D2000" s="1">
        <f ca="1">IFERROR(__xludf.DUMMYFUNCTION("""COMPUTED_VALUE"""),256)</f>
        <v>256</v>
      </c>
      <c r="E2000" s="1" t="str">
        <f ca="1">IFERROR(__xludf.DUMMYFUNCTION("""COMPUTED_VALUE"""),"Skeletal Radiology")</f>
        <v>Skeletal Radiology</v>
      </c>
      <c r="F2000" s="1" t="str">
        <f ca="1">IFERROR(__xludf.DUMMYFUNCTION("""COMPUTED_VALUE"""),"1432-2161")</f>
        <v>1432-2161</v>
      </c>
      <c r="G2000" s="1" t="str">
        <f ca="1">IFERROR(__xludf.DUMMYFUNCTION("""COMPUTED_VALUE"""),"0364-2348")</f>
        <v>0364-2348</v>
      </c>
      <c r="H2000" s="27" t="str">
        <f ca="1">IFERROR(__xludf.DUMMYFUNCTION("""COMPUTED_VALUE"""),"https://link.springer.com/journal/256")</f>
        <v>https://link.springer.com/journal/256</v>
      </c>
      <c r="I2000" s="1" t="str">
        <f ca="1">IFERROR(__xludf.DUMMYFUNCTION("""COMPUTED_VALUE"""),"Springer")</f>
        <v>Springer</v>
      </c>
      <c r="J2000" s="1">
        <f ca="1">IFERROR(__xludf.DUMMYFUNCTION("""COMPUTED_VALUE"""),2000)</f>
        <v>2000</v>
      </c>
      <c r="K2000" s="1" t="str">
        <f ca="1">IFERROR(__xludf.DUMMYFUNCTION("""COMPUTED_VALUE"""),"Medicine")</f>
        <v>Medicine</v>
      </c>
      <c r="L2000" s="1" t="str">
        <f ca="1">IFERROR(__xludf.DUMMYFUNCTION("""COMPUTED_VALUE"""),"〇")</f>
        <v>〇</v>
      </c>
      <c r="M2000" s="1" t="str">
        <f ca="1">IFERROR(__xludf.DUMMYFUNCTION("""COMPUTED_VALUE"""),"〇")</f>
        <v>〇</v>
      </c>
      <c r="N2000" s="1"/>
      <c r="O2000" s="1"/>
      <c r="P2000" s="1"/>
    </row>
    <row r="2001" spans="1:16" ht="14.25" customHeight="1" x14ac:dyDescent="0.25">
      <c r="A2001" s="1"/>
      <c r="B2001" s="1">
        <f ca="1"/>
        <v>1989</v>
      </c>
      <c r="C2001" s="1">
        <f ca="1">IFERROR(__xludf.DUMMYFUNCTION("""COMPUTED_VALUE"""),2023)</f>
        <v>2023</v>
      </c>
      <c r="D2001" s="1">
        <f ca="1">IFERROR(__xludf.DUMMYFUNCTION("""COMPUTED_VALUE"""),41105)</f>
        <v>41105</v>
      </c>
      <c r="E2001" s="1" t="str">
        <f ca="1">IFERROR(__xludf.DUMMYFUNCTION("""COMPUTED_VALUE"""),"Sleep and Biological Rhythms")</f>
        <v>Sleep and Biological Rhythms</v>
      </c>
      <c r="F2001" s="1" t="str">
        <f ca="1">IFERROR(__xludf.DUMMYFUNCTION("""COMPUTED_VALUE"""),"1479-8425")</f>
        <v>1479-8425</v>
      </c>
      <c r="G2001" s="1" t="str">
        <f ca="1">IFERROR(__xludf.DUMMYFUNCTION("""COMPUTED_VALUE"""),"1446-9235")</f>
        <v>1446-9235</v>
      </c>
      <c r="H2001" s="27" t="str">
        <f ca="1">IFERROR(__xludf.DUMMYFUNCTION("""COMPUTED_VALUE"""),"https://link.springer.com/journal/41105")</f>
        <v>https://link.springer.com/journal/41105</v>
      </c>
      <c r="I2001" s="1" t="str">
        <f ca="1">IFERROR(__xludf.DUMMYFUNCTION("""COMPUTED_VALUE"""),"Springer")</f>
        <v>Springer</v>
      </c>
      <c r="J2001" s="1">
        <f ca="1">IFERROR(__xludf.DUMMYFUNCTION("""COMPUTED_VALUE"""),2003)</f>
        <v>2003</v>
      </c>
      <c r="K2001" s="1" t="str">
        <f ca="1">IFERROR(__xludf.DUMMYFUNCTION("""COMPUTED_VALUE"""),"Biomedical and Life Sciences")</f>
        <v>Biomedical and Life Sciences</v>
      </c>
      <c r="L2001" s="1" t="str">
        <f ca="1">IFERROR(__xludf.DUMMYFUNCTION("""COMPUTED_VALUE"""),"〇")</f>
        <v>〇</v>
      </c>
      <c r="M2001" s="1"/>
      <c r="N2001" s="1" t="str">
        <f ca="1">IFERROR(__xludf.DUMMYFUNCTION("""COMPUTED_VALUE"""),"TO16")</f>
        <v>TO16</v>
      </c>
      <c r="O2001" s="1"/>
      <c r="P2001" s="1"/>
    </row>
    <row r="2002" spans="1:16" ht="14.25" customHeight="1" x14ac:dyDescent="0.25">
      <c r="A2002" s="1"/>
      <c r="B2002" s="1">
        <f ca="1"/>
        <v>1990</v>
      </c>
      <c r="C2002" s="1">
        <f ca="1">IFERROR(__xludf.DUMMYFUNCTION("""COMPUTED_VALUE"""),2023)</f>
        <v>2023</v>
      </c>
      <c r="D2002" s="1">
        <f ca="1">IFERROR(__xludf.DUMMYFUNCTION("""COMPUTED_VALUE"""),11325)</f>
        <v>11325</v>
      </c>
      <c r="E2002" s="1" t="str">
        <f ca="1">IFERROR(__xludf.DUMMYFUNCTION("""COMPUTED_VALUE"""),"Sleep and Breathing")</f>
        <v>Sleep and Breathing</v>
      </c>
      <c r="F2002" s="1" t="str">
        <f ca="1">IFERROR(__xludf.DUMMYFUNCTION("""COMPUTED_VALUE"""),"1522-1709")</f>
        <v>1522-1709</v>
      </c>
      <c r="G2002" s="1"/>
      <c r="H2002" s="27" t="str">
        <f ca="1">IFERROR(__xludf.DUMMYFUNCTION("""COMPUTED_VALUE"""),"https://link.springer.com/journal/11325")</f>
        <v>https://link.springer.com/journal/11325</v>
      </c>
      <c r="I2002" s="1" t="str">
        <f ca="1">IFERROR(__xludf.DUMMYFUNCTION("""COMPUTED_VALUE"""),"Springer")</f>
        <v>Springer</v>
      </c>
      <c r="J2002" s="1">
        <f ca="1">IFERROR(__xludf.DUMMYFUNCTION("""COMPUTED_VALUE"""),2000)</f>
        <v>2000</v>
      </c>
      <c r="K2002" s="1" t="str">
        <f ca="1">IFERROR(__xludf.DUMMYFUNCTION("""COMPUTED_VALUE"""),"Medicine")</f>
        <v>Medicine</v>
      </c>
      <c r="L2002" s="1"/>
      <c r="M2002" s="1" t="str">
        <f ca="1">IFERROR(__xludf.DUMMYFUNCTION("""COMPUTED_VALUE"""),"〇")</f>
        <v>〇</v>
      </c>
      <c r="N2002" s="1"/>
      <c r="O2002" s="1"/>
      <c r="P2002" s="1"/>
    </row>
    <row r="2003" spans="1:16" ht="14.25" customHeight="1" x14ac:dyDescent="0.25">
      <c r="A2003" s="1"/>
      <c r="B2003" s="1">
        <f ca="1"/>
        <v>1991</v>
      </c>
      <c r="C2003" s="1">
        <f ca="1">IFERROR(__xludf.DUMMYFUNCTION("""COMPUTED_VALUE"""),2023)</f>
        <v>2023</v>
      </c>
      <c r="D2003" s="1">
        <f ca="1">IFERROR(__xludf.DUMMYFUNCTION("""COMPUTED_VALUE"""),41782)</f>
        <v>41782</v>
      </c>
      <c r="E2003" s="1" t="str">
        <f ca="1">IFERROR(__xludf.DUMMYFUNCTION("""COMPUTED_VALUE"""),"Sleep and Vigilance")</f>
        <v>Sleep and Vigilance</v>
      </c>
      <c r="F2003" s="1" t="str">
        <f ca="1">IFERROR(__xludf.DUMMYFUNCTION("""COMPUTED_VALUE"""),"2510-2265")</f>
        <v>2510-2265</v>
      </c>
      <c r="G2003" s="1"/>
      <c r="H2003" s="27" t="str">
        <f ca="1">IFERROR(__xludf.DUMMYFUNCTION("""COMPUTED_VALUE"""),"https://link.springer.com/journal/41782")</f>
        <v>https://link.springer.com/journal/41782</v>
      </c>
      <c r="I2003" s="1" t="str">
        <f ca="1">IFERROR(__xludf.DUMMYFUNCTION("""COMPUTED_VALUE"""),"Springer")</f>
        <v>Springer</v>
      </c>
      <c r="J2003" s="1">
        <f ca="1">IFERROR(__xludf.DUMMYFUNCTION("""COMPUTED_VALUE"""),2017)</f>
        <v>2017</v>
      </c>
      <c r="K2003" s="1" t="str">
        <f ca="1">IFERROR(__xludf.DUMMYFUNCTION("""COMPUTED_VALUE"""),"Biomedical and Life Sciences")</f>
        <v>Biomedical and Life Sciences</v>
      </c>
      <c r="L2003" s="1"/>
      <c r="M2003" s="1"/>
      <c r="N2003" s="1" t="str">
        <f ca="1">IFERROR(__xludf.DUMMYFUNCTION("""COMPUTED_VALUE"""),"SNS17")</f>
        <v>SNS17</v>
      </c>
      <c r="O2003" s="1"/>
      <c r="P2003" s="1"/>
    </row>
    <row r="2004" spans="1:16" ht="14.25" customHeight="1" x14ac:dyDescent="0.25">
      <c r="A2004" s="1"/>
      <c r="B2004" s="1">
        <f ca="1"/>
        <v>1992</v>
      </c>
      <c r="C2004" s="1">
        <f ca="1">IFERROR(__xludf.DUMMYFUNCTION("""COMPUTED_VALUE"""),2023)</f>
        <v>2023</v>
      </c>
      <c r="D2004" s="1">
        <f ca="1">IFERROR(__xludf.DUMMYFUNCTION("""COMPUTED_VALUE"""),11187)</f>
        <v>11187</v>
      </c>
      <c r="E2004" s="1" t="str">
        <f ca="1">IFERROR(__xludf.DUMMYFUNCTION("""COMPUTED_VALUE"""),"Small Business Economics")</f>
        <v>Small Business Economics</v>
      </c>
      <c r="F2004" s="1" t="str">
        <f ca="1">IFERROR(__xludf.DUMMYFUNCTION("""COMPUTED_VALUE"""),"1573-0913")</f>
        <v>1573-0913</v>
      </c>
      <c r="G2004" s="1" t="str">
        <f ca="1">IFERROR(__xludf.DUMMYFUNCTION("""COMPUTED_VALUE"""),"0921-898X")</f>
        <v>0921-898X</v>
      </c>
      <c r="H2004" s="27" t="str">
        <f ca="1">IFERROR(__xludf.DUMMYFUNCTION("""COMPUTED_VALUE"""),"https://link.springer.com/journal/11187")</f>
        <v>https://link.springer.com/journal/11187</v>
      </c>
      <c r="I2004" s="1" t="str">
        <f ca="1">IFERROR(__xludf.DUMMYFUNCTION("""COMPUTED_VALUE"""),"Springer")</f>
        <v>Springer</v>
      </c>
      <c r="J2004" s="1">
        <f ca="1">IFERROR(__xludf.DUMMYFUNCTION("""COMPUTED_VALUE"""),2000)</f>
        <v>2000</v>
      </c>
      <c r="K2004" s="1" t="str">
        <f ca="1">IFERROR(__xludf.DUMMYFUNCTION("""COMPUTED_VALUE"""),"Business and Management")</f>
        <v>Business and Management</v>
      </c>
      <c r="L2004" s="1" t="str">
        <f ca="1">IFERROR(__xludf.DUMMYFUNCTION("""COMPUTED_VALUE"""),"〇")</f>
        <v>〇</v>
      </c>
      <c r="M2004" s="1" t="str">
        <f ca="1">IFERROR(__xludf.DUMMYFUNCTION("""COMPUTED_VALUE"""),"〇")</f>
        <v>〇</v>
      </c>
      <c r="N2004" s="1"/>
      <c r="O2004" s="1"/>
      <c r="P2004" s="1"/>
    </row>
    <row r="2005" spans="1:16" ht="14.25" customHeight="1" x14ac:dyDescent="0.25">
      <c r="A2005" s="1"/>
      <c r="B2005" s="1">
        <f ca="1"/>
        <v>1993</v>
      </c>
      <c r="C2005" s="1">
        <f ca="1">IFERROR(__xludf.DUMMYFUNCTION("""COMPUTED_VALUE"""),2023)</f>
        <v>2023</v>
      </c>
      <c r="D2005" s="1">
        <f ca="1">IFERROR(__xludf.DUMMYFUNCTION("""COMPUTED_VALUE"""),11842)</f>
        <v>11842</v>
      </c>
      <c r="E2005" s="1" t="str">
        <f ca="1">IFERROR(__xludf.DUMMYFUNCTION("""COMPUTED_VALUE"""),"Small-scale Forestry")</f>
        <v>Small-scale Forestry</v>
      </c>
      <c r="F2005" s="1" t="str">
        <f ca="1">IFERROR(__xludf.DUMMYFUNCTION("""COMPUTED_VALUE"""),"1873-7854")</f>
        <v>1873-7854</v>
      </c>
      <c r="G2005" s="1" t="str">
        <f ca="1">IFERROR(__xludf.DUMMYFUNCTION("""COMPUTED_VALUE"""),"1873-7617")</f>
        <v>1873-7617</v>
      </c>
      <c r="H2005" s="27" t="str">
        <f ca="1">IFERROR(__xludf.DUMMYFUNCTION("""COMPUTED_VALUE"""),"https://link.springer.com/journal/11842")</f>
        <v>https://link.springer.com/journal/11842</v>
      </c>
      <c r="I2005" s="1" t="str">
        <f ca="1">IFERROR(__xludf.DUMMYFUNCTION("""COMPUTED_VALUE"""),"Springer")</f>
        <v>Springer</v>
      </c>
      <c r="J2005" s="1">
        <f ca="1">IFERROR(__xludf.DUMMYFUNCTION("""COMPUTED_VALUE"""),2002)</f>
        <v>2002</v>
      </c>
      <c r="K2005" s="1" t="str">
        <f ca="1">IFERROR(__xludf.DUMMYFUNCTION("""COMPUTED_VALUE"""),"Biomedical and Life Sciences")</f>
        <v>Biomedical and Life Sciences</v>
      </c>
      <c r="L2005" s="1" t="str">
        <f ca="1">IFERROR(__xludf.DUMMYFUNCTION("""COMPUTED_VALUE"""),"〇")</f>
        <v>〇</v>
      </c>
      <c r="M2005" s="1" t="str">
        <f ca="1">IFERROR(__xludf.DUMMYFUNCTION("""COMPUTED_VALUE"""),"〇")</f>
        <v>〇</v>
      </c>
      <c r="N2005" s="1" t="str">
        <f ca="1">IFERROR(__xludf.DUMMYFUNCTION("""COMPUTED_VALUE"""),"TO7")</f>
        <v>TO7</v>
      </c>
      <c r="O2005" s="1"/>
      <c r="P2005" s="1"/>
    </row>
    <row r="2006" spans="1:16" ht="14.25" customHeight="1" x14ac:dyDescent="0.25">
      <c r="A2006" s="1"/>
      <c r="B2006" s="1">
        <f ca="1"/>
        <v>1994</v>
      </c>
      <c r="C2006" s="1">
        <f ca="1">IFERROR(__xludf.DUMMYFUNCTION("""COMPUTED_VALUE"""),2023)</f>
        <v>2023</v>
      </c>
      <c r="D2006" s="1">
        <f ca="1">IFERROR(__xludf.DUMMYFUNCTION("""COMPUTED_VALUE"""),43546)</f>
        <v>43546</v>
      </c>
      <c r="E2006" s="1" t="str">
        <f ca="1">IFERROR(__xludf.DUMMYFUNCTION("""COMPUTED_VALUE"""),"SN Business &amp; Economics")</f>
        <v>SN Business &amp; Economics</v>
      </c>
      <c r="F2006" s="1" t="str">
        <f ca="1">IFERROR(__xludf.DUMMYFUNCTION("""COMPUTED_VALUE"""),"2662-9399")</f>
        <v>2662-9399</v>
      </c>
      <c r="G2006" s="1"/>
      <c r="H2006" s="27" t="str">
        <f ca="1">IFERROR(__xludf.DUMMYFUNCTION("""COMPUTED_VALUE"""),"https://link.springer.com/journal/43546")</f>
        <v>https://link.springer.com/journal/43546</v>
      </c>
      <c r="I2006" s="1" t="str">
        <f ca="1">IFERROR(__xludf.DUMMYFUNCTION("""COMPUTED_VALUE"""),"Springer Nature")</f>
        <v>Springer Nature</v>
      </c>
      <c r="J2006" s="1">
        <f ca="1">IFERROR(__xludf.DUMMYFUNCTION("""COMPUTED_VALUE"""),2021)</f>
        <v>2021</v>
      </c>
      <c r="K2006" s="1" t="str">
        <f ca="1">IFERROR(__xludf.DUMMYFUNCTION("""COMPUTED_VALUE"""),"Business and Management")</f>
        <v>Business and Management</v>
      </c>
      <c r="L2006" s="1"/>
      <c r="M2006" s="1"/>
      <c r="N2006" s="1" t="str">
        <f ca="1">IFERROR(__xludf.DUMMYFUNCTION("""COMPUTED_VALUE"""),"SNS21")</f>
        <v>SNS21</v>
      </c>
      <c r="O2006" s="1"/>
      <c r="P2006" s="1"/>
    </row>
    <row r="2007" spans="1:16" ht="14.25" customHeight="1" x14ac:dyDescent="0.25">
      <c r="A2007" s="1"/>
      <c r="B2007" s="1">
        <f ca="1"/>
        <v>1995</v>
      </c>
      <c r="C2007" s="1">
        <f ca="1">IFERROR(__xludf.DUMMYFUNCTION("""COMPUTED_VALUE"""),2023)</f>
        <v>2023</v>
      </c>
      <c r="D2007" s="1">
        <f ca="1">IFERROR(__xludf.DUMMYFUNCTION("""COMPUTED_VALUE"""),42399)</f>
        <v>42399</v>
      </c>
      <c r="E2007" s="1" t="str">
        <f ca="1">IFERROR(__xludf.DUMMYFUNCTION("""COMPUTED_VALUE"""),"SN Comprehensive Clinical Medicine")</f>
        <v>SN Comprehensive Clinical Medicine</v>
      </c>
      <c r="F2007" s="1" t="str">
        <f ca="1">IFERROR(__xludf.DUMMYFUNCTION("""COMPUTED_VALUE"""),"2523-8973")</f>
        <v>2523-8973</v>
      </c>
      <c r="G2007" s="1"/>
      <c r="H2007" s="27" t="str">
        <f ca="1">IFERROR(__xludf.DUMMYFUNCTION("""COMPUTED_VALUE"""),"https://link.springer.com/journal/42399")</f>
        <v>https://link.springer.com/journal/42399</v>
      </c>
      <c r="I2007" s="1" t="str">
        <f ca="1">IFERROR(__xludf.DUMMYFUNCTION("""COMPUTED_VALUE"""),"Springer Nature")</f>
        <v>Springer Nature</v>
      </c>
      <c r="J2007" s="1">
        <f ca="1">IFERROR(__xludf.DUMMYFUNCTION("""COMPUTED_VALUE"""),2019)</f>
        <v>2019</v>
      </c>
      <c r="K2007" s="1" t="str">
        <f ca="1">IFERROR(__xludf.DUMMYFUNCTION("""COMPUTED_VALUE"""),"Medicine")</f>
        <v>Medicine</v>
      </c>
      <c r="L2007" s="1"/>
      <c r="M2007" s="1" t="str">
        <f ca="1">IFERROR(__xludf.DUMMYFUNCTION("""COMPUTED_VALUE"""),"〇")</f>
        <v>〇</v>
      </c>
      <c r="N2007" s="1" t="str">
        <f ca="1">IFERROR(__xludf.DUMMYFUNCTION("""COMPUTED_VALUE"""),"SNS19")</f>
        <v>SNS19</v>
      </c>
      <c r="O2007" s="1"/>
      <c r="P2007" s="1"/>
    </row>
    <row r="2008" spans="1:16" ht="14.25" customHeight="1" x14ac:dyDescent="0.25">
      <c r="A2008" s="1"/>
      <c r="B2008" s="1">
        <f ca="1"/>
        <v>1996</v>
      </c>
      <c r="C2008" s="1">
        <f ca="1">IFERROR(__xludf.DUMMYFUNCTION("""COMPUTED_VALUE"""),2023)</f>
        <v>2023</v>
      </c>
      <c r="D2008" s="1">
        <f ca="1">IFERROR(__xludf.DUMMYFUNCTION("""COMPUTED_VALUE"""),42979)</f>
        <v>42979</v>
      </c>
      <c r="E2008" s="1" t="str">
        <f ca="1">IFERROR(__xludf.DUMMYFUNCTION("""COMPUTED_VALUE"""),"SN Computer Science")</f>
        <v>SN Computer Science</v>
      </c>
      <c r="F2008" s="1" t="str">
        <f ca="1">IFERROR(__xludf.DUMMYFUNCTION("""COMPUTED_VALUE"""),"2661-8907")</f>
        <v>2661-8907</v>
      </c>
      <c r="G2008" s="1"/>
      <c r="H2008" s="27" t="str">
        <f ca="1">IFERROR(__xludf.DUMMYFUNCTION("""COMPUTED_VALUE"""),"https://link.springer.com/journal/42979")</f>
        <v>https://link.springer.com/journal/42979</v>
      </c>
      <c r="I2008" s="1" t="str">
        <f ca="1">IFERROR(__xludf.DUMMYFUNCTION("""COMPUTED_VALUE"""),"Springer Nature")</f>
        <v>Springer Nature</v>
      </c>
      <c r="J2008" s="1">
        <f ca="1">IFERROR(__xludf.DUMMYFUNCTION("""COMPUTED_VALUE"""),2020)</f>
        <v>2020</v>
      </c>
      <c r="K2008" s="1" t="str">
        <f ca="1">IFERROR(__xludf.DUMMYFUNCTION("""COMPUTED_VALUE"""),"Computer Science")</f>
        <v>Computer Science</v>
      </c>
      <c r="L2008" s="1"/>
      <c r="M2008" s="1" t="str">
        <f ca="1">IFERROR(__xludf.DUMMYFUNCTION("""COMPUTED_VALUE"""),"〇")</f>
        <v>〇</v>
      </c>
      <c r="N2008" s="1" t="str">
        <f ca="1">IFERROR(__xludf.DUMMYFUNCTION("""COMPUTED_VALUE"""),"SNS20")</f>
        <v>SNS20</v>
      </c>
      <c r="O2008" s="1"/>
      <c r="P2008" s="1"/>
    </row>
    <row r="2009" spans="1:16" ht="14.25" customHeight="1" x14ac:dyDescent="0.25">
      <c r="A2009" s="1"/>
      <c r="B2009" s="1">
        <f ca="1"/>
        <v>1997</v>
      </c>
      <c r="C2009" s="1">
        <f ca="1">IFERROR(__xludf.DUMMYFUNCTION("""COMPUTED_VALUE"""),2023)</f>
        <v>2023</v>
      </c>
      <c r="D2009" s="1">
        <f ca="1">IFERROR(__xludf.DUMMYFUNCTION("""COMPUTED_VALUE"""),43545)</f>
        <v>43545</v>
      </c>
      <c r="E2009" s="1" t="str">
        <f ca="1">IFERROR(__xludf.DUMMYFUNCTION("""COMPUTED_VALUE"""),"SN Social Sciences")</f>
        <v>SN Social Sciences</v>
      </c>
      <c r="F2009" s="1" t="str">
        <f ca="1">IFERROR(__xludf.DUMMYFUNCTION("""COMPUTED_VALUE"""),"2662-9283")</f>
        <v>2662-9283</v>
      </c>
      <c r="G2009" s="1"/>
      <c r="H2009" s="27" t="str">
        <f ca="1">IFERROR(__xludf.DUMMYFUNCTION("""COMPUTED_VALUE"""),"https://link.springer.com/journal/43545")</f>
        <v>https://link.springer.com/journal/43545</v>
      </c>
      <c r="I2009" s="1" t="str">
        <f ca="1">IFERROR(__xludf.DUMMYFUNCTION("""COMPUTED_VALUE"""),"Springer Nature")</f>
        <v>Springer Nature</v>
      </c>
      <c r="J2009" s="1">
        <f ca="1">IFERROR(__xludf.DUMMYFUNCTION("""COMPUTED_VALUE"""),2021)</f>
        <v>2021</v>
      </c>
      <c r="K2009" s="1" t="str">
        <f ca="1">IFERROR(__xludf.DUMMYFUNCTION("""COMPUTED_VALUE"""),"Social Sciences")</f>
        <v>Social Sciences</v>
      </c>
      <c r="L2009" s="1"/>
      <c r="M2009" s="1"/>
      <c r="N2009" s="1" t="str">
        <f ca="1">IFERROR(__xludf.DUMMYFUNCTION("""COMPUTED_VALUE"""),"SNS21")</f>
        <v>SNS21</v>
      </c>
      <c r="O2009" s="1"/>
      <c r="P2009" s="1"/>
    </row>
    <row r="2010" spans="1:16" ht="14.25" customHeight="1" x14ac:dyDescent="0.25">
      <c r="A2010" s="1"/>
      <c r="B2010" s="1">
        <f ca="1"/>
        <v>1998</v>
      </c>
      <c r="C2010" s="1">
        <f ca="1">IFERROR(__xludf.DUMMYFUNCTION("""COMPUTED_VALUE"""),2023)</f>
        <v>2023</v>
      </c>
      <c r="D2010" s="1">
        <f ca="1">IFERROR(__xludf.DUMMYFUNCTION("""COMPUTED_VALUE"""),355)</f>
        <v>355</v>
      </c>
      <c r="E2010" s="1" t="str">
        <f ca="1">IFERROR(__xludf.DUMMYFUNCTION("""COMPUTED_VALUE"""),"Social Choice and Welfare")</f>
        <v>Social Choice and Welfare</v>
      </c>
      <c r="F2010" s="1" t="str">
        <f ca="1">IFERROR(__xludf.DUMMYFUNCTION("""COMPUTED_VALUE"""),"1432-217X")</f>
        <v>1432-217X</v>
      </c>
      <c r="G2010" s="1" t="str">
        <f ca="1">IFERROR(__xludf.DUMMYFUNCTION("""COMPUTED_VALUE"""),"0176-1714")</f>
        <v>0176-1714</v>
      </c>
      <c r="H2010" s="27" t="str">
        <f ca="1">IFERROR(__xludf.DUMMYFUNCTION("""COMPUTED_VALUE"""),"https://link.springer.com/journal/355")</f>
        <v>https://link.springer.com/journal/355</v>
      </c>
      <c r="I2010" s="1" t="str">
        <f ca="1">IFERROR(__xludf.DUMMYFUNCTION("""COMPUTED_VALUE"""),"Springer")</f>
        <v>Springer</v>
      </c>
      <c r="J2010" s="1">
        <f ca="1">IFERROR(__xludf.DUMMYFUNCTION("""COMPUTED_VALUE"""),2000)</f>
        <v>2000</v>
      </c>
      <c r="K2010" s="1" t="str">
        <f ca="1">IFERROR(__xludf.DUMMYFUNCTION("""COMPUTED_VALUE"""),"Economics and Finance")</f>
        <v>Economics and Finance</v>
      </c>
      <c r="L2010" s="1" t="str">
        <f ca="1">IFERROR(__xludf.DUMMYFUNCTION("""COMPUTED_VALUE"""),"〇")</f>
        <v>〇</v>
      </c>
      <c r="M2010" s="1" t="str">
        <f ca="1">IFERROR(__xludf.DUMMYFUNCTION("""COMPUTED_VALUE"""),"〇")</f>
        <v>〇</v>
      </c>
      <c r="N2010" s="1"/>
      <c r="O2010" s="1"/>
      <c r="P2010" s="1"/>
    </row>
    <row r="2011" spans="1:16" ht="14.25" customHeight="1" x14ac:dyDescent="0.25">
      <c r="A2011" s="1"/>
      <c r="B2011" s="1">
        <f ca="1"/>
        <v>1999</v>
      </c>
      <c r="C2011" s="1">
        <f ca="1">IFERROR(__xludf.DUMMYFUNCTION("""COMPUTED_VALUE"""),2023)</f>
        <v>2023</v>
      </c>
      <c r="D2011" s="1">
        <f ca="1">IFERROR(__xludf.DUMMYFUNCTION("""COMPUTED_VALUE"""),11205)</f>
        <v>11205</v>
      </c>
      <c r="E2011" s="1" t="str">
        <f ca="1">IFERROR(__xludf.DUMMYFUNCTION("""COMPUTED_VALUE"""),"Social Indicators Research")</f>
        <v>Social Indicators Research</v>
      </c>
      <c r="F2011" s="1" t="str">
        <f ca="1">IFERROR(__xludf.DUMMYFUNCTION("""COMPUTED_VALUE"""),"1573-0921")</f>
        <v>1573-0921</v>
      </c>
      <c r="G2011" s="1" t="str">
        <f ca="1">IFERROR(__xludf.DUMMYFUNCTION("""COMPUTED_VALUE"""),"0303-8300")</f>
        <v>0303-8300</v>
      </c>
      <c r="H2011" s="27" t="str">
        <f ca="1">IFERROR(__xludf.DUMMYFUNCTION("""COMPUTED_VALUE"""),"https://link.springer.com/journal/11205")</f>
        <v>https://link.springer.com/journal/11205</v>
      </c>
      <c r="I2011" s="1" t="str">
        <f ca="1">IFERROR(__xludf.DUMMYFUNCTION("""COMPUTED_VALUE"""),"Springer")</f>
        <v>Springer</v>
      </c>
      <c r="J2011" s="1">
        <f ca="1">IFERROR(__xludf.DUMMYFUNCTION("""COMPUTED_VALUE"""),2000)</f>
        <v>2000</v>
      </c>
      <c r="K2011" s="1" t="str">
        <f ca="1">IFERROR(__xludf.DUMMYFUNCTION("""COMPUTED_VALUE"""),"Social Sciences")</f>
        <v>Social Sciences</v>
      </c>
      <c r="L2011" s="1" t="str">
        <f ca="1">IFERROR(__xludf.DUMMYFUNCTION("""COMPUTED_VALUE"""),"〇")</f>
        <v>〇</v>
      </c>
      <c r="M2011" s="1" t="str">
        <f ca="1">IFERROR(__xludf.DUMMYFUNCTION("""COMPUTED_VALUE"""),"〇")</f>
        <v>〇</v>
      </c>
      <c r="N2011" s="1"/>
      <c r="O2011" s="1"/>
      <c r="P2011" s="1"/>
    </row>
    <row r="2012" spans="1:16" ht="14.25" customHeight="1" x14ac:dyDescent="0.25">
      <c r="A2012" s="1"/>
      <c r="B2012" s="1">
        <f ca="1"/>
        <v>2000</v>
      </c>
      <c r="C2012" s="1">
        <f ca="1">IFERROR(__xludf.DUMMYFUNCTION("""COMPUTED_VALUE"""),2023)</f>
        <v>2023</v>
      </c>
      <c r="D2012" s="1">
        <f ca="1">IFERROR(__xludf.DUMMYFUNCTION("""COMPUTED_VALUE"""),11211)</f>
        <v>11211</v>
      </c>
      <c r="E2012" s="1" t="str">
        <f ca="1">IFERROR(__xludf.DUMMYFUNCTION("""COMPUTED_VALUE"""),"Social Justice Research")</f>
        <v>Social Justice Research</v>
      </c>
      <c r="F2012" s="1" t="str">
        <f ca="1">IFERROR(__xludf.DUMMYFUNCTION("""COMPUTED_VALUE"""),"1573-6725")</f>
        <v>1573-6725</v>
      </c>
      <c r="G2012" s="1" t="str">
        <f ca="1">IFERROR(__xludf.DUMMYFUNCTION("""COMPUTED_VALUE"""),"0885-7466")</f>
        <v>0885-7466</v>
      </c>
      <c r="H2012" s="27" t="str">
        <f ca="1">IFERROR(__xludf.DUMMYFUNCTION("""COMPUTED_VALUE"""),"https://link.springer.com/journal/11211")</f>
        <v>https://link.springer.com/journal/11211</v>
      </c>
      <c r="I2012" s="1" t="str">
        <f ca="1">IFERROR(__xludf.DUMMYFUNCTION("""COMPUTED_VALUE"""),"Springer")</f>
        <v>Springer</v>
      </c>
      <c r="J2012" s="1">
        <f ca="1">IFERROR(__xludf.DUMMYFUNCTION("""COMPUTED_VALUE"""),2000)</f>
        <v>2000</v>
      </c>
      <c r="K2012" s="1" t="str">
        <f ca="1">IFERROR(__xludf.DUMMYFUNCTION("""COMPUTED_VALUE"""),"Behavioral Science and Psychology")</f>
        <v>Behavioral Science and Psychology</v>
      </c>
      <c r="L2012" s="1" t="str">
        <f ca="1">IFERROR(__xludf.DUMMYFUNCTION("""COMPUTED_VALUE"""),"〇")</f>
        <v>〇</v>
      </c>
      <c r="M2012" s="1" t="str">
        <f ca="1">IFERROR(__xludf.DUMMYFUNCTION("""COMPUTED_VALUE"""),"〇")</f>
        <v>〇</v>
      </c>
      <c r="N2012" s="1"/>
      <c r="O2012" s="1"/>
      <c r="P2012" s="1"/>
    </row>
    <row r="2013" spans="1:16" ht="14.25" customHeight="1" x14ac:dyDescent="0.25">
      <c r="A2013" s="1"/>
      <c r="B2013" s="1">
        <f ca="1"/>
        <v>2001</v>
      </c>
      <c r="C2013" s="1">
        <f ca="1">IFERROR(__xludf.DUMMYFUNCTION("""COMPUTED_VALUE"""),2023)</f>
        <v>2023</v>
      </c>
      <c r="D2013" s="1">
        <f ca="1">IFERROR(__xludf.DUMMYFUNCTION("""COMPUTED_VALUE"""),13278)</f>
        <v>13278</v>
      </c>
      <c r="E2013" s="1" t="str">
        <f ca="1">IFERROR(__xludf.DUMMYFUNCTION("""COMPUTED_VALUE"""),"Social Network Analysis and Mining")</f>
        <v>Social Network Analysis and Mining</v>
      </c>
      <c r="F2013" s="1" t="str">
        <f ca="1">IFERROR(__xludf.DUMMYFUNCTION("""COMPUTED_VALUE"""),"1869-5469")</f>
        <v>1869-5469</v>
      </c>
      <c r="G2013" s="1"/>
      <c r="H2013" s="27" t="str">
        <f ca="1">IFERROR(__xludf.DUMMYFUNCTION("""COMPUTED_VALUE"""),"https://link.springer.com/journal/13278")</f>
        <v>https://link.springer.com/journal/13278</v>
      </c>
      <c r="I2013" s="1" t="str">
        <f ca="1">IFERROR(__xludf.DUMMYFUNCTION("""COMPUTED_VALUE"""),"Springer")</f>
        <v>Springer</v>
      </c>
      <c r="J2013" s="1">
        <f ca="1">IFERROR(__xludf.DUMMYFUNCTION("""COMPUTED_VALUE"""),2011)</f>
        <v>2011</v>
      </c>
      <c r="K2013" s="1" t="str">
        <f ca="1">IFERROR(__xludf.DUMMYFUNCTION("""COMPUTED_VALUE"""),"Computer Science")</f>
        <v>Computer Science</v>
      </c>
      <c r="L2013" s="1"/>
      <c r="M2013" s="1"/>
      <c r="N2013" s="1" t="str">
        <f ca="1">IFERROR(__xludf.DUMMYFUNCTION("""COMPUTED_VALUE"""),"SNS11")</f>
        <v>SNS11</v>
      </c>
      <c r="O2013" s="1"/>
      <c r="P2013" s="1"/>
    </row>
    <row r="2014" spans="1:16" ht="14.25" customHeight="1" x14ac:dyDescent="0.25">
      <c r="A2014" s="1"/>
      <c r="B2014" s="1">
        <f ca="1"/>
        <v>2002</v>
      </c>
      <c r="C2014" s="1">
        <f ca="1">IFERROR(__xludf.DUMMYFUNCTION("""COMPUTED_VALUE"""),2023)</f>
        <v>2023</v>
      </c>
      <c r="D2014" s="1">
        <f ca="1">IFERROR(__xludf.DUMMYFUNCTION("""COMPUTED_VALUE"""),127)</f>
        <v>127</v>
      </c>
      <c r="E2014" s="1" t="str">
        <f ca="1">IFERROR(__xludf.DUMMYFUNCTION("""COMPUTED_VALUE"""),"Social Psychiatry and Psychiatric Epidemiology")</f>
        <v>Social Psychiatry and Psychiatric Epidemiology</v>
      </c>
      <c r="F2014" s="1" t="str">
        <f ca="1">IFERROR(__xludf.DUMMYFUNCTION("""COMPUTED_VALUE"""),"1433-9285")</f>
        <v>1433-9285</v>
      </c>
      <c r="G2014" s="1" t="str">
        <f ca="1">IFERROR(__xludf.DUMMYFUNCTION("""COMPUTED_VALUE"""),"0933-7954")</f>
        <v>0933-7954</v>
      </c>
      <c r="H2014" s="27" t="str">
        <f ca="1">IFERROR(__xludf.DUMMYFUNCTION("""COMPUTED_VALUE"""),"https://link.springer.com/journal/127")</f>
        <v>https://link.springer.com/journal/127</v>
      </c>
      <c r="I2014" s="1" t="str">
        <f ca="1">IFERROR(__xludf.DUMMYFUNCTION("""COMPUTED_VALUE"""),"Springer")</f>
        <v>Springer</v>
      </c>
      <c r="J2014" s="1">
        <f ca="1">IFERROR(__xludf.DUMMYFUNCTION("""COMPUTED_VALUE"""),2000)</f>
        <v>2000</v>
      </c>
      <c r="K2014" s="1" t="str">
        <f ca="1">IFERROR(__xludf.DUMMYFUNCTION("""COMPUTED_VALUE"""),"Medicine")</f>
        <v>Medicine</v>
      </c>
      <c r="L2014" s="1" t="str">
        <f ca="1">IFERROR(__xludf.DUMMYFUNCTION("""COMPUTED_VALUE"""),"〇")</f>
        <v>〇</v>
      </c>
      <c r="M2014" s="1" t="str">
        <f ca="1">IFERROR(__xludf.DUMMYFUNCTION("""COMPUTED_VALUE"""),"〇")</f>
        <v>〇</v>
      </c>
      <c r="N2014" s="1"/>
      <c r="O2014" s="1"/>
      <c r="P2014" s="1"/>
    </row>
    <row r="2015" spans="1:16" ht="14.25" customHeight="1" x14ac:dyDescent="0.25">
      <c r="A2015" s="1"/>
      <c r="B2015" s="1">
        <f ca="1"/>
        <v>2003</v>
      </c>
      <c r="C2015" s="1">
        <f ca="1">IFERROR(__xludf.DUMMYFUNCTION("""COMPUTED_VALUE"""),2023)</f>
        <v>2023</v>
      </c>
      <c r="D2015" s="1">
        <f ca="1">IFERROR(__xludf.DUMMYFUNCTION("""COMPUTED_VALUE"""),11218)</f>
        <v>11218</v>
      </c>
      <c r="E2015" s="1" t="str">
        <f ca="1">IFERROR(__xludf.DUMMYFUNCTION("""COMPUTED_VALUE"""),"Social Psychology of Education")</f>
        <v>Social Psychology of Education</v>
      </c>
      <c r="F2015" s="1" t="str">
        <f ca="1">IFERROR(__xludf.DUMMYFUNCTION("""COMPUTED_VALUE"""),"1573-1928")</f>
        <v>1573-1928</v>
      </c>
      <c r="G2015" s="1" t="str">
        <f ca="1">IFERROR(__xludf.DUMMYFUNCTION("""COMPUTED_VALUE"""),"1381-2890")</f>
        <v>1381-2890</v>
      </c>
      <c r="H2015" s="27" t="str">
        <f ca="1">IFERROR(__xludf.DUMMYFUNCTION("""COMPUTED_VALUE"""),"https://link.springer.com/journal/11218")</f>
        <v>https://link.springer.com/journal/11218</v>
      </c>
      <c r="I2015" s="1" t="str">
        <f ca="1">IFERROR(__xludf.DUMMYFUNCTION("""COMPUTED_VALUE"""),"Springer")</f>
        <v>Springer</v>
      </c>
      <c r="J2015" s="1">
        <f ca="1">IFERROR(__xludf.DUMMYFUNCTION("""COMPUTED_VALUE"""),2000)</f>
        <v>2000</v>
      </c>
      <c r="K2015" s="1" t="str">
        <f ca="1">IFERROR(__xludf.DUMMYFUNCTION("""COMPUTED_VALUE"""),"Education")</f>
        <v>Education</v>
      </c>
      <c r="L2015" s="1" t="str">
        <f ca="1">IFERROR(__xludf.DUMMYFUNCTION("""COMPUTED_VALUE"""),"〇")</f>
        <v>〇</v>
      </c>
      <c r="M2015" s="1" t="str">
        <f ca="1">IFERROR(__xludf.DUMMYFUNCTION("""COMPUTED_VALUE"""),"〇")</f>
        <v>〇</v>
      </c>
      <c r="N2015" s="1"/>
      <c r="O2015" s="1"/>
      <c r="P2015" s="1"/>
    </row>
    <row r="2016" spans="1:16" ht="14.25" customHeight="1" x14ac:dyDescent="0.25">
      <c r="A2016" s="1"/>
      <c r="B2016" s="1">
        <f ca="1"/>
        <v>2004</v>
      </c>
      <c r="C2016" s="1">
        <f ca="1">IFERROR(__xludf.DUMMYFUNCTION("""COMPUTED_VALUE"""),2023)</f>
        <v>2023</v>
      </c>
      <c r="D2016" s="1">
        <f ca="1">IFERROR(__xludf.DUMMYFUNCTION("""COMPUTED_VALUE"""),12115)</f>
        <v>12115</v>
      </c>
      <c r="E2016" s="1" t="str">
        <f ca="1">IFERROR(__xludf.DUMMYFUNCTION("""COMPUTED_VALUE"""),"Society")</f>
        <v>Society</v>
      </c>
      <c r="F2016" s="1" t="str">
        <f ca="1">IFERROR(__xludf.DUMMYFUNCTION("""COMPUTED_VALUE"""),"1936-4725")</f>
        <v>1936-4725</v>
      </c>
      <c r="G2016" s="1" t="str">
        <f ca="1">IFERROR(__xludf.DUMMYFUNCTION("""COMPUTED_VALUE"""),"0147-2011")</f>
        <v>0147-2011</v>
      </c>
      <c r="H2016" s="27" t="str">
        <f ca="1">IFERROR(__xludf.DUMMYFUNCTION("""COMPUTED_VALUE"""),"https://link.springer.com/journal/12115")</f>
        <v>https://link.springer.com/journal/12115</v>
      </c>
      <c r="I2016" s="1" t="str">
        <f ca="1">IFERROR(__xludf.DUMMYFUNCTION("""COMPUTED_VALUE"""),"Springer")</f>
        <v>Springer</v>
      </c>
      <c r="J2016" s="1">
        <f ca="1">IFERROR(__xludf.DUMMYFUNCTION("""COMPUTED_VALUE"""),2000)</f>
        <v>2000</v>
      </c>
      <c r="K2016" s="1" t="str">
        <f ca="1">IFERROR(__xludf.DUMMYFUNCTION("""COMPUTED_VALUE"""),"Social Sciences")</f>
        <v>Social Sciences</v>
      </c>
      <c r="L2016" s="1" t="str">
        <f ca="1">IFERROR(__xludf.DUMMYFUNCTION("""COMPUTED_VALUE"""),"〇")</f>
        <v>〇</v>
      </c>
      <c r="M2016" s="1" t="str">
        <f ca="1">IFERROR(__xludf.DUMMYFUNCTION("""COMPUTED_VALUE"""),"〇")</f>
        <v>〇</v>
      </c>
      <c r="N2016" s="1" t="str">
        <f ca="1">IFERROR(__xludf.DUMMYFUNCTION("""COMPUTED_VALUE"""),"TO7")</f>
        <v>TO7</v>
      </c>
      <c r="O2016" s="1"/>
      <c r="P2016" s="1"/>
    </row>
    <row r="2017" spans="1:16" ht="14.25" customHeight="1" x14ac:dyDescent="0.25">
      <c r="A2017" s="1"/>
      <c r="B2017" s="1">
        <f ca="1"/>
        <v>2005</v>
      </c>
      <c r="C2017" s="1">
        <f ca="1">IFERROR(__xludf.DUMMYFUNCTION("""COMPUTED_VALUE"""),2023)</f>
        <v>2023</v>
      </c>
      <c r="D2017" s="1">
        <f ca="1">IFERROR(__xludf.DUMMYFUNCTION("""COMPUTED_VALUE"""),42532)</f>
        <v>42532</v>
      </c>
      <c r="E2017" s="1" t="str">
        <f ca="1">IFERROR(__xludf.DUMMYFUNCTION("""COMPUTED_VALUE"""),"Socio-Ecological Practice Research")</f>
        <v>Socio-Ecological Practice Research</v>
      </c>
      <c r="F2017" s="1" t="str">
        <f ca="1">IFERROR(__xludf.DUMMYFUNCTION("""COMPUTED_VALUE"""),"2524-5287")</f>
        <v>2524-5287</v>
      </c>
      <c r="G2017" s="1" t="str">
        <f ca="1">IFERROR(__xludf.DUMMYFUNCTION("""COMPUTED_VALUE"""),"2524-5279")</f>
        <v>2524-5279</v>
      </c>
      <c r="H2017" s="27" t="str">
        <f ca="1">IFERROR(__xludf.DUMMYFUNCTION("""COMPUTED_VALUE"""),"https://link.springer.com/journal/42532")</f>
        <v>https://link.springer.com/journal/42532</v>
      </c>
      <c r="I2017" s="1" t="str">
        <f ca="1">IFERROR(__xludf.DUMMYFUNCTION("""COMPUTED_VALUE"""),"Springer")</f>
        <v>Springer</v>
      </c>
      <c r="J2017" s="1">
        <f ca="1">IFERROR(__xludf.DUMMYFUNCTION("""COMPUTED_VALUE"""),2019)</f>
        <v>2019</v>
      </c>
      <c r="K2017" s="1" t="str">
        <f ca="1">IFERROR(__xludf.DUMMYFUNCTION("""COMPUTED_VALUE"""),"Earth and Environmental Science")</f>
        <v>Earth and Environmental Science</v>
      </c>
      <c r="L2017" s="1" t="str">
        <f ca="1">IFERROR(__xludf.DUMMYFUNCTION("""COMPUTED_VALUE"""),"〇")</f>
        <v>〇</v>
      </c>
      <c r="M2017" s="1"/>
      <c r="N2017" s="1" t="str">
        <f ca="1">IFERROR(__xludf.DUMMYFUNCTION("""COMPUTED_VALUE"""),"SNS19")</f>
        <v>SNS19</v>
      </c>
      <c r="O2017" s="1"/>
      <c r="P2017" s="1"/>
    </row>
    <row r="2018" spans="1:16" ht="14.25" customHeight="1" x14ac:dyDescent="0.25">
      <c r="A2018" s="1"/>
      <c r="B2018" s="1">
        <f ca="1"/>
        <v>2006</v>
      </c>
      <c r="C2018" s="1">
        <f ca="1">IFERROR(__xludf.DUMMYFUNCTION("""COMPUTED_VALUE"""),2023)</f>
        <v>2023</v>
      </c>
      <c r="D2018" s="1">
        <f ca="1">IFERROR(__xludf.DUMMYFUNCTION("""COMPUTED_VALUE"""),500)</f>
        <v>500</v>
      </c>
      <c r="E2018" s="1" t="str">
        <f ca="1">IFERROR(__xludf.DUMMYFUNCTION("""COMPUTED_VALUE"""),"Soft Computing")</f>
        <v>Soft Computing</v>
      </c>
      <c r="F2018" s="1" t="str">
        <f ca="1">IFERROR(__xludf.DUMMYFUNCTION("""COMPUTED_VALUE"""),"1433-7479")</f>
        <v>1433-7479</v>
      </c>
      <c r="G2018" s="1" t="str">
        <f ca="1">IFERROR(__xludf.DUMMYFUNCTION("""COMPUTED_VALUE"""),"1432-7643")</f>
        <v>1432-7643</v>
      </c>
      <c r="H2018" s="27" t="str">
        <f ca="1">IFERROR(__xludf.DUMMYFUNCTION("""COMPUTED_VALUE"""),"https://link.springer.com/journal/500")</f>
        <v>https://link.springer.com/journal/500</v>
      </c>
      <c r="I2018" s="1" t="str">
        <f ca="1">IFERROR(__xludf.DUMMYFUNCTION("""COMPUTED_VALUE"""),"Springer")</f>
        <v>Springer</v>
      </c>
      <c r="J2018" s="1">
        <f ca="1">IFERROR(__xludf.DUMMYFUNCTION("""COMPUTED_VALUE"""),2000)</f>
        <v>2000</v>
      </c>
      <c r="K2018" s="1" t="str">
        <f ca="1">IFERROR(__xludf.DUMMYFUNCTION("""COMPUTED_VALUE"""),"Engineering")</f>
        <v>Engineering</v>
      </c>
      <c r="L2018" s="1" t="str">
        <f ca="1">IFERROR(__xludf.DUMMYFUNCTION("""COMPUTED_VALUE"""),"〇")</f>
        <v>〇</v>
      </c>
      <c r="M2018" s="1" t="str">
        <f ca="1">IFERROR(__xludf.DUMMYFUNCTION("""COMPUTED_VALUE"""),"〇")</f>
        <v>〇</v>
      </c>
      <c r="N2018" s="1"/>
      <c r="O2018" s="1"/>
      <c r="P2018" s="1"/>
    </row>
    <row r="2019" spans="1:16" ht="14.25" customHeight="1" x14ac:dyDescent="0.25">
      <c r="A2019" s="1"/>
      <c r="B2019" s="1">
        <f ca="1"/>
        <v>2007</v>
      </c>
      <c r="C2019" s="1">
        <f ca="1">IFERROR(__xludf.DUMMYFUNCTION("""COMPUTED_VALUE"""),2023)</f>
        <v>2023</v>
      </c>
      <c r="D2019" s="1">
        <f ca="1">IFERROR(__xludf.DUMMYFUNCTION("""COMPUTED_VALUE"""),10270)</f>
        <v>10270</v>
      </c>
      <c r="E2019" s="1" t="str">
        <f ca="1">IFERROR(__xludf.DUMMYFUNCTION("""COMPUTED_VALUE"""),"Software and Systems Modeling")</f>
        <v>Software and Systems Modeling</v>
      </c>
      <c r="F2019" s="1" t="str">
        <f ca="1">IFERROR(__xludf.DUMMYFUNCTION("""COMPUTED_VALUE"""),"1619-1374")</f>
        <v>1619-1374</v>
      </c>
      <c r="G2019" s="1" t="str">
        <f ca="1">IFERROR(__xludf.DUMMYFUNCTION("""COMPUTED_VALUE"""),"1619-1366")</f>
        <v>1619-1366</v>
      </c>
      <c r="H2019" s="27" t="str">
        <f ca="1">IFERROR(__xludf.DUMMYFUNCTION("""COMPUTED_VALUE"""),"https://link.springer.com/journal/10270")</f>
        <v>https://link.springer.com/journal/10270</v>
      </c>
      <c r="I2019" s="1" t="str">
        <f ca="1">IFERROR(__xludf.DUMMYFUNCTION("""COMPUTED_VALUE"""),"Springer")</f>
        <v>Springer</v>
      </c>
      <c r="J2019" s="1">
        <f ca="1">IFERROR(__xludf.DUMMYFUNCTION("""COMPUTED_VALUE"""),2002)</f>
        <v>2002</v>
      </c>
      <c r="K2019" s="1" t="str">
        <f ca="1">IFERROR(__xludf.DUMMYFUNCTION("""COMPUTED_VALUE"""),"Computer Science")</f>
        <v>Computer Science</v>
      </c>
      <c r="L2019" s="1" t="str">
        <f ca="1">IFERROR(__xludf.DUMMYFUNCTION("""COMPUTED_VALUE"""),"〇")</f>
        <v>〇</v>
      </c>
      <c r="M2019" s="1" t="str">
        <f ca="1">IFERROR(__xludf.DUMMYFUNCTION("""COMPUTED_VALUE"""),"〇")</f>
        <v>〇</v>
      </c>
      <c r="N2019" s="1"/>
      <c r="O2019" s="1"/>
      <c r="P2019" s="1"/>
    </row>
    <row r="2020" spans="1:16" ht="14.25" customHeight="1" x14ac:dyDescent="0.25">
      <c r="A2020" s="1"/>
      <c r="B2020" s="1">
        <f ca="1"/>
        <v>2008</v>
      </c>
      <c r="C2020" s="1">
        <f ca="1">IFERROR(__xludf.DUMMYFUNCTION("""COMPUTED_VALUE"""),2023)</f>
        <v>2023</v>
      </c>
      <c r="D2020" s="1">
        <f ca="1">IFERROR(__xludf.DUMMYFUNCTION("""COMPUTED_VALUE"""),11219)</f>
        <v>11219</v>
      </c>
      <c r="E2020" s="1" t="str">
        <f ca="1">IFERROR(__xludf.DUMMYFUNCTION("""COMPUTED_VALUE"""),"Software Quality Journal")</f>
        <v>Software Quality Journal</v>
      </c>
      <c r="F2020" s="1" t="str">
        <f ca="1">IFERROR(__xludf.DUMMYFUNCTION("""COMPUTED_VALUE"""),"1573-1367")</f>
        <v>1573-1367</v>
      </c>
      <c r="G2020" s="1" t="str">
        <f ca="1">IFERROR(__xludf.DUMMYFUNCTION("""COMPUTED_VALUE"""),"0963-9314")</f>
        <v>0963-9314</v>
      </c>
      <c r="H2020" s="27" t="str">
        <f ca="1">IFERROR(__xludf.DUMMYFUNCTION("""COMPUTED_VALUE"""),"https://link.springer.com/journal/11219")</f>
        <v>https://link.springer.com/journal/11219</v>
      </c>
      <c r="I2020" s="1" t="str">
        <f ca="1">IFERROR(__xludf.DUMMYFUNCTION("""COMPUTED_VALUE"""),"Springer")</f>
        <v>Springer</v>
      </c>
      <c r="J2020" s="1">
        <f ca="1">IFERROR(__xludf.DUMMYFUNCTION("""COMPUTED_VALUE"""),2000)</f>
        <v>2000</v>
      </c>
      <c r="K2020" s="1" t="str">
        <f ca="1">IFERROR(__xludf.DUMMYFUNCTION("""COMPUTED_VALUE"""),"Computer Science")</f>
        <v>Computer Science</v>
      </c>
      <c r="L2020" s="1" t="str">
        <f ca="1">IFERROR(__xludf.DUMMYFUNCTION("""COMPUTED_VALUE"""),"〇")</f>
        <v>〇</v>
      </c>
      <c r="M2020" s="1" t="str">
        <f ca="1">IFERROR(__xludf.DUMMYFUNCTION("""COMPUTED_VALUE"""),"〇")</f>
        <v>〇</v>
      </c>
      <c r="N2020" s="1"/>
      <c r="O2020" s="1"/>
      <c r="P2020" s="1"/>
    </row>
    <row r="2021" spans="1:16" ht="14.25" customHeight="1" x14ac:dyDescent="0.25">
      <c r="A2021" s="1"/>
      <c r="B2021" s="1">
        <f ca="1"/>
        <v>2009</v>
      </c>
      <c r="C2021" s="1">
        <f ca="1">IFERROR(__xludf.DUMMYFUNCTION("""COMPUTED_VALUE"""),2023)</f>
        <v>2023</v>
      </c>
      <c r="D2021" s="1">
        <f ca="1">IFERROR(__xludf.DUMMYFUNCTION("""COMPUTED_VALUE"""),42832)</f>
        <v>42832</v>
      </c>
      <c r="E2021" s="1" t="str">
        <f ca="1">IFERROR(__xludf.DUMMYFUNCTION("""COMPUTED_VALUE"""),"Soil Ecology Letters")</f>
        <v>Soil Ecology Letters</v>
      </c>
      <c r="F2021" s="1" t="str">
        <f ca="1">IFERROR(__xludf.DUMMYFUNCTION("""COMPUTED_VALUE"""),"2662-2297")</f>
        <v>2662-2297</v>
      </c>
      <c r="G2021" s="1" t="str">
        <f ca="1">IFERROR(__xludf.DUMMYFUNCTION("""COMPUTED_VALUE"""),"2662-2289")</f>
        <v>2662-2289</v>
      </c>
      <c r="H2021" s="27" t="str">
        <f ca="1">IFERROR(__xludf.DUMMYFUNCTION("""COMPUTED_VALUE"""),"https://link.springer.com/journal/42832")</f>
        <v>https://link.springer.com/journal/42832</v>
      </c>
      <c r="I2021" s="1" t="str">
        <f ca="1">IFERROR(__xludf.DUMMYFUNCTION("""COMPUTED_VALUE"""),"Higher Education Press, co-published with Springer")</f>
        <v>Higher Education Press, co-published with Springer</v>
      </c>
      <c r="J2021" s="1">
        <f ca="1">IFERROR(__xludf.DUMMYFUNCTION("""COMPUTED_VALUE"""),2019)</f>
        <v>2019</v>
      </c>
      <c r="K2021" s="1" t="str">
        <f ca="1">IFERROR(__xludf.DUMMYFUNCTION("""COMPUTED_VALUE"""),"Earth and Environmental Science")</f>
        <v>Earth and Environmental Science</v>
      </c>
      <c r="L2021" s="1" t="str">
        <f ca="1">IFERROR(__xludf.DUMMYFUNCTION("""COMPUTED_VALUE"""),"〇")</f>
        <v>〇</v>
      </c>
      <c r="M2021" s="1"/>
      <c r="N2021" s="1" t="str">
        <f ca="1">IFERROR(__xludf.DUMMYFUNCTION("""COMPUTED_VALUE"""),"SNS19")</f>
        <v>SNS19</v>
      </c>
      <c r="O2021" s="1"/>
      <c r="P2021" s="1"/>
    </row>
    <row r="2022" spans="1:16" ht="14.25" customHeight="1" x14ac:dyDescent="0.25">
      <c r="A2022" s="1"/>
      <c r="B2022" s="1">
        <f ca="1"/>
        <v>2010</v>
      </c>
      <c r="C2022" s="1">
        <f ca="1">IFERROR(__xludf.DUMMYFUNCTION("""COMPUTED_VALUE"""),2023)</f>
        <v>2023</v>
      </c>
      <c r="D2022" s="1">
        <f ca="1">IFERROR(__xludf.DUMMYFUNCTION("""COMPUTED_VALUE"""),11204)</f>
        <v>11204</v>
      </c>
      <c r="E2022" s="1" t="str">
        <f ca="1">IFERROR(__xludf.DUMMYFUNCTION("""COMPUTED_VALUE"""),"Soil Mechanics and Foundation Engineering")</f>
        <v>Soil Mechanics and Foundation Engineering</v>
      </c>
      <c r="F2022" s="1" t="str">
        <f ca="1">IFERROR(__xludf.DUMMYFUNCTION("""COMPUTED_VALUE"""),"1573-9279")</f>
        <v>1573-9279</v>
      </c>
      <c r="G2022" s="1" t="str">
        <f ca="1">IFERROR(__xludf.DUMMYFUNCTION("""COMPUTED_VALUE"""),"0038-0741")</f>
        <v>0038-0741</v>
      </c>
      <c r="H2022" s="27" t="str">
        <f ca="1">IFERROR(__xludf.DUMMYFUNCTION("""COMPUTED_VALUE"""),"https://link.springer.com/journal/11204")</f>
        <v>https://link.springer.com/journal/11204</v>
      </c>
      <c r="I2022" s="1" t="str">
        <f ca="1">IFERROR(__xludf.DUMMYFUNCTION("""COMPUTED_VALUE"""),"Springer")</f>
        <v>Springer</v>
      </c>
      <c r="J2022" s="1">
        <f ca="1">IFERROR(__xludf.DUMMYFUNCTION("""COMPUTED_VALUE"""),2000)</f>
        <v>2000</v>
      </c>
      <c r="K2022" s="1" t="str">
        <f ca="1">IFERROR(__xludf.DUMMYFUNCTION("""COMPUTED_VALUE"""),"Engineering")</f>
        <v>Engineering</v>
      </c>
      <c r="L2022" s="1" t="str">
        <f ca="1">IFERROR(__xludf.DUMMYFUNCTION("""COMPUTED_VALUE"""),"〇")</f>
        <v>〇</v>
      </c>
      <c r="M2022" s="1" t="str">
        <f ca="1">IFERROR(__xludf.DUMMYFUNCTION("""COMPUTED_VALUE"""),"〇")</f>
        <v>〇</v>
      </c>
      <c r="N2022" s="1"/>
      <c r="O2022" s="1"/>
      <c r="P2022" s="1"/>
    </row>
    <row r="2023" spans="1:16" ht="14.25" customHeight="1" x14ac:dyDescent="0.25">
      <c r="A2023" s="1"/>
      <c r="B2023" s="1">
        <f ca="1"/>
        <v>2011</v>
      </c>
      <c r="C2023" s="1">
        <f ca="1">IFERROR(__xludf.DUMMYFUNCTION("""COMPUTED_VALUE"""),2023)</f>
        <v>2023</v>
      </c>
      <c r="D2023" s="1">
        <f ca="1">IFERROR(__xludf.DUMMYFUNCTION("""COMPUTED_VALUE"""),11207)</f>
        <v>11207</v>
      </c>
      <c r="E2023" s="1" t="str">
        <f ca="1">IFERROR(__xludf.DUMMYFUNCTION("""COMPUTED_VALUE"""),"Solar Physics")</f>
        <v>Solar Physics</v>
      </c>
      <c r="F2023" s="1" t="str">
        <f ca="1">IFERROR(__xludf.DUMMYFUNCTION("""COMPUTED_VALUE"""),"1573-093X")</f>
        <v>1573-093X</v>
      </c>
      <c r="G2023" s="1"/>
      <c r="H2023" s="27" t="str">
        <f ca="1">IFERROR(__xludf.DUMMYFUNCTION("""COMPUTED_VALUE"""),"https://link.springer.com/journal/11207")</f>
        <v>https://link.springer.com/journal/11207</v>
      </c>
      <c r="I2023" s="1" t="str">
        <f ca="1">IFERROR(__xludf.DUMMYFUNCTION("""COMPUTED_VALUE"""),"Springer")</f>
        <v>Springer</v>
      </c>
      <c r="J2023" s="1">
        <f ca="1">IFERROR(__xludf.DUMMYFUNCTION("""COMPUTED_VALUE"""),2000)</f>
        <v>2000</v>
      </c>
      <c r="K2023" s="1" t="str">
        <f ca="1">IFERROR(__xludf.DUMMYFUNCTION("""COMPUTED_VALUE"""),"Physics and Astronomy")</f>
        <v>Physics and Astronomy</v>
      </c>
      <c r="L2023" s="1"/>
      <c r="M2023" s="1" t="str">
        <f ca="1">IFERROR(__xludf.DUMMYFUNCTION("""COMPUTED_VALUE"""),"〇")</f>
        <v>〇</v>
      </c>
      <c r="N2023" s="1"/>
      <c r="O2023" s="1"/>
      <c r="P2023" s="1"/>
    </row>
    <row r="2024" spans="1:16" ht="14.25" customHeight="1" x14ac:dyDescent="0.25">
      <c r="A2024" s="1"/>
      <c r="B2024" s="1">
        <f ca="1"/>
        <v>2012</v>
      </c>
      <c r="C2024" s="1">
        <f ca="1">IFERROR(__xludf.DUMMYFUNCTION("""COMPUTED_VALUE"""),2023)</f>
        <v>2023</v>
      </c>
      <c r="D2024" s="1">
        <f ca="1">IFERROR(__xludf.DUMMYFUNCTION("""COMPUTED_VALUE"""),11208)</f>
        <v>11208</v>
      </c>
      <c r="E2024" s="1" t="str">
        <f ca="1">IFERROR(__xludf.DUMMYFUNCTION("""COMPUTED_VALUE"""),"Solar System Research")</f>
        <v>Solar System Research</v>
      </c>
      <c r="F2024" s="1" t="str">
        <f ca="1">IFERROR(__xludf.DUMMYFUNCTION("""COMPUTED_VALUE"""),"1608-3423")</f>
        <v>1608-3423</v>
      </c>
      <c r="G2024" s="1" t="str">
        <f ca="1">IFERROR(__xludf.DUMMYFUNCTION("""COMPUTED_VALUE"""),"0038-0946")</f>
        <v>0038-0946</v>
      </c>
      <c r="H2024" s="27" t="str">
        <f ca="1">IFERROR(__xludf.DUMMYFUNCTION("""COMPUTED_VALUE"""),"https://link.springer.com/journal/11208")</f>
        <v>https://link.springer.com/journal/11208</v>
      </c>
      <c r="I2024" s="1" t="str">
        <f ca="1">IFERROR(__xludf.DUMMYFUNCTION("""COMPUTED_VALUE"""),"Pleiades Publishing")</f>
        <v>Pleiades Publishing</v>
      </c>
      <c r="J2024" s="1">
        <f ca="1">IFERROR(__xludf.DUMMYFUNCTION("""COMPUTED_VALUE"""),2000)</f>
        <v>2000</v>
      </c>
      <c r="K2024" s="1" t="str">
        <f ca="1">IFERROR(__xludf.DUMMYFUNCTION("""COMPUTED_VALUE"""),"Physics and Astronomy")</f>
        <v>Physics and Astronomy</v>
      </c>
      <c r="L2024" s="1" t="str">
        <f ca="1">IFERROR(__xludf.DUMMYFUNCTION("""COMPUTED_VALUE"""),"〇")</f>
        <v>〇</v>
      </c>
      <c r="M2024" s="1" t="str">
        <f ca="1">IFERROR(__xludf.DUMMYFUNCTION("""COMPUTED_VALUE"""),"〇")</f>
        <v>〇</v>
      </c>
      <c r="N2024" s="1"/>
      <c r="O2024" s="1"/>
      <c r="P2024" s="1"/>
    </row>
    <row r="2025" spans="1:16" ht="14.25" customHeight="1" x14ac:dyDescent="0.25">
      <c r="A2025" s="1"/>
      <c r="B2025" s="1">
        <f ca="1"/>
        <v>2013</v>
      </c>
      <c r="C2025" s="1">
        <f ca="1">IFERROR(__xludf.DUMMYFUNCTION("""COMPUTED_VALUE"""),2023)</f>
        <v>2023</v>
      </c>
      <c r="D2025" s="1">
        <f ca="1">IFERROR(__xludf.DUMMYFUNCTION("""COMPUTED_VALUE"""),11985)</f>
        <v>11985</v>
      </c>
      <c r="E2025" s="1" t="str">
        <f ca="1">IFERROR(__xludf.DUMMYFUNCTION("""COMPUTED_VALUE"""),"Solid Fuel Chemistry")</f>
        <v>Solid Fuel Chemistry</v>
      </c>
      <c r="F2025" s="1" t="str">
        <f ca="1">IFERROR(__xludf.DUMMYFUNCTION("""COMPUTED_VALUE"""),"1934-8029")</f>
        <v>1934-8029</v>
      </c>
      <c r="G2025" s="1" t="str">
        <f ca="1">IFERROR(__xludf.DUMMYFUNCTION("""COMPUTED_VALUE"""),"0361-5219")</f>
        <v>0361-5219</v>
      </c>
      <c r="H2025" s="27" t="str">
        <f ca="1">IFERROR(__xludf.DUMMYFUNCTION("""COMPUTED_VALUE"""),"https://link.springer.com/journal/11985")</f>
        <v>https://link.springer.com/journal/11985</v>
      </c>
      <c r="I2025" s="1" t="str">
        <f ca="1">IFERROR(__xludf.DUMMYFUNCTION("""COMPUTED_VALUE"""),"Pleiades Publishing")</f>
        <v>Pleiades Publishing</v>
      </c>
      <c r="J2025" s="1">
        <f ca="1">IFERROR(__xludf.DUMMYFUNCTION("""COMPUTED_VALUE"""),2007)</f>
        <v>2007</v>
      </c>
      <c r="K2025" s="1" t="str">
        <f ca="1">IFERROR(__xludf.DUMMYFUNCTION("""COMPUTED_VALUE"""),"Chemistry and Materials Science")</f>
        <v>Chemistry and Materials Science</v>
      </c>
      <c r="L2025" s="1" t="str">
        <f ca="1">IFERROR(__xludf.DUMMYFUNCTION("""COMPUTED_VALUE"""),"〇")</f>
        <v>〇</v>
      </c>
      <c r="M2025" s="1" t="str">
        <f ca="1">IFERROR(__xludf.DUMMYFUNCTION("""COMPUTED_VALUE"""),"〇")</f>
        <v>〇</v>
      </c>
      <c r="N2025" s="1" t="str">
        <f ca="1">IFERROR(__xludf.DUMMYFUNCTION("""COMPUTED_VALUE"""),"TO7")</f>
        <v>TO7</v>
      </c>
      <c r="O2025" s="1"/>
      <c r="P2025" s="1"/>
    </row>
    <row r="2026" spans="1:16" ht="14.25" customHeight="1" x14ac:dyDescent="0.25">
      <c r="A2026" s="1"/>
      <c r="B2026" s="1">
        <f ca="1"/>
        <v>2014</v>
      </c>
      <c r="C2026" s="1">
        <f ca="1">IFERROR(__xludf.DUMMYFUNCTION("""COMPUTED_VALUE"""),2023)</f>
        <v>2023</v>
      </c>
      <c r="D2026" s="1">
        <f ca="1">IFERROR(__xludf.DUMMYFUNCTION("""COMPUTED_VALUE"""),11818)</f>
        <v>11818</v>
      </c>
      <c r="E2026" s="1" t="str">
        <f ca="1">IFERROR(__xludf.DUMMYFUNCTION("""COMPUTED_VALUE"""),"Somnologie")</f>
        <v>Somnologie</v>
      </c>
      <c r="F2026" s="1" t="str">
        <f ca="1">IFERROR(__xludf.DUMMYFUNCTION("""COMPUTED_VALUE"""),"1439-054X")</f>
        <v>1439-054X</v>
      </c>
      <c r="G2026" s="1" t="str">
        <f ca="1">IFERROR(__xludf.DUMMYFUNCTION("""COMPUTED_VALUE"""),"1432-9123")</f>
        <v>1432-9123</v>
      </c>
      <c r="H2026" s="27" t="str">
        <f ca="1">IFERROR(__xludf.DUMMYFUNCTION("""COMPUTED_VALUE"""),"https://link.springer.com/journal/11818")</f>
        <v>https://link.springer.com/journal/11818</v>
      </c>
      <c r="I2026" s="1" t="str">
        <f ca="1">IFERROR(__xludf.DUMMYFUNCTION("""COMPUTED_VALUE"""),"SpringerMedizin")</f>
        <v>SpringerMedizin</v>
      </c>
      <c r="J2026" s="1">
        <f ca="1">IFERROR(__xludf.DUMMYFUNCTION("""COMPUTED_VALUE"""),2000)</f>
        <v>2000</v>
      </c>
      <c r="K2026" s="1" t="str">
        <f ca="1">IFERROR(__xludf.DUMMYFUNCTION("""COMPUTED_VALUE"""),"Medicine")</f>
        <v>Medicine</v>
      </c>
      <c r="L2026" s="1" t="str">
        <f ca="1">IFERROR(__xludf.DUMMYFUNCTION("""COMPUTED_VALUE"""),"〇")</f>
        <v>〇</v>
      </c>
      <c r="M2026" s="1" t="str">
        <f ca="1">IFERROR(__xludf.DUMMYFUNCTION("""COMPUTED_VALUE"""),"〇")</f>
        <v>〇</v>
      </c>
      <c r="N2026" s="1" t="str">
        <f ca="1">IFERROR(__xludf.DUMMYFUNCTION("""COMPUTED_VALUE"""),"TO7")</f>
        <v>TO7</v>
      </c>
      <c r="O2026" s="1"/>
      <c r="P2026" s="1"/>
    </row>
    <row r="2027" spans="1:16" ht="14.25" customHeight="1" x14ac:dyDescent="0.25">
      <c r="A2027" s="1"/>
      <c r="B2027" s="1">
        <f ca="1"/>
        <v>2015</v>
      </c>
      <c r="C2027" s="1">
        <f ca="1">IFERROR(__xludf.DUMMYFUNCTION("""COMPUTED_VALUE"""),2023)</f>
        <v>2023</v>
      </c>
      <c r="D2027" s="1">
        <f ca="1">IFERROR(__xludf.DUMMYFUNCTION("""COMPUTED_VALUE"""),11841)</f>
        <v>11841</v>
      </c>
      <c r="E2027" s="1" t="str">
        <f ca="1">IFERROR(__xludf.DUMMYFUNCTION("""COMPUTED_VALUE"""),"Sophia")</f>
        <v>Sophia</v>
      </c>
      <c r="F2027" s="1" t="str">
        <f ca="1">IFERROR(__xludf.DUMMYFUNCTION("""COMPUTED_VALUE"""),"1873-930X")</f>
        <v>1873-930X</v>
      </c>
      <c r="G2027" s="1" t="str">
        <f ca="1">IFERROR(__xludf.DUMMYFUNCTION("""COMPUTED_VALUE"""),"0038-1527")</f>
        <v>0038-1527</v>
      </c>
      <c r="H2027" s="27" t="str">
        <f ca="1">IFERROR(__xludf.DUMMYFUNCTION("""COMPUTED_VALUE"""),"https://link.springer.com/journal/11841")</f>
        <v>https://link.springer.com/journal/11841</v>
      </c>
      <c r="I2027" s="1" t="str">
        <f ca="1">IFERROR(__xludf.DUMMYFUNCTION("""COMPUTED_VALUE"""),"Springer")</f>
        <v>Springer</v>
      </c>
      <c r="J2027" s="1">
        <f ca="1">IFERROR(__xludf.DUMMYFUNCTION("""COMPUTED_VALUE"""),2000)</f>
        <v>2000</v>
      </c>
      <c r="K2027" s="1" t="str">
        <f ca="1">IFERROR(__xludf.DUMMYFUNCTION("""COMPUTED_VALUE"""),"Education")</f>
        <v>Education</v>
      </c>
      <c r="L2027" s="1" t="str">
        <f ca="1">IFERROR(__xludf.DUMMYFUNCTION("""COMPUTED_VALUE"""),"〇")</f>
        <v>〇</v>
      </c>
      <c r="M2027" s="1" t="str">
        <f ca="1">IFERROR(__xludf.DUMMYFUNCTION("""COMPUTED_VALUE"""),"〇")</f>
        <v>〇</v>
      </c>
      <c r="N2027" s="1" t="str">
        <f ca="1">IFERROR(__xludf.DUMMYFUNCTION("""COMPUTED_VALUE"""),"TO7")</f>
        <v>TO7</v>
      </c>
      <c r="O2027" s="1"/>
      <c r="P2027" s="1"/>
    </row>
    <row r="2028" spans="1:16" ht="14.25" customHeight="1" x14ac:dyDescent="0.25">
      <c r="A2028" s="1"/>
      <c r="B2028" s="1">
        <f ca="1"/>
        <v>2016</v>
      </c>
      <c r="C2028" s="1">
        <f ca="1">IFERROR(__xludf.DUMMYFUNCTION("""COMPUTED_VALUE"""),2023)</f>
        <v>2023</v>
      </c>
      <c r="D2028" s="1">
        <f ca="1">IFERROR(__xludf.DUMMYFUNCTION("""COMPUTED_VALUE"""),12054)</f>
        <v>12054</v>
      </c>
      <c r="E2028" s="1" t="str">
        <f ca="1">IFERROR(__xludf.DUMMYFUNCTION("""COMPUTED_VALUE"""),"Sozial Extra")</f>
        <v>Sozial Extra</v>
      </c>
      <c r="F2028" s="1" t="str">
        <f ca="1">IFERROR(__xludf.DUMMYFUNCTION("""COMPUTED_VALUE"""),"1863-8953")</f>
        <v>1863-8953</v>
      </c>
      <c r="G2028" s="1" t="str">
        <f ca="1">IFERROR(__xludf.DUMMYFUNCTION("""COMPUTED_VALUE"""),"0931-279X")</f>
        <v>0931-279X</v>
      </c>
      <c r="H2028" s="27" t="str">
        <f ca="1">IFERROR(__xludf.DUMMYFUNCTION("""COMPUTED_VALUE"""),"https://link.springer.com/journal/12054")</f>
        <v>https://link.springer.com/journal/12054</v>
      </c>
      <c r="I2028" s="1" t="str">
        <f ca="1">IFERROR(__xludf.DUMMYFUNCTION("""COMPUTED_VALUE"""),"Springer VS")</f>
        <v>Springer VS</v>
      </c>
      <c r="J2028" s="1">
        <f ca="1">IFERROR(__xludf.DUMMYFUNCTION("""COMPUTED_VALUE"""),2004)</f>
        <v>2004</v>
      </c>
      <c r="K2028" s="1" t="str">
        <f ca="1">IFERROR(__xludf.DUMMYFUNCTION("""COMPUTED_VALUE"""),"Social Sciences")</f>
        <v>Social Sciences</v>
      </c>
      <c r="L2028" s="1" t="str">
        <f ca="1">IFERROR(__xludf.DUMMYFUNCTION("""COMPUTED_VALUE"""),"〇")</f>
        <v>〇</v>
      </c>
      <c r="M2028" s="1" t="str">
        <f ca="1">IFERROR(__xludf.DUMMYFUNCTION("""COMPUTED_VALUE"""),"〇")</f>
        <v>〇</v>
      </c>
      <c r="N2028" s="1" t="str">
        <f ca="1">IFERROR(__xludf.DUMMYFUNCTION("""COMPUTED_VALUE"""),"TO7")</f>
        <v>TO7</v>
      </c>
      <c r="O2028" s="1"/>
      <c r="P2028" s="1"/>
    </row>
    <row r="2029" spans="1:16" ht="14.25" customHeight="1" x14ac:dyDescent="0.25">
      <c r="A2029" s="1"/>
      <c r="B2029" s="1">
        <f ca="1"/>
        <v>2017</v>
      </c>
      <c r="C2029" s="1">
        <f ca="1">IFERROR(__xludf.DUMMYFUNCTION("""COMPUTED_VALUE"""),2023)</f>
        <v>2023</v>
      </c>
      <c r="D2029" s="1">
        <f ca="1">IFERROR(__xludf.DUMMYFUNCTION("""COMPUTED_VALUE"""),12592)</f>
        <v>12592</v>
      </c>
      <c r="E2029" s="1" t="str">
        <f ca="1">IFERROR(__xludf.DUMMYFUNCTION("""COMPUTED_VALUE"""),"Soziale Passagen")</f>
        <v>Soziale Passagen</v>
      </c>
      <c r="F2029" s="1" t="str">
        <f ca="1">IFERROR(__xludf.DUMMYFUNCTION("""COMPUTED_VALUE"""),"1867-0199")</f>
        <v>1867-0199</v>
      </c>
      <c r="G2029" s="1" t="str">
        <f ca="1">IFERROR(__xludf.DUMMYFUNCTION("""COMPUTED_VALUE"""),"1867-0180")</f>
        <v>1867-0180</v>
      </c>
      <c r="H2029" s="27" t="str">
        <f ca="1">IFERROR(__xludf.DUMMYFUNCTION("""COMPUTED_VALUE"""),"https://link.springer.com/journal/12592")</f>
        <v>https://link.springer.com/journal/12592</v>
      </c>
      <c r="I2029" s="1" t="str">
        <f ca="1">IFERROR(__xludf.DUMMYFUNCTION("""COMPUTED_VALUE"""),"Springer VS")</f>
        <v>Springer VS</v>
      </c>
      <c r="J2029" s="1">
        <f ca="1">IFERROR(__xludf.DUMMYFUNCTION("""COMPUTED_VALUE"""),2009)</f>
        <v>2009</v>
      </c>
      <c r="K2029" s="1" t="str">
        <f ca="1">IFERROR(__xludf.DUMMYFUNCTION("""COMPUTED_VALUE"""),"Social Sciences")</f>
        <v>Social Sciences</v>
      </c>
      <c r="L2029" s="1" t="str">
        <f ca="1">IFERROR(__xludf.DUMMYFUNCTION("""COMPUTED_VALUE"""),"〇")</f>
        <v>〇</v>
      </c>
      <c r="M2029" s="1" t="str">
        <f ca="1">IFERROR(__xludf.DUMMYFUNCTION("""COMPUTED_VALUE"""),"〇")</f>
        <v>〇</v>
      </c>
      <c r="N2029" s="1" t="str">
        <f ca="1">IFERROR(__xludf.DUMMYFUNCTION("""COMPUTED_VALUE"""),"SNS9")</f>
        <v>SNS9</v>
      </c>
      <c r="O2029" s="1"/>
      <c r="P2029" s="1"/>
    </row>
    <row r="2030" spans="1:16" ht="14.25" customHeight="1" x14ac:dyDescent="0.25">
      <c r="A2030" s="1"/>
      <c r="B2030" s="1">
        <f ca="1"/>
        <v>2018</v>
      </c>
      <c r="C2030" s="1">
        <f ca="1">IFERROR(__xludf.DUMMYFUNCTION("""COMPUTED_VALUE"""),2023)</f>
        <v>2023</v>
      </c>
      <c r="D2030" s="1">
        <f ca="1">IFERROR(__xludf.DUMMYFUNCTION("""COMPUTED_VALUE"""),11214)</f>
        <v>11214</v>
      </c>
      <c r="E2030" s="1" t="str">
        <f ca="1">IFERROR(__xludf.DUMMYFUNCTION("""COMPUTED_VALUE"""),"Space Science Reviews")</f>
        <v>Space Science Reviews</v>
      </c>
      <c r="F2030" s="1" t="str">
        <f ca="1">IFERROR(__xludf.DUMMYFUNCTION("""COMPUTED_VALUE"""),"1572-9672")</f>
        <v>1572-9672</v>
      </c>
      <c r="G2030" s="1"/>
      <c r="H2030" s="27" t="str">
        <f ca="1">IFERROR(__xludf.DUMMYFUNCTION("""COMPUTED_VALUE"""),"https://link.springer.com/journal/11214")</f>
        <v>https://link.springer.com/journal/11214</v>
      </c>
      <c r="I2030" s="1" t="str">
        <f ca="1">IFERROR(__xludf.DUMMYFUNCTION("""COMPUTED_VALUE"""),"Springer")</f>
        <v>Springer</v>
      </c>
      <c r="J2030" s="1">
        <f ca="1">IFERROR(__xludf.DUMMYFUNCTION("""COMPUTED_VALUE"""),2000)</f>
        <v>2000</v>
      </c>
      <c r="K2030" s="1" t="str">
        <f ca="1">IFERROR(__xludf.DUMMYFUNCTION("""COMPUTED_VALUE"""),"Physics and Astronomy")</f>
        <v>Physics and Astronomy</v>
      </c>
      <c r="L2030" s="1"/>
      <c r="M2030" s="1" t="str">
        <f ca="1">IFERROR(__xludf.DUMMYFUNCTION("""COMPUTED_VALUE"""),"〇")</f>
        <v>〇</v>
      </c>
      <c r="N2030" s="1"/>
      <c r="O2030" s="1"/>
      <c r="P2030" s="1"/>
    </row>
    <row r="2031" spans="1:16" ht="14.25" customHeight="1" x14ac:dyDescent="0.25">
      <c r="A2031" s="1"/>
      <c r="B2031" s="1">
        <f ca="1"/>
        <v>2019</v>
      </c>
      <c r="C2031" s="1">
        <f ca="1">IFERROR(__xludf.DUMMYFUNCTION("""COMPUTED_VALUE"""),2023)</f>
        <v>2023</v>
      </c>
      <c r="D2031" s="1">
        <f ca="1">IFERROR(__xludf.DUMMYFUNCTION("""COMPUTED_VALUE"""),40980)</f>
        <v>40980</v>
      </c>
      <c r="E2031" s="1" t="str">
        <f ca="1">IFERROR(__xludf.DUMMYFUNCTION("""COMPUTED_VALUE"""),"Spatial Demography")</f>
        <v>Spatial Demography</v>
      </c>
      <c r="F2031" s="1" t="str">
        <f ca="1">IFERROR(__xludf.DUMMYFUNCTION("""COMPUTED_VALUE"""),"2164-7070")</f>
        <v>2164-7070</v>
      </c>
      <c r="G2031" s="1" t="str">
        <f ca="1">IFERROR(__xludf.DUMMYFUNCTION("""COMPUTED_VALUE"""),"2364-2289")</f>
        <v>2364-2289</v>
      </c>
      <c r="H2031" s="27" t="str">
        <f ca="1">IFERROR(__xludf.DUMMYFUNCTION("""COMPUTED_VALUE"""),"https://link.springer.com/journal/40980")</f>
        <v>https://link.springer.com/journal/40980</v>
      </c>
      <c r="I2031" s="1" t="str">
        <f ca="1">IFERROR(__xludf.DUMMYFUNCTION("""COMPUTED_VALUE"""),"Springer")</f>
        <v>Springer</v>
      </c>
      <c r="J2031" s="1">
        <f ca="1">IFERROR(__xludf.DUMMYFUNCTION("""COMPUTED_VALUE"""),2013)</f>
        <v>2013</v>
      </c>
      <c r="K2031" s="1" t="str">
        <f ca="1">IFERROR(__xludf.DUMMYFUNCTION("""COMPUTED_VALUE"""),"Social Sciences")</f>
        <v>Social Sciences</v>
      </c>
      <c r="L2031" s="1" t="str">
        <f ca="1">IFERROR(__xludf.DUMMYFUNCTION("""COMPUTED_VALUE"""),"〇")</f>
        <v>〇</v>
      </c>
      <c r="M2031" s="1"/>
      <c r="N2031" s="1" t="str">
        <f ca="1">IFERROR(__xludf.DUMMYFUNCTION("""COMPUTED_VALUE"""),"TO15")</f>
        <v>TO15</v>
      </c>
      <c r="O2031" s="1"/>
      <c r="P2031" s="1"/>
    </row>
    <row r="2032" spans="1:16" ht="14.25" customHeight="1" x14ac:dyDescent="0.25">
      <c r="A2032" s="1"/>
      <c r="B2032" s="1">
        <f ca="1"/>
        <v>2020</v>
      </c>
      <c r="C2032" s="1">
        <f ca="1">IFERROR(__xludf.DUMMYFUNCTION("""COMPUTED_VALUE"""),2023)</f>
        <v>2023</v>
      </c>
      <c r="D2032" s="1">
        <f ca="1">IFERROR(__xludf.DUMMYFUNCTION("""COMPUTED_VALUE"""),41324)</f>
        <v>41324</v>
      </c>
      <c r="E2032" s="1" t="str">
        <f ca="1">IFERROR(__xludf.DUMMYFUNCTION("""COMPUTED_VALUE"""),"Spatial Information Research")</f>
        <v>Spatial Information Research</v>
      </c>
      <c r="F2032" s="1" t="str">
        <f ca="1">IFERROR(__xludf.DUMMYFUNCTION("""COMPUTED_VALUE"""),"2366-3294")</f>
        <v>2366-3294</v>
      </c>
      <c r="G2032" s="1" t="str">
        <f ca="1">IFERROR(__xludf.DUMMYFUNCTION("""COMPUTED_VALUE"""),"2366-3286")</f>
        <v>2366-3286</v>
      </c>
      <c r="H2032" s="27" t="str">
        <f ca="1">IFERROR(__xludf.DUMMYFUNCTION("""COMPUTED_VALUE"""),"https://link.springer.com/journal/41324")</f>
        <v>https://link.springer.com/journal/41324</v>
      </c>
      <c r="I2032" s="1" t="str">
        <f ca="1">IFERROR(__xludf.DUMMYFUNCTION("""COMPUTED_VALUE"""),"Korean Spatial Information Society, co-published with Springer")</f>
        <v>Korean Spatial Information Society, co-published with Springer</v>
      </c>
      <c r="J2032" s="1">
        <f ca="1">IFERROR(__xludf.DUMMYFUNCTION("""COMPUTED_VALUE"""),2016)</f>
        <v>2016</v>
      </c>
      <c r="K2032" s="1" t="str">
        <f ca="1">IFERROR(__xludf.DUMMYFUNCTION("""COMPUTED_VALUE"""),"Earth and Environmental Science")</f>
        <v>Earth and Environmental Science</v>
      </c>
      <c r="L2032" s="1" t="str">
        <f ca="1">IFERROR(__xludf.DUMMYFUNCTION("""COMPUTED_VALUE"""),"〇")</f>
        <v>〇</v>
      </c>
      <c r="M2032" s="1"/>
      <c r="N2032" s="1" t="str">
        <f ca="1">IFERROR(__xludf.DUMMYFUNCTION("""COMPUTED_VALUE"""),"TO16")</f>
        <v>TO16</v>
      </c>
      <c r="O2032" s="1"/>
      <c r="P2032" s="1"/>
    </row>
    <row r="2033" spans="1:16" ht="14.25" customHeight="1" x14ac:dyDescent="0.25">
      <c r="A2033" s="1"/>
      <c r="B2033" s="1">
        <f ca="1"/>
        <v>2021</v>
      </c>
      <c r="C2033" s="1">
        <f ca="1">IFERROR(__xludf.DUMMYFUNCTION("""COMPUTED_VALUE"""),2023)</f>
        <v>2023</v>
      </c>
      <c r="D2033" s="1">
        <f ca="1">IFERROR(__xludf.DUMMYFUNCTION("""COMPUTED_VALUE"""),717)</f>
        <v>717</v>
      </c>
      <c r="E2033" s="1" t="str">
        <f ca="1">IFERROR(__xludf.DUMMYFUNCTION("""COMPUTED_VALUE"""),"Spektrum der Augenheilkunde")</f>
        <v>Spektrum der Augenheilkunde</v>
      </c>
      <c r="F2033" s="1" t="str">
        <f ca="1">IFERROR(__xludf.DUMMYFUNCTION("""COMPUTED_VALUE"""),"1613-7523")</f>
        <v>1613-7523</v>
      </c>
      <c r="G2033" s="1" t="str">
        <f ca="1">IFERROR(__xludf.DUMMYFUNCTION("""COMPUTED_VALUE"""),"0930-4282")</f>
        <v>0930-4282</v>
      </c>
      <c r="H2033" s="27" t="str">
        <f ca="1">IFERROR(__xludf.DUMMYFUNCTION("""COMPUTED_VALUE"""),"https://link.springer.com/journal/717")</f>
        <v>https://link.springer.com/journal/717</v>
      </c>
      <c r="I2033" s="1" t="str">
        <f ca="1">IFERROR(__xludf.DUMMYFUNCTION("""COMPUTED_VALUE"""),"SpringerMedizin")</f>
        <v>SpringerMedizin</v>
      </c>
      <c r="J2033" s="1">
        <f ca="1">IFERROR(__xludf.DUMMYFUNCTION("""COMPUTED_VALUE"""),2000)</f>
        <v>2000</v>
      </c>
      <c r="K2033" s="1" t="str">
        <f ca="1">IFERROR(__xludf.DUMMYFUNCTION("""COMPUTED_VALUE"""),"Medicine")</f>
        <v>Medicine</v>
      </c>
      <c r="L2033" s="1" t="str">
        <f ca="1">IFERROR(__xludf.DUMMYFUNCTION("""COMPUTED_VALUE"""),"〇")</f>
        <v>〇</v>
      </c>
      <c r="M2033" s="1" t="str">
        <f ca="1">IFERROR(__xludf.DUMMYFUNCTION("""COMPUTED_VALUE"""),"〇")</f>
        <v>〇</v>
      </c>
      <c r="N2033" s="1"/>
      <c r="O2033" s="1"/>
      <c r="P2033" s="1"/>
    </row>
    <row r="2034" spans="1:16" ht="14.25" customHeight="1" x14ac:dyDescent="0.25">
      <c r="A2034" s="1"/>
      <c r="B2034" s="1">
        <f ca="1"/>
        <v>2022</v>
      </c>
      <c r="C2034" s="1">
        <f ca="1">IFERROR(__xludf.DUMMYFUNCTION("""COMPUTED_VALUE"""),2023)</f>
        <v>2023</v>
      </c>
      <c r="D2034" s="1">
        <f ca="1">IFERROR(__xludf.DUMMYFUNCTION("""COMPUTED_VALUE"""),43390)</f>
        <v>43390</v>
      </c>
      <c r="E2034" s="1" t="str">
        <f ca="1">IFERROR(__xludf.DUMMYFUNCTION("""COMPUTED_VALUE"""),"Spine Deformity")</f>
        <v>Spine Deformity</v>
      </c>
      <c r="F2034" s="1" t="str">
        <f ca="1">IFERROR(__xludf.DUMMYFUNCTION("""COMPUTED_VALUE"""),"2212-1358")</f>
        <v>2212-1358</v>
      </c>
      <c r="G2034" s="1" t="str">
        <f ca="1">IFERROR(__xludf.DUMMYFUNCTION("""COMPUTED_VALUE"""),"2212-134X")</f>
        <v>2212-134X</v>
      </c>
      <c r="H2034" s="27" t="str">
        <f ca="1">IFERROR(__xludf.DUMMYFUNCTION("""COMPUTED_VALUE"""),"https://link.springer.com/journal/43390")</f>
        <v>https://link.springer.com/journal/43390</v>
      </c>
      <c r="I2034" s="1" t="str">
        <f ca="1">IFERROR(__xludf.DUMMYFUNCTION("""COMPUTED_VALUE"""),"Springer")</f>
        <v>Springer</v>
      </c>
      <c r="J2034" s="1">
        <f ca="1">IFERROR(__xludf.DUMMYFUNCTION("""COMPUTED_VALUE"""),2013)</f>
        <v>2013</v>
      </c>
      <c r="K2034" s="1" t="str">
        <f ca="1">IFERROR(__xludf.DUMMYFUNCTION("""COMPUTED_VALUE"""),"Medicine")</f>
        <v>Medicine</v>
      </c>
      <c r="L2034" s="1" t="str">
        <f ca="1">IFERROR(__xludf.DUMMYFUNCTION("""COMPUTED_VALUE"""),"〇")</f>
        <v>〇</v>
      </c>
      <c r="M2034" s="1"/>
      <c r="N2034" s="1" t="str">
        <f ca="1">IFERROR(__xludf.DUMMYFUNCTION("""COMPUTED_VALUE"""),"TO20")</f>
        <v>TO20</v>
      </c>
      <c r="O2034" s="1"/>
      <c r="P2034" s="1"/>
    </row>
    <row r="2035" spans="1:16" ht="14.25" customHeight="1" x14ac:dyDescent="0.25">
      <c r="A2035" s="1"/>
      <c r="B2035" s="1">
        <f ca="1"/>
        <v>2023</v>
      </c>
      <c r="C2035" s="1">
        <f ca="1">IFERROR(__xludf.DUMMYFUNCTION("""COMPUTED_VALUE"""),2023)</f>
        <v>2023</v>
      </c>
      <c r="D2035" s="1">
        <f ca="1">IFERROR(__xludf.DUMMYFUNCTION("""COMPUTED_VALUE"""),11332)</f>
        <v>11332</v>
      </c>
      <c r="E2035" s="1" t="str">
        <f ca="1">IFERROR(__xludf.DUMMYFUNCTION("""COMPUTED_VALUE"""),"Sport Sciences for Health")</f>
        <v>Sport Sciences for Health</v>
      </c>
      <c r="F2035" s="1" t="str">
        <f ca="1">IFERROR(__xludf.DUMMYFUNCTION("""COMPUTED_VALUE"""),"1825-1234")</f>
        <v>1825-1234</v>
      </c>
      <c r="G2035" s="1"/>
      <c r="H2035" s="27" t="str">
        <f ca="1">IFERROR(__xludf.DUMMYFUNCTION("""COMPUTED_VALUE"""),"https://link.springer.com/journal/11332")</f>
        <v>https://link.springer.com/journal/11332</v>
      </c>
      <c r="I2035" s="1" t="str">
        <f ca="1">IFERROR(__xludf.DUMMYFUNCTION("""COMPUTED_VALUE"""),"Springer")</f>
        <v>Springer</v>
      </c>
      <c r="J2035" s="1">
        <f ca="1">IFERROR(__xludf.DUMMYFUNCTION("""COMPUTED_VALUE"""),2004)</f>
        <v>2004</v>
      </c>
      <c r="K2035" s="1" t="str">
        <f ca="1">IFERROR(__xludf.DUMMYFUNCTION("""COMPUTED_VALUE"""),"Medicine")</f>
        <v>Medicine</v>
      </c>
      <c r="L2035" s="1"/>
      <c r="M2035" s="1" t="str">
        <f ca="1">IFERROR(__xludf.DUMMYFUNCTION("""COMPUTED_VALUE"""),"〇")</f>
        <v>〇</v>
      </c>
      <c r="N2035" s="1"/>
      <c r="O2035" s="1"/>
      <c r="P2035" s="1"/>
    </row>
    <row r="2036" spans="1:16" ht="14.25" customHeight="1" x14ac:dyDescent="0.25">
      <c r="A2036" s="1"/>
      <c r="B2036" s="1">
        <f ca="1"/>
        <v>2024</v>
      </c>
      <c r="C2036" s="1">
        <f ca="1">IFERROR(__xludf.DUMMYFUNCTION("""COMPUTED_VALUE"""),2023)</f>
        <v>2023</v>
      </c>
      <c r="D2036" s="1">
        <f ca="1">IFERROR(__xludf.DUMMYFUNCTION("""COMPUTED_VALUE"""),12283)</f>
        <v>12283</v>
      </c>
      <c r="E2036" s="1" t="str">
        <f ca="1">IFERROR(__xludf.DUMMYFUNCTION("""COMPUTED_VALUE"""),"Sports Engineering")</f>
        <v>Sports Engineering</v>
      </c>
      <c r="F2036" s="1" t="str">
        <f ca="1">IFERROR(__xludf.DUMMYFUNCTION("""COMPUTED_VALUE"""),"1460-2687")</f>
        <v>1460-2687</v>
      </c>
      <c r="G2036" s="1" t="str">
        <f ca="1">IFERROR(__xludf.DUMMYFUNCTION("""COMPUTED_VALUE"""),"1369-7072")</f>
        <v>1369-7072</v>
      </c>
      <c r="H2036" s="27" t="str">
        <f ca="1">IFERROR(__xludf.DUMMYFUNCTION("""COMPUTED_VALUE"""),"https://link.springer.com/journal/12283")</f>
        <v>https://link.springer.com/journal/12283</v>
      </c>
      <c r="I2036" s="1" t="str">
        <f ca="1">IFERROR(__xludf.DUMMYFUNCTION("""COMPUTED_VALUE"""),"Springer")</f>
        <v>Springer</v>
      </c>
      <c r="J2036" s="1">
        <f ca="1">IFERROR(__xludf.DUMMYFUNCTION("""COMPUTED_VALUE"""),2003)</f>
        <v>2003</v>
      </c>
      <c r="K2036" s="1" t="str">
        <f ca="1">IFERROR(__xludf.DUMMYFUNCTION("""COMPUTED_VALUE"""),"Engineering")</f>
        <v>Engineering</v>
      </c>
      <c r="L2036" s="1" t="str">
        <f ca="1">IFERROR(__xludf.DUMMYFUNCTION("""COMPUTED_VALUE"""),"〇")</f>
        <v>〇</v>
      </c>
      <c r="M2036" s="1" t="str">
        <f ca="1">IFERROR(__xludf.DUMMYFUNCTION("""COMPUTED_VALUE"""),"〇")</f>
        <v>〇</v>
      </c>
      <c r="N2036" s="1" t="str">
        <f ca="1">IFERROR(__xludf.DUMMYFUNCTION("""COMPUTED_VALUE"""),"TO8")</f>
        <v>TO8</v>
      </c>
      <c r="O2036" s="1"/>
      <c r="P2036" s="1"/>
    </row>
    <row r="2037" spans="1:16" ht="14.25" customHeight="1" x14ac:dyDescent="0.25">
      <c r="A2037" s="1"/>
      <c r="B2037" s="1">
        <f ca="1"/>
        <v>2025</v>
      </c>
      <c r="C2037" s="1">
        <f ca="1">IFERROR(__xludf.DUMMYFUNCTION("""COMPUTED_VALUE"""),2023)</f>
        <v>2023</v>
      </c>
      <c r="D2037" s="1">
        <f ca="1">IFERROR(__xludf.DUMMYFUNCTION("""COMPUTED_VALUE"""),40279)</f>
        <v>40279</v>
      </c>
      <c r="E2037" s="1" t="str">
        <f ca="1">IFERROR(__xludf.DUMMYFUNCTION("""COMPUTED_VALUE"""),"Sports Medicine")</f>
        <v>Sports Medicine</v>
      </c>
      <c r="F2037" s="1" t="str">
        <f ca="1">IFERROR(__xludf.DUMMYFUNCTION("""COMPUTED_VALUE"""),"1179-2035")</f>
        <v>1179-2035</v>
      </c>
      <c r="G2037" s="1" t="str">
        <f ca="1">IFERROR(__xludf.DUMMYFUNCTION("""COMPUTED_VALUE"""),"0112-1642")</f>
        <v>0112-1642</v>
      </c>
      <c r="H2037" s="27" t="str">
        <f ca="1">IFERROR(__xludf.DUMMYFUNCTION("""COMPUTED_VALUE"""),"https://link.springer.com/journal/40279")</f>
        <v>https://link.springer.com/journal/40279</v>
      </c>
      <c r="I2037" s="1" t="str">
        <f ca="1">IFERROR(__xludf.DUMMYFUNCTION("""COMPUTED_VALUE"""),"Springer")</f>
        <v>Springer</v>
      </c>
      <c r="J2037" s="1">
        <f ca="1">IFERROR(__xludf.DUMMYFUNCTION("""COMPUTED_VALUE"""),2000)</f>
        <v>2000</v>
      </c>
      <c r="K2037" s="1" t="str">
        <f ca="1">IFERROR(__xludf.DUMMYFUNCTION("""COMPUTED_VALUE"""),"Medicine")</f>
        <v>Medicine</v>
      </c>
      <c r="L2037" s="1" t="str">
        <f ca="1">IFERROR(__xludf.DUMMYFUNCTION("""COMPUTED_VALUE"""),"〇")</f>
        <v>〇</v>
      </c>
      <c r="M2037" s="1"/>
      <c r="N2037" s="1"/>
      <c r="O2037" s="1"/>
      <c r="P2037" s="1"/>
    </row>
    <row r="2038" spans="1:16" ht="14.25" customHeight="1" x14ac:dyDescent="0.25">
      <c r="A2038" s="1"/>
      <c r="B2038" s="1">
        <f ca="1"/>
        <v>2026</v>
      </c>
      <c r="C2038" s="1">
        <f ca="1">IFERROR(__xludf.DUMMYFUNCTION("""COMPUTED_VALUE"""),2023)</f>
        <v>2023</v>
      </c>
      <c r="D2038" s="1">
        <f ca="1">IFERROR(__xludf.DUMMYFUNCTION("""COMPUTED_VALUE"""),548)</f>
        <v>548</v>
      </c>
      <c r="E2038" s="1" t="str">
        <f ca="1">IFERROR(__xludf.DUMMYFUNCTION("""COMPUTED_VALUE"""),"Standort")</f>
        <v>Standort</v>
      </c>
      <c r="F2038" s="1" t="str">
        <f ca="1">IFERROR(__xludf.DUMMYFUNCTION("""COMPUTED_VALUE"""),"1432-220X")</f>
        <v>1432-220X</v>
      </c>
      <c r="G2038" s="1" t="str">
        <f ca="1">IFERROR(__xludf.DUMMYFUNCTION("""COMPUTED_VALUE"""),"0174-3635")</f>
        <v>0174-3635</v>
      </c>
      <c r="H2038" s="27" t="str">
        <f ca="1">IFERROR(__xludf.DUMMYFUNCTION("""COMPUTED_VALUE"""),"https://link.springer.com/journal/548")</f>
        <v>https://link.springer.com/journal/548</v>
      </c>
      <c r="I2038" s="1" t="str">
        <f ca="1">IFERROR(__xludf.DUMMYFUNCTION("""COMPUTED_VALUE"""),"Springer")</f>
        <v>Springer</v>
      </c>
      <c r="J2038" s="1">
        <f ca="1">IFERROR(__xludf.DUMMYFUNCTION("""COMPUTED_VALUE"""),2000)</f>
        <v>2000</v>
      </c>
      <c r="K2038" s="1" t="str">
        <f ca="1">IFERROR(__xludf.DUMMYFUNCTION("""COMPUTED_VALUE"""),"Earth and Environmental Science")</f>
        <v>Earth and Environmental Science</v>
      </c>
      <c r="L2038" s="1" t="str">
        <f ca="1">IFERROR(__xludf.DUMMYFUNCTION("""COMPUTED_VALUE"""),"〇")</f>
        <v>〇</v>
      </c>
      <c r="M2038" s="1" t="str">
        <f ca="1">IFERROR(__xludf.DUMMYFUNCTION("""COMPUTED_VALUE"""),"〇")</f>
        <v>〇</v>
      </c>
      <c r="N2038" s="1"/>
      <c r="O2038" s="1"/>
      <c r="P2038" s="1"/>
    </row>
    <row r="2039" spans="1:16" ht="14.25" customHeight="1" x14ac:dyDescent="0.25">
      <c r="A2039" s="1"/>
      <c r="B2039" s="1">
        <f ca="1"/>
        <v>2027</v>
      </c>
      <c r="C2039" s="1">
        <f ca="1">IFERROR(__xludf.DUMMYFUNCTION("""COMPUTED_VALUE"""),2023)</f>
        <v>2023</v>
      </c>
      <c r="D2039" s="1">
        <f ca="1">IFERROR(__xludf.DUMMYFUNCTION("""COMPUTED_VALUE"""),11203)</f>
        <v>11203</v>
      </c>
      <c r="E2039" s="1" t="str">
        <f ca="1">IFERROR(__xludf.DUMMYFUNCTION("""COMPUTED_VALUE"""),"Statistical Inference for Stochastic Processes")</f>
        <v>Statistical Inference for Stochastic Processes</v>
      </c>
      <c r="F2039" s="1" t="str">
        <f ca="1">IFERROR(__xludf.DUMMYFUNCTION("""COMPUTED_VALUE"""),"1572-9311")</f>
        <v>1572-9311</v>
      </c>
      <c r="G2039" s="1" t="str">
        <f ca="1">IFERROR(__xludf.DUMMYFUNCTION("""COMPUTED_VALUE"""),"1387-0874")</f>
        <v>1387-0874</v>
      </c>
      <c r="H2039" s="27" t="str">
        <f ca="1">IFERROR(__xludf.DUMMYFUNCTION("""COMPUTED_VALUE"""),"https://link.springer.com/journal/11203")</f>
        <v>https://link.springer.com/journal/11203</v>
      </c>
      <c r="I2039" s="1" t="str">
        <f ca="1">IFERROR(__xludf.DUMMYFUNCTION("""COMPUTED_VALUE"""),"Springer")</f>
        <v>Springer</v>
      </c>
      <c r="J2039" s="1">
        <f ca="1">IFERROR(__xludf.DUMMYFUNCTION("""COMPUTED_VALUE"""),2000)</f>
        <v>2000</v>
      </c>
      <c r="K2039" s="1" t="str">
        <f ca="1">IFERROR(__xludf.DUMMYFUNCTION("""COMPUTED_VALUE"""),"Mathematics and Statistics")</f>
        <v>Mathematics and Statistics</v>
      </c>
      <c r="L2039" s="1" t="str">
        <f ca="1">IFERROR(__xludf.DUMMYFUNCTION("""COMPUTED_VALUE"""),"〇")</f>
        <v>〇</v>
      </c>
      <c r="M2039" s="1" t="str">
        <f ca="1">IFERROR(__xludf.DUMMYFUNCTION("""COMPUTED_VALUE"""),"〇")</f>
        <v>〇</v>
      </c>
      <c r="N2039" s="1"/>
      <c r="O2039" s="1"/>
      <c r="P2039" s="1"/>
    </row>
    <row r="2040" spans="1:16" ht="14.25" customHeight="1" x14ac:dyDescent="0.25">
      <c r="A2040" s="1"/>
      <c r="B2040" s="1">
        <f ca="1"/>
        <v>2028</v>
      </c>
      <c r="C2040" s="1">
        <f ca="1">IFERROR(__xludf.DUMMYFUNCTION("""COMPUTED_VALUE"""),2023)</f>
        <v>2023</v>
      </c>
      <c r="D2040" s="1">
        <f ca="1">IFERROR(__xludf.DUMMYFUNCTION("""COMPUTED_VALUE"""),10260)</f>
        <v>10260</v>
      </c>
      <c r="E2040" s="1" t="str">
        <f ca="1">IFERROR(__xludf.DUMMYFUNCTION("""COMPUTED_VALUE"""),"Statistical Methods &amp; Applications")</f>
        <v>Statistical Methods &amp; Applications</v>
      </c>
      <c r="F2040" s="1" t="str">
        <f ca="1">IFERROR(__xludf.DUMMYFUNCTION("""COMPUTED_VALUE"""),"1613-981X")</f>
        <v>1613-981X</v>
      </c>
      <c r="G2040" s="1" t="str">
        <f ca="1">IFERROR(__xludf.DUMMYFUNCTION("""COMPUTED_VALUE"""),"1618-2510")</f>
        <v>1618-2510</v>
      </c>
      <c r="H2040" s="27" t="str">
        <f ca="1">IFERROR(__xludf.DUMMYFUNCTION("""COMPUTED_VALUE"""),"https://link.springer.com/journal/10260")</f>
        <v>https://link.springer.com/journal/10260</v>
      </c>
      <c r="I2040" s="1" t="str">
        <f ca="1">IFERROR(__xludf.DUMMYFUNCTION("""COMPUTED_VALUE"""),"Springer")</f>
        <v>Springer</v>
      </c>
      <c r="J2040" s="1">
        <f ca="1">IFERROR(__xludf.DUMMYFUNCTION("""COMPUTED_VALUE"""),2000)</f>
        <v>2000</v>
      </c>
      <c r="K2040" s="1" t="str">
        <f ca="1">IFERROR(__xludf.DUMMYFUNCTION("""COMPUTED_VALUE"""),"Mathematics and Statistics")</f>
        <v>Mathematics and Statistics</v>
      </c>
      <c r="L2040" s="1" t="str">
        <f ca="1">IFERROR(__xludf.DUMMYFUNCTION("""COMPUTED_VALUE"""),"〇")</f>
        <v>〇</v>
      </c>
      <c r="M2040" s="1" t="str">
        <f ca="1">IFERROR(__xludf.DUMMYFUNCTION("""COMPUTED_VALUE"""),"〇")</f>
        <v>〇</v>
      </c>
      <c r="N2040" s="1"/>
      <c r="O2040" s="1"/>
      <c r="P2040" s="1"/>
    </row>
    <row r="2041" spans="1:16" ht="14.25" customHeight="1" x14ac:dyDescent="0.25">
      <c r="A2041" s="1"/>
      <c r="B2041" s="1">
        <f ca="1"/>
        <v>2029</v>
      </c>
      <c r="C2041" s="1">
        <f ca="1">IFERROR(__xludf.DUMMYFUNCTION("""COMPUTED_VALUE"""),2023)</f>
        <v>2023</v>
      </c>
      <c r="D2041" s="1">
        <f ca="1">IFERROR(__xludf.DUMMYFUNCTION("""COMPUTED_VALUE"""),362)</f>
        <v>362</v>
      </c>
      <c r="E2041" s="1" t="str">
        <f ca="1">IFERROR(__xludf.DUMMYFUNCTION("""COMPUTED_VALUE"""),"Statistical Papers")</f>
        <v>Statistical Papers</v>
      </c>
      <c r="F2041" s="1" t="str">
        <f ca="1">IFERROR(__xludf.DUMMYFUNCTION("""COMPUTED_VALUE"""),"1613-9798")</f>
        <v>1613-9798</v>
      </c>
      <c r="G2041" s="1" t="str">
        <f ca="1">IFERROR(__xludf.DUMMYFUNCTION("""COMPUTED_VALUE"""),"0932-5026")</f>
        <v>0932-5026</v>
      </c>
      <c r="H2041" s="27" t="str">
        <f ca="1">IFERROR(__xludf.DUMMYFUNCTION("""COMPUTED_VALUE"""),"https://link.springer.com/journal/362")</f>
        <v>https://link.springer.com/journal/362</v>
      </c>
      <c r="I2041" s="1" t="str">
        <f ca="1">IFERROR(__xludf.DUMMYFUNCTION("""COMPUTED_VALUE"""),"Springer")</f>
        <v>Springer</v>
      </c>
      <c r="J2041" s="1">
        <f ca="1">IFERROR(__xludf.DUMMYFUNCTION("""COMPUTED_VALUE"""),2000)</f>
        <v>2000</v>
      </c>
      <c r="K2041" s="1" t="str">
        <f ca="1">IFERROR(__xludf.DUMMYFUNCTION("""COMPUTED_VALUE"""),"Mathematics and Statistics")</f>
        <v>Mathematics and Statistics</v>
      </c>
      <c r="L2041" s="1" t="str">
        <f ca="1">IFERROR(__xludf.DUMMYFUNCTION("""COMPUTED_VALUE"""),"〇")</f>
        <v>〇</v>
      </c>
      <c r="M2041" s="1" t="str">
        <f ca="1">IFERROR(__xludf.DUMMYFUNCTION("""COMPUTED_VALUE"""),"〇")</f>
        <v>〇</v>
      </c>
      <c r="N2041" s="1"/>
      <c r="O2041" s="1"/>
      <c r="P2041" s="1"/>
    </row>
    <row r="2042" spans="1:16" ht="14.25" customHeight="1" x14ac:dyDescent="0.25">
      <c r="A2042" s="1"/>
      <c r="B2042" s="1">
        <f ca="1"/>
        <v>2030</v>
      </c>
      <c r="C2042" s="1">
        <f ca="1">IFERROR(__xludf.DUMMYFUNCTION("""COMPUTED_VALUE"""),2023)</f>
        <v>2023</v>
      </c>
      <c r="D2042" s="1">
        <f ca="1">IFERROR(__xludf.DUMMYFUNCTION("""COMPUTED_VALUE"""),11222)</f>
        <v>11222</v>
      </c>
      <c r="E2042" s="1" t="str">
        <f ca="1">IFERROR(__xludf.DUMMYFUNCTION("""COMPUTED_VALUE"""),"Statistics and Computing")</f>
        <v>Statistics and Computing</v>
      </c>
      <c r="F2042" s="1" t="str">
        <f ca="1">IFERROR(__xludf.DUMMYFUNCTION("""COMPUTED_VALUE"""),"1573-1375")</f>
        <v>1573-1375</v>
      </c>
      <c r="G2042" s="1" t="str">
        <f ca="1">IFERROR(__xludf.DUMMYFUNCTION("""COMPUTED_VALUE"""),"0960-3174")</f>
        <v>0960-3174</v>
      </c>
      <c r="H2042" s="27" t="str">
        <f ca="1">IFERROR(__xludf.DUMMYFUNCTION("""COMPUTED_VALUE"""),"https://link.springer.com/journal/11222")</f>
        <v>https://link.springer.com/journal/11222</v>
      </c>
      <c r="I2042" s="1" t="str">
        <f ca="1">IFERROR(__xludf.DUMMYFUNCTION("""COMPUTED_VALUE"""),"Springer")</f>
        <v>Springer</v>
      </c>
      <c r="J2042" s="1">
        <f ca="1">IFERROR(__xludf.DUMMYFUNCTION("""COMPUTED_VALUE"""),2000)</f>
        <v>2000</v>
      </c>
      <c r="K2042" s="1" t="str">
        <f ca="1">IFERROR(__xludf.DUMMYFUNCTION("""COMPUTED_VALUE"""),"Computer Science")</f>
        <v>Computer Science</v>
      </c>
      <c r="L2042" s="1" t="str">
        <f ca="1">IFERROR(__xludf.DUMMYFUNCTION("""COMPUTED_VALUE"""),"〇")</f>
        <v>〇</v>
      </c>
      <c r="M2042" s="1" t="str">
        <f ca="1">IFERROR(__xludf.DUMMYFUNCTION("""COMPUTED_VALUE"""),"〇")</f>
        <v>〇</v>
      </c>
      <c r="N2042" s="1"/>
      <c r="O2042" s="1"/>
      <c r="P2042" s="1"/>
    </row>
    <row r="2043" spans="1:16" ht="14.25" customHeight="1" x14ac:dyDescent="0.25">
      <c r="A2043" s="1"/>
      <c r="B2043" s="1">
        <f ca="1"/>
        <v>2031</v>
      </c>
      <c r="C2043" s="1">
        <f ca="1">IFERROR(__xludf.DUMMYFUNCTION("""COMPUTED_VALUE"""),2023)</f>
        <v>2023</v>
      </c>
      <c r="D2043" s="1">
        <f ca="1">IFERROR(__xludf.DUMMYFUNCTION("""COMPUTED_VALUE"""),12561)</f>
        <v>12561</v>
      </c>
      <c r="E2043" s="1" t="str">
        <f ca="1">IFERROR(__xludf.DUMMYFUNCTION("""COMPUTED_VALUE"""),"Statistics in Biosciences")</f>
        <v>Statistics in Biosciences</v>
      </c>
      <c r="F2043" s="1" t="str">
        <f ca="1">IFERROR(__xludf.DUMMYFUNCTION("""COMPUTED_VALUE"""),"1867-1772")</f>
        <v>1867-1772</v>
      </c>
      <c r="G2043" s="1" t="str">
        <f ca="1">IFERROR(__xludf.DUMMYFUNCTION("""COMPUTED_VALUE"""),"1867-1764")</f>
        <v>1867-1764</v>
      </c>
      <c r="H2043" s="27" t="str">
        <f ca="1">IFERROR(__xludf.DUMMYFUNCTION("""COMPUTED_VALUE"""),"https://link.springer.com/journal/12561")</f>
        <v>https://link.springer.com/journal/12561</v>
      </c>
      <c r="I2043" s="1" t="str">
        <f ca="1">IFERROR(__xludf.DUMMYFUNCTION("""COMPUTED_VALUE"""),"Springer")</f>
        <v>Springer</v>
      </c>
      <c r="J2043" s="1">
        <f ca="1">IFERROR(__xludf.DUMMYFUNCTION("""COMPUTED_VALUE"""),2009)</f>
        <v>2009</v>
      </c>
      <c r="K2043" s="1" t="str">
        <f ca="1">IFERROR(__xludf.DUMMYFUNCTION("""COMPUTED_VALUE"""),"Mathematics and Statistics")</f>
        <v>Mathematics and Statistics</v>
      </c>
      <c r="L2043" s="1" t="str">
        <f ca="1">IFERROR(__xludf.DUMMYFUNCTION("""COMPUTED_VALUE"""),"〇")</f>
        <v>〇</v>
      </c>
      <c r="M2043" s="1" t="str">
        <f ca="1">IFERROR(__xludf.DUMMYFUNCTION("""COMPUTED_VALUE"""),"〇")</f>
        <v>〇</v>
      </c>
      <c r="N2043" s="1" t="str">
        <f ca="1">IFERROR(__xludf.DUMMYFUNCTION("""COMPUTED_VALUE"""),"SNS9")</f>
        <v>SNS9</v>
      </c>
      <c r="O2043" s="1"/>
      <c r="P2043" s="1"/>
    </row>
    <row r="2044" spans="1:16" ht="14.25" customHeight="1" x14ac:dyDescent="0.25">
      <c r="A2044" s="1"/>
      <c r="B2044" s="1">
        <f ca="1"/>
        <v>2032</v>
      </c>
      <c r="C2044" s="1">
        <f ca="1">IFERROR(__xludf.DUMMYFUNCTION("""COMPUTED_VALUE"""),2023)</f>
        <v>2023</v>
      </c>
      <c r="D2044" s="1">
        <f ca="1">IFERROR(__xludf.DUMMYFUNCTION("""COMPUTED_VALUE"""),11986)</f>
        <v>11986</v>
      </c>
      <c r="E2044" s="1" t="str">
        <f ca="1">IFERROR(__xludf.DUMMYFUNCTION("""COMPUTED_VALUE"""),"Steel in Translation")</f>
        <v>Steel in Translation</v>
      </c>
      <c r="F2044" s="1" t="str">
        <f ca="1">IFERROR(__xludf.DUMMYFUNCTION("""COMPUTED_VALUE"""),"1935-0988")</f>
        <v>1935-0988</v>
      </c>
      <c r="G2044" s="1" t="str">
        <f ca="1">IFERROR(__xludf.DUMMYFUNCTION("""COMPUTED_VALUE"""),"0967-0912")</f>
        <v>0967-0912</v>
      </c>
      <c r="H2044" s="27" t="str">
        <f ca="1">IFERROR(__xludf.DUMMYFUNCTION("""COMPUTED_VALUE"""),"https://link.springer.com/journal/11986")</f>
        <v>https://link.springer.com/journal/11986</v>
      </c>
      <c r="I2044" s="1" t="str">
        <f ca="1">IFERROR(__xludf.DUMMYFUNCTION("""COMPUTED_VALUE"""),"Pleiades Publishing")</f>
        <v>Pleiades Publishing</v>
      </c>
      <c r="J2044" s="1">
        <f ca="1">IFERROR(__xludf.DUMMYFUNCTION("""COMPUTED_VALUE"""),2007)</f>
        <v>2007</v>
      </c>
      <c r="K2044" s="1" t="str">
        <f ca="1">IFERROR(__xludf.DUMMYFUNCTION("""COMPUTED_VALUE"""),"Chemistry and Materials Science")</f>
        <v>Chemistry and Materials Science</v>
      </c>
      <c r="L2044" s="1" t="str">
        <f ca="1">IFERROR(__xludf.DUMMYFUNCTION("""COMPUTED_VALUE"""),"〇")</f>
        <v>〇</v>
      </c>
      <c r="M2044" s="1" t="str">
        <f ca="1">IFERROR(__xludf.DUMMYFUNCTION("""COMPUTED_VALUE"""),"〇")</f>
        <v>〇</v>
      </c>
      <c r="N2044" s="1" t="str">
        <f ca="1">IFERROR(__xludf.DUMMYFUNCTION("""COMPUTED_VALUE"""),"TO7")</f>
        <v>TO7</v>
      </c>
      <c r="O2044" s="1"/>
      <c r="P2044" s="1"/>
    </row>
    <row r="2045" spans="1:16" ht="14.25" customHeight="1" x14ac:dyDescent="0.25">
      <c r="A2045" s="1"/>
      <c r="B2045" s="1">
        <f ca="1"/>
        <v>2033</v>
      </c>
      <c r="C2045" s="1">
        <f ca="1">IFERROR(__xludf.DUMMYFUNCTION("""COMPUTED_VALUE"""),2023)</f>
        <v>2023</v>
      </c>
      <c r="D2045" s="1">
        <f ca="1">IFERROR(__xludf.DUMMYFUNCTION("""COMPUTED_VALUE"""),12015)</f>
        <v>12015</v>
      </c>
      <c r="E2045" s="1" t="str">
        <f ca="1">IFERROR(__xludf.DUMMYFUNCTION("""COMPUTED_VALUE"""),"Stem Cell Reviews and Reports")</f>
        <v>Stem Cell Reviews and Reports</v>
      </c>
      <c r="F2045" s="1" t="str">
        <f ca="1">IFERROR(__xludf.DUMMYFUNCTION("""COMPUTED_VALUE"""),"2629-3277")</f>
        <v>2629-3277</v>
      </c>
      <c r="G2045" s="1"/>
      <c r="H2045" s="27" t="str">
        <f ca="1">IFERROR(__xludf.DUMMYFUNCTION("""COMPUTED_VALUE"""),"https://link.springer.com/journal/12015")</f>
        <v>https://link.springer.com/journal/12015</v>
      </c>
      <c r="I2045" s="1" t="str">
        <f ca="1">IFERROR(__xludf.DUMMYFUNCTION("""COMPUTED_VALUE"""),"Springer")</f>
        <v>Springer</v>
      </c>
      <c r="J2045" s="1">
        <f ca="1">IFERROR(__xludf.DUMMYFUNCTION("""COMPUTED_VALUE"""),2005)</f>
        <v>2005</v>
      </c>
      <c r="K2045" s="1" t="str">
        <f ca="1">IFERROR(__xludf.DUMMYFUNCTION("""COMPUTED_VALUE"""),"Biomedical and Life Sciences")</f>
        <v>Biomedical and Life Sciences</v>
      </c>
      <c r="L2045" s="1"/>
      <c r="M2045" s="1" t="str">
        <f ca="1">IFERROR(__xludf.DUMMYFUNCTION("""COMPUTED_VALUE"""),"〇")</f>
        <v>〇</v>
      </c>
      <c r="N2045" s="1" t="str">
        <f ca="1">IFERROR(__xludf.DUMMYFUNCTION("""COMPUTED_VALUE"""),"TO7")</f>
        <v>TO7</v>
      </c>
      <c r="O2045" s="1"/>
      <c r="P2045" s="1"/>
    </row>
    <row r="2046" spans="1:16" ht="14.25" customHeight="1" x14ac:dyDescent="0.25">
      <c r="A2046" s="1"/>
      <c r="B2046" s="1">
        <f ca="1"/>
        <v>2034</v>
      </c>
      <c r="C2046" s="1">
        <f ca="1">IFERROR(__xludf.DUMMYFUNCTION("""COMPUTED_VALUE"""),2023)</f>
        <v>2023</v>
      </c>
      <c r="D2046" s="1">
        <f ca="1">IFERROR(__xludf.DUMMYFUNCTION("""COMPUTED_VALUE"""),477)</f>
        <v>477</v>
      </c>
      <c r="E2046" s="1" t="str">
        <f ca="1">IFERROR(__xludf.DUMMYFUNCTION("""COMPUTED_VALUE"""),"Stochastic Environmental Research and Risk Assessment")</f>
        <v>Stochastic Environmental Research and Risk Assessment</v>
      </c>
      <c r="F2046" s="1" t="str">
        <f ca="1">IFERROR(__xludf.DUMMYFUNCTION("""COMPUTED_VALUE"""),"1436-3259")</f>
        <v>1436-3259</v>
      </c>
      <c r="G2046" s="1" t="str">
        <f ca="1">IFERROR(__xludf.DUMMYFUNCTION("""COMPUTED_VALUE"""),"1436-3240")</f>
        <v>1436-3240</v>
      </c>
      <c r="H2046" s="27" t="str">
        <f ca="1">IFERROR(__xludf.DUMMYFUNCTION("""COMPUTED_VALUE"""),"https://link.springer.com/journal/477")</f>
        <v>https://link.springer.com/journal/477</v>
      </c>
      <c r="I2046" s="1" t="str">
        <f ca="1">IFERROR(__xludf.DUMMYFUNCTION("""COMPUTED_VALUE"""),"Springer")</f>
        <v>Springer</v>
      </c>
      <c r="J2046" s="1">
        <f ca="1">IFERROR(__xludf.DUMMYFUNCTION("""COMPUTED_VALUE"""),2000)</f>
        <v>2000</v>
      </c>
      <c r="K2046" s="1" t="str">
        <f ca="1">IFERROR(__xludf.DUMMYFUNCTION("""COMPUTED_VALUE"""),"Earth and Environmental Science")</f>
        <v>Earth and Environmental Science</v>
      </c>
      <c r="L2046" s="1" t="str">
        <f ca="1">IFERROR(__xludf.DUMMYFUNCTION("""COMPUTED_VALUE"""),"〇")</f>
        <v>〇</v>
      </c>
      <c r="M2046" s="1" t="str">
        <f ca="1">IFERROR(__xludf.DUMMYFUNCTION("""COMPUTED_VALUE"""),"〇")</f>
        <v>〇</v>
      </c>
      <c r="N2046" s="1"/>
      <c r="O2046" s="1"/>
      <c r="P2046" s="1"/>
    </row>
    <row r="2047" spans="1:16" ht="14.25" customHeight="1" x14ac:dyDescent="0.25">
      <c r="A2047" s="1"/>
      <c r="B2047" s="1">
        <f ca="1"/>
        <v>2035</v>
      </c>
      <c r="C2047" s="1">
        <f ca="1">IFERROR(__xludf.DUMMYFUNCTION("""COMPUTED_VALUE"""),2023)</f>
        <v>2023</v>
      </c>
      <c r="D2047" s="1">
        <f ca="1">IFERROR(__xludf.DUMMYFUNCTION("""COMPUTED_VALUE"""),40072)</f>
        <v>40072</v>
      </c>
      <c r="E2047" s="1" t="str">
        <f ca="1">IFERROR(__xludf.DUMMYFUNCTION("""COMPUTED_VALUE"""),"Stochastics and Partial Differential Equations: Analysis and Computations")</f>
        <v>Stochastics and Partial Differential Equations: Analysis and Computations</v>
      </c>
      <c r="F2047" s="1" t="str">
        <f ca="1">IFERROR(__xludf.DUMMYFUNCTION("""COMPUTED_VALUE"""),"2194-041X")</f>
        <v>2194-041X</v>
      </c>
      <c r="G2047" s="1" t="str">
        <f ca="1">IFERROR(__xludf.DUMMYFUNCTION("""COMPUTED_VALUE"""),"2194-0401")</f>
        <v>2194-0401</v>
      </c>
      <c r="H2047" s="27" t="str">
        <f ca="1">IFERROR(__xludf.DUMMYFUNCTION("""COMPUTED_VALUE"""),"https://link.springer.com/journal/40072")</f>
        <v>https://link.springer.com/journal/40072</v>
      </c>
      <c r="I2047" s="1" t="str">
        <f ca="1">IFERROR(__xludf.DUMMYFUNCTION("""COMPUTED_VALUE"""),"Springer")</f>
        <v>Springer</v>
      </c>
      <c r="J2047" s="1">
        <f ca="1">IFERROR(__xludf.DUMMYFUNCTION("""COMPUTED_VALUE"""),2013)</f>
        <v>2013</v>
      </c>
      <c r="K2047" s="1" t="str">
        <f ca="1">IFERROR(__xludf.DUMMYFUNCTION("""COMPUTED_VALUE"""),"Mathematics and Statistics")</f>
        <v>Mathematics and Statistics</v>
      </c>
      <c r="L2047" s="1" t="str">
        <f ca="1">IFERROR(__xludf.DUMMYFUNCTION("""COMPUTED_VALUE"""),"〇")</f>
        <v>〇</v>
      </c>
      <c r="M2047" s="1"/>
      <c r="N2047" s="1" t="str">
        <f ca="1">IFERROR(__xludf.DUMMYFUNCTION("""COMPUTED_VALUE"""),"SNS13")</f>
        <v>SNS13</v>
      </c>
      <c r="O2047" s="1"/>
      <c r="P2047" s="1"/>
    </row>
    <row r="2048" spans="1:16" ht="14.25" customHeight="1" x14ac:dyDescent="0.25">
      <c r="A2048" s="1"/>
      <c r="B2048" s="1">
        <f ca="1"/>
        <v>2036</v>
      </c>
      <c r="C2048" s="1">
        <f ca="1">IFERROR(__xludf.DUMMYFUNCTION("""COMPUTED_VALUE"""),2023)</f>
        <v>2023</v>
      </c>
      <c r="D2048" s="1">
        <f ca="1">IFERROR(__xludf.DUMMYFUNCTION("""COMPUTED_VALUE"""),66)</f>
        <v>66</v>
      </c>
      <c r="E2048" s="1" t="str">
        <f ca="1">IFERROR(__xludf.DUMMYFUNCTION("""COMPUTED_VALUE"""),"Strahlentherapie und Onkologie")</f>
        <v>Strahlentherapie und Onkologie</v>
      </c>
      <c r="F2048" s="1" t="str">
        <f ca="1">IFERROR(__xludf.DUMMYFUNCTION("""COMPUTED_VALUE"""),"1439-099X")</f>
        <v>1439-099X</v>
      </c>
      <c r="G2048" s="1" t="str">
        <f ca="1">IFERROR(__xludf.DUMMYFUNCTION("""COMPUTED_VALUE"""),"0179-7158")</f>
        <v>0179-7158</v>
      </c>
      <c r="H2048" s="27" t="str">
        <f ca="1">IFERROR(__xludf.DUMMYFUNCTION("""COMPUTED_VALUE"""),"https://link.springer.com/journal/66")</f>
        <v>https://link.springer.com/journal/66</v>
      </c>
      <c r="I2048" s="1" t="str">
        <f ca="1">IFERROR(__xludf.DUMMYFUNCTION("""COMPUTED_VALUE"""),"Springer")</f>
        <v>Springer</v>
      </c>
      <c r="J2048" s="1">
        <f ca="1">IFERROR(__xludf.DUMMYFUNCTION("""COMPUTED_VALUE"""),2000)</f>
        <v>2000</v>
      </c>
      <c r="K2048" s="1" t="str">
        <f ca="1">IFERROR(__xludf.DUMMYFUNCTION("""COMPUTED_VALUE"""),"Medicine")</f>
        <v>Medicine</v>
      </c>
      <c r="L2048" s="1" t="str">
        <f ca="1">IFERROR(__xludf.DUMMYFUNCTION("""COMPUTED_VALUE"""),"〇")</f>
        <v>〇</v>
      </c>
      <c r="M2048" s="1" t="str">
        <f ca="1">IFERROR(__xludf.DUMMYFUNCTION("""COMPUTED_VALUE"""),"〇")</f>
        <v>〇</v>
      </c>
      <c r="N2048" s="1"/>
      <c r="O2048" s="1"/>
      <c r="P2048" s="1"/>
    </row>
    <row r="2049" spans="1:16" ht="14.25" customHeight="1" x14ac:dyDescent="0.25">
      <c r="A2049" s="1"/>
      <c r="B2049" s="1">
        <f ca="1"/>
        <v>2037</v>
      </c>
      <c r="C2049" s="1">
        <f ca="1">IFERROR(__xludf.DUMMYFUNCTION("""COMPUTED_VALUE"""),2023)</f>
        <v>2023</v>
      </c>
      <c r="D2049" s="1">
        <f ca="1">IFERROR(__xludf.DUMMYFUNCTION("""COMPUTED_VALUE"""),11506)</f>
        <v>11506</v>
      </c>
      <c r="E2049" s="1" t="str">
        <f ca="1">IFERROR(__xludf.DUMMYFUNCTION("""COMPUTED_VALUE"""),"Stratigraphy and Geological Correlation")</f>
        <v>Stratigraphy and Geological Correlation</v>
      </c>
      <c r="F2049" s="1" t="str">
        <f ca="1">IFERROR(__xludf.DUMMYFUNCTION("""COMPUTED_VALUE"""),"1555-6263")</f>
        <v>1555-6263</v>
      </c>
      <c r="G2049" s="1" t="str">
        <f ca="1">IFERROR(__xludf.DUMMYFUNCTION("""COMPUTED_VALUE"""),"0869-5938")</f>
        <v>0869-5938</v>
      </c>
      <c r="H2049" s="27" t="str">
        <f ca="1">IFERROR(__xludf.DUMMYFUNCTION("""COMPUTED_VALUE"""),"https://link.springer.com/journal/11506")</f>
        <v>https://link.springer.com/journal/11506</v>
      </c>
      <c r="I2049" s="1" t="str">
        <f ca="1">IFERROR(__xludf.DUMMYFUNCTION("""COMPUTED_VALUE"""),"Pleiades Publishing")</f>
        <v>Pleiades Publishing</v>
      </c>
      <c r="J2049" s="1">
        <f ca="1">IFERROR(__xludf.DUMMYFUNCTION("""COMPUTED_VALUE"""),2006)</f>
        <v>2006</v>
      </c>
      <c r="K2049" s="1" t="str">
        <f ca="1">IFERROR(__xludf.DUMMYFUNCTION("""COMPUTED_VALUE"""),"Earth and Environmental Science")</f>
        <v>Earth and Environmental Science</v>
      </c>
      <c r="L2049" s="1" t="str">
        <f ca="1">IFERROR(__xludf.DUMMYFUNCTION("""COMPUTED_VALUE"""),"〇")</f>
        <v>〇</v>
      </c>
      <c r="M2049" s="1" t="str">
        <f ca="1">IFERROR(__xludf.DUMMYFUNCTION("""COMPUTED_VALUE"""),"〇")</f>
        <v>〇</v>
      </c>
      <c r="N2049" s="1"/>
      <c r="O2049" s="1"/>
      <c r="P2049" s="1"/>
    </row>
    <row r="2050" spans="1:16" ht="14.25" customHeight="1" x14ac:dyDescent="0.25">
      <c r="A2050" s="1"/>
      <c r="B2050" s="1">
        <f ca="1"/>
        <v>2038</v>
      </c>
      <c r="C2050" s="1">
        <f ca="1">IFERROR(__xludf.DUMMYFUNCTION("""COMPUTED_VALUE"""),2023)</f>
        <v>2023</v>
      </c>
      <c r="D2050" s="1">
        <f ca="1">IFERROR(__xludf.DUMMYFUNCTION("""COMPUTED_VALUE"""),11223)</f>
        <v>11223</v>
      </c>
      <c r="E2050" s="1" t="str">
        <f ca="1">IFERROR(__xludf.DUMMYFUNCTION("""COMPUTED_VALUE"""),"Strength of Materials")</f>
        <v>Strength of Materials</v>
      </c>
      <c r="F2050" s="1" t="str">
        <f ca="1">IFERROR(__xludf.DUMMYFUNCTION("""COMPUTED_VALUE"""),"1573-9325")</f>
        <v>1573-9325</v>
      </c>
      <c r="G2050" s="1" t="str">
        <f ca="1">IFERROR(__xludf.DUMMYFUNCTION("""COMPUTED_VALUE"""),"0039-2316")</f>
        <v>0039-2316</v>
      </c>
      <c r="H2050" s="27" t="str">
        <f ca="1">IFERROR(__xludf.DUMMYFUNCTION("""COMPUTED_VALUE"""),"https://link.springer.com/journal/11223")</f>
        <v>https://link.springer.com/journal/11223</v>
      </c>
      <c r="I2050" s="1" t="str">
        <f ca="1">IFERROR(__xludf.DUMMYFUNCTION("""COMPUTED_VALUE"""),"Springer")</f>
        <v>Springer</v>
      </c>
      <c r="J2050" s="1">
        <f ca="1">IFERROR(__xludf.DUMMYFUNCTION("""COMPUTED_VALUE"""),2000)</f>
        <v>2000</v>
      </c>
      <c r="K2050" s="1" t="str">
        <f ca="1">IFERROR(__xludf.DUMMYFUNCTION("""COMPUTED_VALUE"""),"Chemistry and Materials Science")</f>
        <v>Chemistry and Materials Science</v>
      </c>
      <c r="L2050" s="1" t="str">
        <f ca="1">IFERROR(__xludf.DUMMYFUNCTION("""COMPUTED_VALUE"""),"〇")</f>
        <v>〇</v>
      </c>
      <c r="M2050" s="1" t="str">
        <f ca="1">IFERROR(__xludf.DUMMYFUNCTION("""COMPUTED_VALUE"""),"〇")</f>
        <v>〇</v>
      </c>
      <c r="N2050" s="1"/>
      <c r="O2050" s="1"/>
      <c r="P2050" s="1"/>
    </row>
    <row r="2051" spans="1:16" ht="14.25" customHeight="1" x14ac:dyDescent="0.25">
      <c r="A2051" s="1"/>
      <c r="B2051" s="1">
        <f ca="1"/>
        <v>2039</v>
      </c>
      <c r="C2051" s="1">
        <f ca="1">IFERROR(__xludf.DUMMYFUNCTION("""COMPUTED_VALUE"""),2023)</f>
        <v>2023</v>
      </c>
      <c r="D2051" s="1">
        <f ca="1">IFERROR(__xludf.DUMMYFUNCTION("""COMPUTED_VALUE"""),158)</f>
        <v>158</v>
      </c>
      <c r="E2051" s="1" t="str">
        <f ca="1">IFERROR(__xludf.DUMMYFUNCTION("""COMPUTED_VALUE"""),"Structural and Multidisciplinary Optimization")</f>
        <v>Structural and Multidisciplinary Optimization</v>
      </c>
      <c r="F2051" s="1" t="str">
        <f ca="1">IFERROR(__xludf.DUMMYFUNCTION("""COMPUTED_VALUE"""),"1615-1488")</f>
        <v>1615-1488</v>
      </c>
      <c r="G2051" s="1" t="str">
        <f ca="1">IFERROR(__xludf.DUMMYFUNCTION("""COMPUTED_VALUE"""),"1615-147X")</f>
        <v>1615-147X</v>
      </c>
      <c r="H2051" s="27" t="str">
        <f ca="1">IFERROR(__xludf.DUMMYFUNCTION("""COMPUTED_VALUE"""),"https://link.springer.com/journal/158")</f>
        <v>https://link.springer.com/journal/158</v>
      </c>
      <c r="I2051" s="1" t="str">
        <f ca="1">IFERROR(__xludf.DUMMYFUNCTION("""COMPUTED_VALUE"""),"Springer")</f>
        <v>Springer</v>
      </c>
      <c r="J2051" s="1">
        <f ca="1">IFERROR(__xludf.DUMMYFUNCTION("""COMPUTED_VALUE"""),2000)</f>
        <v>2000</v>
      </c>
      <c r="K2051" s="1" t="str">
        <f ca="1">IFERROR(__xludf.DUMMYFUNCTION("""COMPUTED_VALUE"""),"Engineering")</f>
        <v>Engineering</v>
      </c>
      <c r="L2051" s="1" t="str">
        <f ca="1">IFERROR(__xludf.DUMMYFUNCTION("""COMPUTED_VALUE"""),"〇")</f>
        <v>〇</v>
      </c>
      <c r="M2051" s="1" t="str">
        <f ca="1">IFERROR(__xludf.DUMMYFUNCTION("""COMPUTED_VALUE"""),"〇")</f>
        <v>〇</v>
      </c>
      <c r="N2051" s="1"/>
      <c r="O2051" s="1"/>
      <c r="P2051" s="1"/>
    </row>
    <row r="2052" spans="1:16" ht="14.25" customHeight="1" x14ac:dyDescent="0.25">
      <c r="A2052" s="1"/>
      <c r="B2052" s="1">
        <f ca="1"/>
        <v>2040</v>
      </c>
      <c r="C2052" s="1">
        <f ca="1">IFERROR(__xludf.DUMMYFUNCTION("""COMPUTED_VALUE"""),2023)</f>
        <v>2023</v>
      </c>
      <c r="D2052" s="1">
        <f ca="1">IFERROR(__xludf.DUMMYFUNCTION("""COMPUTED_VALUE"""),11224)</f>
        <v>11224</v>
      </c>
      <c r="E2052" s="1" t="str">
        <f ca="1">IFERROR(__xludf.DUMMYFUNCTION("""COMPUTED_VALUE"""),"Structural Chemistry")</f>
        <v>Structural Chemistry</v>
      </c>
      <c r="F2052" s="1" t="str">
        <f ca="1">IFERROR(__xludf.DUMMYFUNCTION("""COMPUTED_VALUE"""),"1572-9001")</f>
        <v>1572-9001</v>
      </c>
      <c r="G2052" s="1" t="str">
        <f ca="1">IFERROR(__xludf.DUMMYFUNCTION("""COMPUTED_VALUE"""),"1040-0400")</f>
        <v>1040-0400</v>
      </c>
      <c r="H2052" s="27" t="str">
        <f ca="1">IFERROR(__xludf.DUMMYFUNCTION("""COMPUTED_VALUE"""),"https://link.springer.com/journal/11224")</f>
        <v>https://link.springer.com/journal/11224</v>
      </c>
      <c r="I2052" s="1" t="str">
        <f ca="1">IFERROR(__xludf.DUMMYFUNCTION("""COMPUTED_VALUE"""),"Springer")</f>
        <v>Springer</v>
      </c>
      <c r="J2052" s="1">
        <f ca="1">IFERROR(__xludf.DUMMYFUNCTION("""COMPUTED_VALUE"""),2000)</f>
        <v>2000</v>
      </c>
      <c r="K2052" s="1" t="str">
        <f ca="1">IFERROR(__xludf.DUMMYFUNCTION("""COMPUTED_VALUE"""),"Chemistry and Materials Science")</f>
        <v>Chemistry and Materials Science</v>
      </c>
      <c r="L2052" s="1" t="str">
        <f ca="1">IFERROR(__xludf.DUMMYFUNCTION("""COMPUTED_VALUE"""),"〇")</f>
        <v>〇</v>
      </c>
      <c r="M2052" s="1" t="str">
        <f ca="1">IFERROR(__xludf.DUMMYFUNCTION("""COMPUTED_VALUE"""),"〇")</f>
        <v>〇</v>
      </c>
      <c r="N2052" s="1"/>
      <c r="O2052" s="1"/>
      <c r="P2052" s="1"/>
    </row>
    <row r="2053" spans="1:16" ht="14.25" customHeight="1" x14ac:dyDescent="0.25">
      <c r="A2053" s="1"/>
      <c r="B2053" s="1">
        <f ca="1"/>
        <v>2041</v>
      </c>
      <c r="C2053" s="1">
        <f ca="1">IFERROR(__xludf.DUMMYFUNCTION("""COMPUTED_VALUE"""),2023)</f>
        <v>2023</v>
      </c>
      <c r="D2053" s="1">
        <f ca="1">IFERROR(__xludf.DUMMYFUNCTION("""COMPUTED_VALUE"""),11200)</f>
        <v>11200</v>
      </c>
      <c r="E2053" s="1" t="str">
        <f ca="1">IFERROR(__xludf.DUMMYFUNCTION("""COMPUTED_VALUE"""),"Studia Geophysica et Geodaetica")</f>
        <v>Studia Geophysica et Geodaetica</v>
      </c>
      <c r="F2053" s="1" t="str">
        <f ca="1">IFERROR(__xludf.DUMMYFUNCTION("""COMPUTED_VALUE"""),"1573-1626")</f>
        <v>1573-1626</v>
      </c>
      <c r="G2053" s="1" t="str">
        <f ca="1">IFERROR(__xludf.DUMMYFUNCTION("""COMPUTED_VALUE"""),"0039-3169")</f>
        <v>0039-3169</v>
      </c>
      <c r="H2053" s="27" t="str">
        <f ca="1">IFERROR(__xludf.DUMMYFUNCTION("""COMPUTED_VALUE"""),"https://link.springer.com/journal/11200")</f>
        <v>https://link.springer.com/journal/11200</v>
      </c>
      <c r="I2053" s="1" t="str">
        <f ca="1">IFERROR(__xludf.DUMMYFUNCTION("""COMPUTED_VALUE"""),"Springer")</f>
        <v>Springer</v>
      </c>
      <c r="J2053" s="1">
        <f ca="1">IFERROR(__xludf.DUMMYFUNCTION("""COMPUTED_VALUE"""),2000)</f>
        <v>2000</v>
      </c>
      <c r="K2053" s="1" t="str">
        <f ca="1">IFERROR(__xludf.DUMMYFUNCTION("""COMPUTED_VALUE"""),"Earth and Environmental Science")</f>
        <v>Earth and Environmental Science</v>
      </c>
      <c r="L2053" s="1" t="str">
        <f ca="1">IFERROR(__xludf.DUMMYFUNCTION("""COMPUTED_VALUE"""),"〇")</f>
        <v>〇</v>
      </c>
      <c r="M2053" s="1" t="str">
        <f ca="1">IFERROR(__xludf.DUMMYFUNCTION("""COMPUTED_VALUE"""),"〇")</f>
        <v>〇</v>
      </c>
      <c r="N2053" s="1"/>
      <c r="O2053" s="1"/>
      <c r="P2053" s="1"/>
    </row>
    <row r="2054" spans="1:16" ht="14.25" customHeight="1" x14ac:dyDescent="0.25">
      <c r="A2054" s="1"/>
      <c r="B2054" s="1">
        <f ca="1"/>
        <v>2042</v>
      </c>
      <c r="C2054" s="1">
        <f ca="1">IFERROR(__xludf.DUMMYFUNCTION("""COMPUTED_VALUE"""),2023)</f>
        <v>2023</v>
      </c>
      <c r="D2054" s="1">
        <f ca="1">IFERROR(__xludf.DUMMYFUNCTION("""COMPUTED_VALUE"""),11225)</f>
        <v>11225</v>
      </c>
      <c r="E2054" s="1" t="str">
        <f ca="1">IFERROR(__xludf.DUMMYFUNCTION("""COMPUTED_VALUE"""),"Studia Logica")</f>
        <v>Studia Logica</v>
      </c>
      <c r="F2054" s="1" t="str">
        <f ca="1">IFERROR(__xludf.DUMMYFUNCTION("""COMPUTED_VALUE"""),"1572-8730")</f>
        <v>1572-8730</v>
      </c>
      <c r="G2054" s="1" t="str">
        <f ca="1">IFERROR(__xludf.DUMMYFUNCTION("""COMPUTED_VALUE"""),"0039-3215")</f>
        <v>0039-3215</v>
      </c>
      <c r="H2054" s="27" t="str">
        <f ca="1">IFERROR(__xludf.DUMMYFUNCTION("""COMPUTED_VALUE"""),"https://link.springer.com/journal/11225")</f>
        <v>https://link.springer.com/journal/11225</v>
      </c>
      <c r="I2054" s="1" t="str">
        <f ca="1">IFERROR(__xludf.DUMMYFUNCTION("""COMPUTED_VALUE"""),"Springer")</f>
        <v>Springer</v>
      </c>
      <c r="J2054" s="1">
        <f ca="1">IFERROR(__xludf.DUMMYFUNCTION("""COMPUTED_VALUE"""),2000)</f>
        <v>2000</v>
      </c>
      <c r="K2054" s="1" t="str">
        <f ca="1">IFERROR(__xludf.DUMMYFUNCTION("""COMPUTED_VALUE"""),"Education")</f>
        <v>Education</v>
      </c>
      <c r="L2054" s="1" t="str">
        <f ca="1">IFERROR(__xludf.DUMMYFUNCTION("""COMPUTED_VALUE"""),"〇")</f>
        <v>〇</v>
      </c>
      <c r="M2054" s="1" t="str">
        <f ca="1">IFERROR(__xludf.DUMMYFUNCTION("""COMPUTED_VALUE"""),"〇")</f>
        <v>〇</v>
      </c>
      <c r="N2054" s="1"/>
      <c r="O2054" s="1"/>
      <c r="P2054" s="1"/>
    </row>
    <row r="2055" spans="1:16" ht="14.25" customHeight="1" x14ac:dyDescent="0.25">
      <c r="A2055" s="1"/>
      <c r="B2055" s="1">
        <f ca="1"/>
        <v>2043</v>
      </c>
      <c r="C2055" s="1">
        <f ca="1">IFERROR(__xludf.DUMMYFUNCTION("""COMPUTED_VALUE"""),2023)</f>
        <v>2023</v>
      </c>
      <c r="D2055" s="1">
        <f ca="1">IFERROR(__xludf.DUMMYFUNCTION("""COMPUTED_VALUE"""),12116)</f>
        <v>12116</v>
      </c>
      <c r="E2055" s="1" t="str">
        <f ca="1">IFERROR(__xludf.DUMMYFUNCTION("""COMPUTED_VALUE"""),"Studies in Comparative International Development")</f>
        <v>Studies in Comparative International Development</v>
      </c>
      <c r="F2055" s="1" t="str">
        <f ca="1">IFERROR(__xludf.DUMMYFUNCTION("""COMPUTED_VALUE"""),"1936-6167")</f>
        <v>1936-6167</v>
      </c>
      <c r="G2055" s="1" t="str">
        <f ca="1">IFERROR(__xludf.DUMMYFUNCTION("""COMPUTED_VALUE"""),"0039-3606")</f>
        <v>0039-3606</v>
      </c>
      <c r="H2055" s="27" t="str">
        <f ca="1">IFERROR(__xludf.DUMMYFUNCTION("""COMPUTED_VALUE"""),"https://link.springer.com/journal/12116")</f>
        <v>https://link.springer.com/journal/12116</v>
      </c>
      <c r="I2055" s="1" t="str">
        <f ca="1">IFERROR(__xludf.DUMMYFUNCTION("""COMPUTED_VALUE"""),"Springer")</f>
        <v>Springer</v>
      </c>
      <c r="J2055" s="1">
        <f ca="1">IFERROR(__xludf.DUMMYFUNCTION("""COMPUTED_VALUE"""),2000)</f>
        <v>2000</v>
      </c>
      <c r="K2055" s="1" t="str">
        <f ca="1">IFERROR(__xludf.DUMMYFUNCTION("""COMPUTED_VALUE"""),"Social Sciences")</f>
        <v>Social Sciences</v>
      </c>
      <c r="L2055" s="1" t="str">
        <f ca="1">IFERROR(__xludf.DUMMYFUNCTION("""COMPUTED_VALUE"""),"〇")</f>
        <v>〇</v>
      </c>
      <c r="M2055" s="1" t="str">
        <f ca="1">IFERROR(__xludf.DUMMYFUNCTION("""COMPUTED_VALUE"""),"〇")</f>
        <v>〇</v>
      </c>
      <c r="N2055" s="1" t="str">
        <f ca="1">IFERROR(__xludf.DUMMYFUNCTION("""COMPUTED_VALUE"""),"TO7")</f>
        <v>TO7</v>
      </c>
      <c r="O2055" s="1"/>
      <c r="P2055" s="1"/>
    </row>
    <row r="2056" spans="1:16" ht="14.25" customHeight="1" x14ac:dyDescent="0.25">
      <c r="A2056" s="1"/>
      <c r="B2056" s="1">
        <f ca="1"/>
        <v>2044</v>
      </c>
      <c r="C2056" s="1">
        <f ca="1">IFERROR(__xludf.DUMMYFUNCTION("""COMPUTED_VALUE"""),2023)</f>
        <v>2023</v>
      </c>
      <c r="D2056" s="1">
        <f ca="1">IFERROR(__xludf.DUMMYFUNCTION("""COMPUTED_VALUE"""),11212)</f>
        <v>11212</v>
      </c>
      <c r="E2056" s="1" t="str">
        <f ca="1">IFERROR(__xludf.DUMMYFUNCTION("""COMPUTED_VALUE"""),"Studies in East European Thought")</f>
        <v>Studies in East European Thought</v>
      </c>
      <c r="F2056" s="1" t="str">
        <f ca="1">IFERROR(__xludf.DUMMYFUNCTION("""COMPUTED_VALUE"""),"1573-0948")</f>
        <v>1573-0948</v>
      </c>
      <c r="G2056" s="1" t="str">
        <f ca="1">IFERROR(__xludf.DUMMYFUNCTION("""COMPUTED_VALUE"""),"0925-9392")</f>
        <v>0925-9392</v>
      </c>
      <c r="H2056" s="27" t="str">
        <f ca="1">IFERROR(__xludf.DUMMYFUNCTION("""COMPUTED_VALUE"""),"https://link.springer.com/journal/11212")</f>
        <v>https://link.springer.com/journal/11212</v>
      </c>
      <c r="I2056" s="1" t="str">
        <f ca="1">IFERROR(__xludf.DUMMYFUNCTION("""COMPUTED_VALUE"""),"Springer")</f>
        <v>Springer</v>
      </c>
      <c r="J2056" s="1">
        <f ca="1">IFERROR(__xludf.DUMMYFUNCTION("""COMPUTED_VALUE"""),2000)</f>
        <v>2000</v>
      </c>
      <c r="K2056" s="1" t="str">
        <f ca="1">IFERROR(__xludf.DUMMYFUNCTION("""COMPUTED_VALUE"""),"Education")</f>
        <v>Education</v>
      </c>
      <c r="L2056" s="1" t="str">
        <f ca="1">IFERROR(__xludf.DUMMYFUNCTION("""COMPUTED_VALUE"""),"〇")</f>
        <v>〇</v>
      </c>
      <c r="M2056" s="1" t="str">
        <f ca="1">IFERROR(__xludf.DUMMYFUNCTION("""COMPUTED_VALUE"""),"〇")</f>
        <v>〇</v>
      </c>
      <c r="N2056" s="1"/>
      <c r="O2056" s="1"/>
      <c r="P2056" s="1"/>
    </row>
    <row r="2057" spans="1:16" ht="14.25" customHeight="1" x14ac:dyDescent="0.25">
      <c r="A2057" s="1"/>
      <c r="B2057" s="1">
        <f ca="1"/>
        <v>2045</v>
      </c>
      <c r="C2057" s="1">
        <f ca="1">IFERROR(__xludf.DUMMYFUNCTION("""COMPUTED_VALUE"""),2023)</f>
        <v>2023</v>
      </c>
      <c r="D2057" s="1">
        <f ca="1">IFERROR(__xludf.DUMMYFUNCTION("""COMPUTED_VALUE"""),11217)</f>
        <v>11217</v>
      </c>
      <c r="E2057" s="1" t="str">
        <f ca="1">IFERROR(__xludf.DUMMYFUNCTION("""COMPUTED_VALUE"""),"Studies in Philosophy and Education")</f>
        <v>Studies in Philosophy and Education</v>
      </c>
      <c r="F2057" s="1" t="str">
        <f ca="1">IFERROR(__xludf.DUMMYFUNCTION("""COMPUTED_VALUE"""),"1573-191X")</f>
        <v>1573-191X</v>
      </c>
      <c r="G2057" s="1" t="str">
        <f ca="1">IFERROR(__xludf.DUMMYFUNCTION("""COMPUTED_VALUE"""),"0039-3746")</f>
        <v>0039-3746</v>
      </c>
      <c r="H2057" s="27" t="str">
        <f ca="1">IFERROR(__xludf.DUMMYFUNCTION("""COMPUTED_VALUE"""),"https://link.springer.com/journal/11217")</f>
        <v>https://link.springer.com/journal/11217</v>
      </c>
      <c r="I2057" s="1" t="str">
        <f ca="1">IFERROR(__xludf.DUMMYFUNCTION("""COMPUTED_VALUE"""),"Springer")</f>
        <v>Springer</v>
      </c>
      <c r="J2057" s="1">
        <f ca="1">IFERROR(__xludf.DUMMYFUNCTION("""COMPUTED_VALUE"""),2000)</f>
        <v>2000</v>
      </c>
      <c r="K2057" s="1" t="str">
        <f ca="1">IFERROR(__xludf.DUMMYFUNCTION("""COMPUTED_VALUE"""),"Education")</f>
        <v>Education</v>
      </c>
      <c r="L2057" s="1" t="str">
        <f ca="1">IFERROR(__xludf.DUMMYFUNCTION("""COMPUTED_VALUE"""),"〇")</f>
        <v>〇</v>
      </c>
      <c r="M2057" s="1" t="str">
        <f ca="1">IFERROR(__xludf.DUMMYFUNCTION("""COMPUTED_VALUE"""),"〇")</f>
        <v>〇</v>
      </c>
      <c r="N2057" s="1"/>
      <c r="O2057" s="1"/>
      <c r="P2057" s="1"/>
    </row>
    <row r="2058" spans="1:16" ht="14.25" customHeight="1" x14ac:dyDescent="0.25">
      <c r="A2058" s="1"/>
      <c r="B2058" s="1">
        <f ca="1"/>
        <v>2046</v>
      </c>
      <c r="C2058" s="1">
        <f ca="1">IFERROR(__xludf.DUMMYFUNCTION("""COMPUTED_VALUE"""),2023)</f>
        <v>2023</v>
      </c>
      <c r="D2058" s="1">
        <f ca="1">IFERROR(__xludf.DUMMYFUNCTION("""COMPUTED_VALUE"""),11507)</f>
        <v>11507</v>
      </c>
      <c r="E2058" s="1" t="str">
        <f ca="1">IFERROR(__xludf.DUMMYFUNCTION("""COMPUTED_VALUE"""),"Studies on Russian Economic Development")</f>
        <v>Studies on Russian Economic Development</v>
      </c>
      <c r="F2058" s="1" t="str">
        <f ca="1">IFERROR(__xludf.DUMMYFUNCTION("""COMPUTED_VALUE"""),"1531-8664")</f>
        <v>1531-8664</v>
      </c>
      <c r="G2058" s="1" t="str">
        <f ca="1">IFERROR(__xludf.DUMMYFUNCTION("""COMPUTED_VALUE"""),"1075-7007")</f>
        <v>1075-7007</v>
      </c>
      <c r="H2058" s="27" t="str">
        <f ca="1">IFERROR(__xludf.DUMMYFUNCTION("""COMPUTED_VALUE"""),"https://link.springer.com/journal/11507")</f>
        <v>https://link.springer.com/journal/11507</v>
      </c>
      <c r="I2058" s="1" t="str">
        <f ca="1">IFERROR(__xludf.DUMMYFUNCTION("""COMPUTED_VALUE"""),"Pleiades Publishing")</f>
        <v>Pleiades Publishing</v>
      </c>
      <c r="J2058" s="1">
        <f ca="1">IFERROR(__xludf.DUMMYFUNCTION("""COMPUTED_VALUE"""),2006)</f>
        <v>2006</v>
      </c>
      <c r="K2058" s="1" t="str">
        <f ca="1">IFERROR(__xludf.DUMMYFUNCTION("""COMPUTED_VALUE"""),"Economics and Finance")</f>
        <v>Economics and Finance</v>
      </c>
      <c r="L2058" s="1" t="str">
        <f ca="1">IFERROR(__xludf.DUMMYFUNCTION("""COMPUTED_VALUE"""),"〇")</f>
        <v>〇</v>
      </c>
      <c r="M2058" s="1" t="str">
        <f ca="1">IFERROR(__xludf.DUMMYFUNCTION("""COMPUTED_VALUE"""),"〇")</f>
        <v>〇</v>
      </c>
      <c r="N2058" s="1"/>
      <c r="O2058" s="1"/>
      <c r="P2058" s="1"/>
    </row>
    <row r="2059" spans="1:16" ht="14.25" customHeight="1" x14ac:dyDescent="0.25">
      <c r="A2059" s="1"/>
      <c r="B2059" s="1">
        <f ca="1"/>
        <v>2047</v>
      </c>
      <c r="C2059" s="1">
        <f ca="1">IFERROR(__xludf.DUMMYFUNCTION("""COMPUTED_VALUE"""),2023)</f>
        <v>2023</v>
      </c>
      <c r="D2059" s="1">
        <f ca="1">IFERROR(__xludf.DUMMYFUNCTION("""COMPUTED_VALUE"""),12355)</f>
        <v>12355</v>
      </c>
      <c r="E2059" s="1" t="str">
        <f ca="1">IFERROR(__xludf.DUMMYFUNCTION("""COMPUTED_VALUE"""),"Sugar Tech")</f>
        <v>Sugar Tech</v>
      </c>
      <c r="F2059" s="1" t="str">
        <f ca="1">IFERROR(__xludf.DUMMYFUNCTION("""COMPUTED_VALUE"""),"0974-0740")</f>
        <v>0974-0740</v>
      </c>
      <c r="G2059" s="1" t="str">
        <f ca="1">IFERROR(__xludf.DUMMYFUNCTION("""COMPUTED_VALUE"""),"0972-1525")</f>
        <v>0972-1525</v>
      </c>
      <c r="H2059" s="27" t="str">
        <f ca="1">IFERROR(__xludf.DUMMYFUNCTION("""COMPUTED_VALUE"""),"https://link.springer.com/journal/12355")</f>
        <v>https://link.springer.com/journal/12355</v>
      </c>
      <c r="I2059" s="1" t="str">
        <f ca="1">IFERROR(__xludf.DUMMYFUNCTION("""COMPUTED_VALUE"""),"Springer")</f>
        <v>Springer</v>
      </c>
      <c r="J2059" s="1">
        <f ca="1">IFERROR(__xludf.DUMMYFUNCTION("""COMPUTED_VALUE"""),2000)</f>
        <v>2000</v>
      </c>
      <c r="K2059" s="1" t="str">
        <f ca="1">IFERROR(__xludf.DUMMYFUNCTION("""COMPUTED_VALUE"""),"Biomedical and Life Sciences")</f>
        <v>Biomedical and Life Sciences</v>
      </c>
      <c r="L2059" s="1" t="str">
        <f ca="1">IFERROR(__xludf.DUMMYFUNCTION("""COMPUTED_VALUE"""),"〇")</f>
        <v>〇</v>
      </c>
      <c r="M2059" s="1" t="str">
        <f ca="1">IFERROR(__xludf.DUMMYFUNCTION("""COMPUTED_VALUE"""),"〇")</f>
        <v>〇</v>
      </c>
      <c r="N2059" s="1" t="str">
        <f ca="1">IFERROR(__xludf.DUMMYFUNCTION("""COMPUTED_VALUE"""),"TO8")</f>
        <v>TO8</v>
      </c>
      <c r="O2059" s="1"/>
      <c r="P2059" s="1"/>
    </row>
    <row r="2060" spans="1:16" ht="14.25" customHeight="1" x14ac:dyDescent="0.25">
      <c r="A2060" s="1"/>
      <c r="B2060" s="1">
        <f ca="1"/>
        <v>2048</v>
      </c>
      <c r="C2060" s="1">
        <f ca="1">IFERROR(__xludf.DUMMYFUNCTION("""COMPUTED_VALUE"""),2023)</f>
        <v>2023</v>
      </c>
      <c r="D2060" s="1">
        <f ca="1">IFERROR(__xludf.DUMMYFUNCTION("""COMPUTED_VALUE"""),520)</f>
        <v>520</v>
      </c>
      <c r="E2060" s="1" t="str">
        <f ca="1">IFERROR(__xludf.DUMMYFUNCTION("""COMPUTED_VALUE"""),"Supportive Care in Cancer")</f>
        <v>Supportive Care in Cancer</v>
      </c>
      <c r="F2060" s="1" t="str">
        <f ca="1">IFERROR(__xludf.DUMMYFUNCTION("""COMPUTED_VALUE"""),"1433-7339")</f>
        <v>1433-7339</v>
      </c>
      <c r="G2060" s="1" t="str">
        <f ca="1">IFERROR(__xludf.DUMMYFUNCTION("""COMPUTED_VALUE"""),"0941-4355")</f>
        <v>0941-4355</v>
      </c>
      <c r="H2060" s="27" t="str">
        <f ca="1">IFERROR(__xludf.DUMMYFUNCTION("""COMPUTED_VALUE"""),"https://link.springer.com/journal/520")</f>
        <v>https://link.springer.com/journal/520</v>
      </c>
      <c r="I2060" s="1" t="str">
        <f ca="1">IFERROR(__xludf.DUMMYFUNCTION("""COMPUTED_VALUE"""),"Springer")</f>
        <v>Springer</v>
      </c>
      <c r="J2060" s="1">
        <f ca="1">IFERROR(__xludf.DUMMYFUNCTION("""COMPUTED_VALUE"""),2000)</f>
        <v>2000</v>
      </c>
      <c r="K2060" s="1" t="str">
        <f ca="1">IFERROR(__xludf.DUMMYFUNCTION("""COMPUTED_VALUE"""),"Medicine")</f>
        <v>Medicine</v>
      </c>
      <c r="L2060" s="1" t="str">
        <f ca="1">IFERROR(__xludf.DUMMYFUNCTION("""COMPUTED_VALUE"""),"〇")</f>
        <v>〇</v>
      </c>
      <c r="M2060" s="1" t="str">
        <f ca="1">IFERROR(__xludf.DUMMYFUNCTION("""COMPUTED_VALUE"""),"〇")</f>
        <v>〇</v>
      </c>
      <c r="N2060" s="1"/>
      <c r="O2060" s="1"/>
      <c r="P2060" s="1"/>
    </row>
    <row r="2061" spans="1:16" ht="14.25" customHeight="1" x14ac:dyDescent="0.25">
      <c r="A2061" s="1"/>
      <c r="B2061" s="1">
        <f ca="1"/>
        <v>2049</v>
      </c>
      <c r="C2061" s="1">
        <f ca="1">IFERROR(__xludf.DUMMYFUNCTION("""COMPUTED_VALUE"""),2023)</f>
        <v>2023</v>
      </c>
      <c r="D2061" s="1">
        <f ca="1">IFERROR(__xludf.DUMMYFUNCTION("""COMPUTED_VALUE"""),11987)</f>
        <v>11987</v>
      </c>
      <c r="E2061" s="1" t="str">
        <f ca="1">IFERROR(__xludf.DUMMYFUNCTION("""COMPUTED_VALUE"""),"Surface Engineering and Applied Electrochemistry")</f>
        <v>Surface Engineering and Applied Electrochemistry</v>
      </c>
      <c r="F2061" s="1" t="str">
        <f ca="1">IFERROR(__xludf.DUMMYFUNCTION("""COMPUTED_VALUE"""),"1934-8002")</f>
        <v>1934-8002</v>
      </c>
      <c r="G2061" s="1" t="str">
        <f ca="1">IFERROR(__xludf.DUMMYFUNCTION("""COMPUTED_VALUE"""),"1068-3755")</f>
        <v>1068-3755</v>
      </c>
      <c r="H2061" s="27" t="str">
        <f ca="1">IFERROR(__xludf.DUMMYFUNCTION("""COMPUTED_VALUE"""),"https://link.springer.com/journal/11987")</f>
        <v>https://link.springer.com/journal/11987</v>
      </c>
      <c r="I2061" s="1" t="str">
        <f ca="1">IFERROR(__xludf.DUMMYFUNCTION("""COMPUTED_VALUE"""),"Pleiades Publishing")</f>
        <v>Pleiades Publishing</v>
      </c>
      <c r="J2061" s="1">
        <f ca="1">IFERROR(__xludf.DUMMYFUNCTION("""COMPUTED_VALUE"""),2007)</f>
        <v>2007</v>
      </c>
      <c r="K2061" s="1" t="str">
        <f ca="1">IFERROR(__xludf.DUMMYFUNCTION("""COMPUTED_VALUE"""),"Engineering")</f>
        <v>Engineering</v>
      </c>
      <c r="L2061" s="1" t="str">
        <f ca="1">IFERROR(__xludf.DUMMYFUNCTION("""COMPUTED_VALUE"""),"〇")</f>
        <v>〇</v>
      </c>
      <c r="M2061" s="1" t="str">
        <f ca="1">IFERROR(__xludf.DUMMYFUNCTION("""COMPUTED_VALUE"""),"〇")</f>
        <v>〇</v>
      </c>
      <c r="N2061" s="1" t="str">
        <f ca="1">IFERROR(__xludf.DUMMYFUNCTION("""COMPUTED_VALUE"""),"TO7")</f>
        <v>TO7</v>
      </c>
      <c r="O2061" s="1"/>
      <c r="P2061" s="1"/>
    </row>
    <row r="2062" spans="1:16" ht="14.25" customHeight="1" x14ac:dyDescent="0.25">
      <c r="A2062" s="1"/>
      <c r="B2062" s="1">
        <f ca="1"/>
        <v>2050</v>
      </c>
      <c r="C2062" s="1">
        <f ca="1">IFERROR(__xludf.DUMMYFUNCTION("""COMPUTED_VALUE"""),2023)</f>
        <v>2023</v>
      </c>
      <c r="D2062" s="1">
        <f ca="1">IFERROR(__xludf.DUMMYFUNCTION("""COMPUTED_VALUE"""),595)</f>
        <v>595</v>
      </c>
      <c r="E2062" s="1" t="str">
        <f ca="1">IFERROR(__xludf.DUMMYFUNCTION("""COMPUTED_VALUE"""),"Surgery Today")</f>
        <v>Surgery Today</v>
      </c>
      <c r="F2062" s="1" t="str">
        <f ca="1">IFERROR(__xludf.DUMMYFUNCTION("""COMPUTED_VALUE"""),"1436-2813")</f>
        <v>1436-2813</v>
      </c>
      <c r="G2062" s="1" t="str">
        <f ca="1">IFERROR(__xludf.DUMMYFUNCTION("""COMPUTED_VALUE"""),"0941-1291")</f>
        <v>0941-1291</v>
      </c>
      <c r="H2062" s="27" t="str">
        <f ca="1">IFERROR(__xludf.DUMMYFUNCTION("""COMPUTED_VALUE"""),"https://link.springer.com/journal/595")</f>
        <v>https://link.springer.com/journal/595</v>
      </c>
      <c r="I2062" s="1" t="str">
        <f ca="1">IFERROR(__xludf.DUMMYFUNCTION("""COMPUTED_VALUE"""),"Springer")</f>
        <v>Springer</v>
      </c>
      <c r="J2062" s="1">
        <f ca="1">IFERROR(__xludf.DUMMYFUNCTION("""COMPUTED_VALUE"""),2000)</f>
        <v>2000</v>
      </c>
      <c r="K2062" s="1" t="str">
        <f ca="1">IFERROR(__xludf.DUMMYFUNCTION("""COMPUTED_VALUE"""),"Medicine")</f>
        <v>Medicine</v>
      </c>
      <c r="L2062" s="1" t="str">
        <f ca="1">IFERROR(__xludf.DUMMYFUNCTION("""COMPUTED_VALUE"""),"〇")</f>
        <v>〇</v>
      </c>
      <c r="M2062" s="1" t="str">
        <f ca="1">IFERROR(__xludf.DUMMYFUNCTION("""COMPUTED_VALUE"""),"〇")</f>
        <v>〇</v>
      </c>
      <c r="N2062" s="1"/>
      <c r="O2062" s="1"/>
      <c r="P2062" s="1"/>
    </row>
    <row r="2063" spans="1:16" ht="14.25" customHeight="1" x14ac:dyDescent="0.25">
      <c r="A2063" s="1"/>
      <c r="B2063" s="1">
        <f ca="1"/>
        <v>2051</v>
      </c>
      <c r="C2063" s="1">
        <f ca="1">IFERROR(__xludf.DUMMYFUNCTION("""COMPUTED_VALUE"""),2023)</f>
        <v>2023</v>
      </c>
      <c r="D2063" s="1">
        <f ca="1">IFERROR(__xludf.DUMMYFUNCTION("""COMPUTED_VALUE"""),276)</f>
        <v>276</v>
      </c>
      <c r="E2063" s="1" t="str">
        <f ca="1">IFERROR(__xludf.DUMMYFUNCTION("""COMPUTED_VALUE"""),"Surgical and Radiologic Anatomy")</f>
        <v>Surgical and Radiologic Anatomy</v>
      </c>
      <c r="F2063" s="1" t="str">
        <f ca="1">IFERROR(__xludf.DUMMYFUNCTION("""COMPUTED_VALUE"""),"1279-8517")</f>
        <v>1279-8517</v>
      </c>
      <c r="G2063" s="1"/>
      <c r="H2063" s="27" t="str">
        <f ca="1">IFERROR(__xludf.DUMMYFUNCTION("""COMPUTED_VALUE"""),"https://link.springer.com/journal/276")</f>
        <v>https://link.springer.com/journal/276</v>
      </c>
      <c r="I2063" s="1" t="str">
        <f ca="1">IFERROR(__xludf.DUMMYFUNCTION("""COMPUTED_VALUE"""),"Springer")</f>
        <v>Springer</v>
      </c>
      <c r="J2063" s="1">
        <f ca="1">IFERROR(__xludf.DUMMYFUNCTION("""COMPUTED_VALUE"""),2000)</f>
        <v>2000</v>
      </c>
      <c r="K2063" s="1" t="str">
        <f ca="1">IFERROR(__xludf.DUMMYFUNCTION("""COMPUTED_VALUE"""),"Medicine")</f>
        <v>Medicine</v>
      </c>
      <c r="L2063" s="1"/>
      <c r="M2063" s="1" t="str">
        <f ca="1">IFERROR(__xludf.DUMMYFUNCTION("""COMPUTED_VALUE"""),"〇")</f>
        <v>〇</v>
      </c>
      <c r="N2063" s="1"/>
      <c r="O2063" s="1"/>
      <c r="P2063" s="1"/>
    </row>
    <row r="2064" spans="1:16" ht="14.25" customHeight="1" x14ac:dyDescent="0.25">
      <c r="A2064" s="1"/>
      <c r="B2064" s="1">
        <f ca="1"/>
        <v>2052</v>
      </c>
      <c r="C2064" s="1">
        <f ca="1">IFERROR(__xludf.DUMMYFUNCTION("""COMPUTED_VALUE"""),2023)</f>
        <v>2023</v>
      </c>
      <c r="D2064" s="1">
        <f ca="1">IFERROR(__xludf.DUMMYFUNCTION("""COMPUTED_VALUE"""),464)</f>
        <v>464</v>
      </c>
      <c r="E2064" s="1" t="str">
        <f ca="1">IFERROR(__xludf.DUMMYFUNCTION("""COMPUTED_VALUE"""),"Surgical Endoscopy")</f>
        <v>Surgical Endoscopy</v>
      </c>
      <c r="F2064" s="1" t="str">
        <f ca="1">IFERROR(__xludf.DUMMYFUNCTION("""COMPUTED_VALUE"""),"1432-2218")</f>
        <v>1432-2218</v>
      </c>
      <c r="G2064" s="1" t="str">
        <f ca="1">IFERROR(__xludf.DUMMYFUNCTION("""COMPUTED_VALUE"""),"0930-2794")</f>
        <v>0930-2794</v>
      </c>
      <c r="H2064" s="27" t="str">
        <f ca="1">IFERROR(__xludf.DUMMYFUNCTION("""COMPUTED_VALUE"""),"https://link.springer.com/journal/464")</f>
        <v>https://link.springer.com/journal/464</v>
      </c>
      <c r="I2064" s="1" t="str">
        <f ca="1">IFERROR(__xludf.DUMMYFUNCTION("""COMPUTED_VALUE"""),"Springer")</f>
        <v>Springer</v>
      </c>
      <c r="J2064" s="1">
        <f ca="1">IFERROR(__xludf.DUMMYFUNCTION("""COMPUTED_VALUE"""),2000)</f>
        <v>2000</v>
      </c>
      <c r="K2064" s="1" t="str">
        <f ca="1">IFERROR(__xludf.DUMMYFUNCTION("""COMPUTED_VALUE"""),"Medicine")</f>
        <v>Medicine</v>
      </c>
      <c r="L2064" s="1" t="str">
        <f ca="1">IFERROR(__xludf.DUMMYFUNCTION("""COMPUTED_VALUE"""),"〇")</f>
        <v>〇</v>
      </c>
      <c r="M2064" s="1" t="str">
        <f ca="1">IFERROR(__xludf.DUMMYFUNCTION("""COMPUTED_VALUE"""),"〇")</f>
        <v>〇</v>
      </c>
      <c r="N2064" s="1"/>
      <c r="O2064" s="1"/>
      <c r="P2064" s="1"/>
    </row>
    <row r="2065" spans="1:16" ht="14.25" customHeight="1" x14ac:dyDescent="0.25">
      <c r="A2065" s="1"/>
      <c r="B2065" s="1">
        <f ca="1"/>
        <v>2053</v>
      </c>
      <c r="C2065" s="1">
        <f ca="1">IFERROR(__xludf.DUMMYFUNCTION("""COMPUTED_VALUE"""),2023)</f>
        <v>2023</v>
      </c>
      <c r="D2065" s="1">
        <f ca="1">IFERROR(__xludf.DUMMYFUNCTION("""COMPUTED_VALUE"""),10712)</f>
        <v>10712</v>
      </c>
      <c r="E2065" s="1" t="str">
        <f ca="1">IFERROR(__xludf.DUMMYFUNCTION("""COMPUTED_VALUE"""),"Surveys in Geophysics")</f>
        <v>Surveys in Geophysics</v>
      </c>
      <c r="F2065" s="1" t="str">
        <f ca="1">IFERROR(__xludf.DUMMYFUNCTION("""COMPUTED_VALUE"""),"1573-0956")</f>
        <v>1573-0956</v>
      </c>
      <c r="G2065" s="1" t="str">
        <f ca="1">IFERROR(__xludf.DUMMYFUNCTION("""COMPUTED_VALUE"""),"0169-3298")</f>
        <v>0169-3298</v>
      </c>
      <c r="H2065" s="27" t="str">
        <f ca="1">IFERROR(__xludf.DUMMYFUNCTION("""COMPUTED_VALUE"""),"https://link.springer.com/journal/10712")</f>
        <v>https://link.springer.com/journal/10712</v>
      </c>
      <c r="I2065" s="1" t="str">
        <f ca="1">IFERROR(__xludf.DUMMYFUNCTION("""COMPUTED_VALUE"""),"Springer")</f>
        <v>Springer</v>
      </c>
      <c r="J2065" s="1">
        <f ca="1">IFERROR(__xludf.DUMMYFUNCTION("""COMPUTED_VALUE"""),2000)</f>
        <v>2000</v>
      </c>
      <c r="K2065" s="1" t="str">
        <f ca="1">IFERROR(__xludf.DUMMYFUNCTION("""COMPUTED_VALUE"""),"Earth and Environmental Science")</f>
        <v>Earth and Environmental Science</v>
      </c>
      <c r="L2065" s="1" t="str">
        <f ca="1">IFERROR(__xludf.DUMMYFUNCTION("""COMPUTED_VALUE"""),"〇")</f>
        <v>〇</v>
      </c>
      <c r="M2065" s="1" t="str">
        <f ca="1">IFERROR(__xludf.DUMMYFUNCTION("""COMPUTED_VALUE"""),"〇")</f>
        <v>〇</v>
      </c>
      <c r="N2065" s="1"/>
      <c r="O2065" s="1"/>
      <c r="P2065" s="1"/>
    </row>
    <row r="2066" spans="1:16" ht="14.25" customHeight="1" x14ac:dyDescent="0.25">
      <c r="A2066" s="1"/>
      <c r="B2066" s="1">
        <f ca="1"/>
        <v>2054</v>
      </c>
      <c r="C2066" s="1">
        <f ca="1">IFERROR(__xludf.DUMMYFUNCTION("""COMPUTED_VALUE"""),2023)</f>
        <v>2023</v>
      </c>
      <c r="D2066" s="1">
        <f ca="1">IFERROR(__xludf.DUMMYFUNCTION("""COMPUTED_VALUE"""),550)</f>
        <v>550</v>
      </c>
      <c r="E2066" s="1" t="str">
        <f ca="1">IFERROR(__xludf.DUMMYFUNCTION("""COMPUTED_VALUE"""),"Sustainability Nexus Forum")</f>
        <v>Sustainability Nexus Forum</v>
      </c>
      <c r="F2066" s="1" t="str">
        <f ca="1">IFERROR(__xludf.DUMMYFUNCTION("""COMPUTED_VALUE"""),"2522-5995")</f>
        <v>2522-5995</v>
      </c>
      <c r="G2066" s="1" t="str">
        <f ca="1">IFERROR(__xludf.DUMMYFUNCTION("""COMPUTED_VALUE"""),"2522-5987")</f>
        <v>2522-5987</v>
      </c>
      <c r="H2066" s="27" t="str">
        <f ca="1">IFERROR(__xludf.DUMMYFUNCTION("""COMPUTED_VALUE"""),"https://link.springer.com/journal/550")</f>
        <v>https://link.springer.com/journal/550</v>
      </c>
      <c r="I2066" s="1" t="str">
        <f ca="1">IFERROR(__xludf.DUMMYFUNCTION("""COMPUTED_VALUE"""),"Springer")</f>
        <v>Springer</v>
      </c>
      <c r="J2066" s="1">
        <f ca="1">IFERROR(__xludf.DUMMYFUNCTION("""COMPUTED_VALUE"""),2007)</f>
        <v>2007</v>
      </c>
      <c r="K2066" s="1" t="str">
        <f ca="1">IFERROR(__xludf.DUMMYFUNCTION("""COMPUTED_VALUE"""),"Economics and Finance")</f>
        <v>Economics and Finance</v>
      </c>
      <c r="L2066" s="1" t="str">
        <f ca="1">IFERROR(__xludf.DUMMYFUNCTION("""COMPUTED_VALUE"""),"〇")</f>
        <v>〇</v>
      </c>
      <c r="M2066" s="1" t="str">
        <f ca="1">IFERROR(__xludf.DUMMYFUNCTION("""COMPUTED_VALUE"""),"〇")</f>
        <v>〇</v>
      </c>
      <c r="N2066" s="1"/>
      <c r="O2066" s="1"/>
      <c r="P2066" s="1"/>
    </row>
    <row r="2067" spans="1:16" ht="14.25" customHeight="1" x14ac:dyDescent="0.25">
      <c r="A2067" s="1"/>
      <c r="B2067" s="1">
        <f ca="1"/>
        <v>2055</v>
      </c>
      <c r="C2067" s="1">
        <f ca="1">IFERROR(__xludf.DUMMYFUNCTION("""COMPUTED_VALUE"""),2023)</f>
        <v>2023</v>
      </c>
      <c r="D2067" s="1">
        <f ca="1">IFERROR(__xludf.DUMMYFUNCTION("""COMPUTED_VALUE"""),11625)</f>
        <v>11625</v>
      </c>
      <c r="E2067" s="1" t="str">
        <f ca="1">IFERROR(__xludf.DUMMYFUNCTION("""COMPUTED_VALUE"""),"Sustainability Science")</f>
        <v>Sustainability Science</v>
      </c>
      <c r="F2067" s="1" t="str">
        <f ca="1">IFERROR(__xludf.DUMMYFUNCTION("""COMPUTED_VALUE"""),"1862-4057")</f>
        <v>1862-4057</v>
      </c>
      <c r="G2067" s="1" t="str">
        <f ca="1">IFERROR(__xludf.DUMMYFUNCTION("""COMPUTED_VALUE"""),"1862-4065")</f>
        <v>1862-4065</v>
      </c>
      <c r="H2067" s="27" t="str">
        <f ca="1">IFERROR(__xludf.DUMMYFUNCTION("""COMPUTED_VALUE"""),"https://link.springer.com/journal/11625")</f>
        <v>https://link.springer.com/journal/11625</v>
      </c>
      <c r="I2067" s="1" t="str">
        <f ca="1">IFERROR(__xludf.DUMMYFUNCTION("""COMPUTED_VALUE"""),"Springer")</f>
        <v>Springer</v>
      </c>
      <c r="J2067" s="1">
        <f ca="1">IFERROR(__xludf.DUMMYFUNCTION("""COMPUTED_VALUE"""),2006)</f>
        <v>2006</v>
      </c>
      <c r="K2067" s="1" t="str">
        <f ca="1">IFERROR(__xludf.DUMMYFUNCTION("""COMPUTED_VALUE"""),"Earth and Environmental Science")</f>
        <v>Earth and Environmental Science</v>
      </c>
      <c r="L2067" s="1" t="str">
        <f ca="1">IFERROR(__xludf.DUMMYFUNCTION("""COMPUTED_VALUE"""),"〇")</f>
        <v>〇</v>
      </c>
      <c r="M2067" s="1" t="str">
        <f ca="1">IFERROR(__xludf.DUMMYFUNCTION("""COMPUTED_VALUE"""),"〇")</f>
        <v>〇</v>
      </c>
      <c r="N2067" s="1" t="str">
        <f ca="1">IFERROR(__xludf.DUMMYFUNCTION("""COMPUTED_VALUE"""),"SNS7")</f>
        <v>SNS7</v>
      </c>
      <c r="O2067" s="1"/>
      <c r="P2067" s="1"/>
    </row>
    <row r="2068" spans="1:16" ht="14.25" customHeight="1" x14ac:dyDescent="0.25">
      <c r="A2068" s="1"/>
      <c r="B2068" s="1">
        <f ca="1"/>
        <v>2056</v>
      </c>
      <c r="C2068" s="1">
        <f ca="1">IFERROR(__xludf.DUMMYFUNCTION("""COMPUTED_VALUE"""),2023)</f>
        <v>2023</v>
      </c>
      <c r="D2068" s="1">
        <f ca="1">IFERROR(__xludf.DUMMYFUNCTION("""COMPUTED_VALUE"""),40899)</f>
        <v>40899</v>
      </c>
      <c r="E2068" s="1" t="str">
        <f ca="1">IFERROR(__xludf.DUMMYFUNCTION("""COMPUTED_VALUE"""),"Sustainable Water Resources Management")</f>
        <v>Sustainable Water Resources Management</v>
      </c>
      <c r="F2068" s="1" t="str">
        <f ca="1">IFERROR(__xludf.DUMMYFUNCTION("""COMPUTED_VALUE"""),"2363-5045")</f>
        <v>2363-5045</v>
      </c>
      <c r="G2068" s="1" t="str">
        <f ca="1">IFERROR(__xludf.DUMMYFUNCTION("""COMPUTED_VALUE"""),"2363-5037")</f>
        <v>2363-5037</v>
      </c>
      <c r="H2068" s="27" t="str">
        <f ca="1">IFERROR(__xludf.DUMMYFUNCTION("""COMPUTED_VALUE"""),"https://link.springer.com/journal/40899")</f>
        <v>https://link.springer.com/journal/40899</v>
      </c>
      <c r="I2068" s="1" t="str">
        <f ca="1">IFERROR(__xludf.DUMMYFUNCTION("""COMPUTED_VALUE"""),"Springer")</f>
        <v>Springer</v>
      </c>
      <c r="J2068" s="1">
        <f ca="1">IFERROR(__xludf.DUMMYFUNCTION("""COMPUTED_VALUE"""),2015)</f>
        <v>2015</v>
      </c>
      <c r="K2068" s="1" t="str">
        <f ca="1">IFERROR(__xludf.DUMMYFUNCTION("""COMPUTED_VALUE"""),"Earth and Environmental Science")</f>
        <v>Earth and Environmental Science</v>
      </c>
      <c r="L2068" s="1" t="str">
        <f ca="1">IFERROR(__xludf.DUMMYFUNCTION("""COMPUTED_VALUE"""),"〇")</f>
        <v>〇</v>
      </c>
      <c r="M2068" s="1"/>
      <c r="N2068" s="1" t="str">
        <f ca="1">IFERROR(__xludf.DUMMYFUNCTION("""COMPUTED_VALUE"""),"SNS15")</f>
        <v>SNS15</v>
      </c>
      <c r="O2068" s="1"/>
      <c r="P2068" s="1"/>
    </row>
    <row r="2069" spans="1:16" ht="14.25" customHeight="1" x14ac:dyDescent="0.25">
      <c r="A2069" s="1"/>
      <c r="B2069" s="1">
        <f ca="1"/>
        <v>2057</v>
      </c>
      <c r="C2069" s="1">
        <f ca="1">IFERROR(__xludf.DUMMYFUNCTION("""COMPUTED_VALUE"""),2023)</f>
        <v>2023</v>
      </c>
      <c r="D2069" s="1">
        <f ca="1">IFERROR(__xludf.DUMMYFUNCTION("""COMPUTED_VALUE"""),11721)</f>
        <v>11721</v>
      </c>
      <c r="E2069" s="1" t="str">
        <f ca="1">IFERROR(__xludf.DUMMYFUNCTION("""COMPUTED_VALUE"""),"Swarm Intelligence")</f>
        <v>Swarm Intelligence</v>
      </c>
      <c r="F2069" s="1" t="str">
        <f ca="1">IFERROR(__xludf.DUMMYFUNCTION("""COMPUTED_VALUE"""),"1935-3820")</f>
        <v>1935-3820</v>
      </c>
      <c r="G2069" s="1" t="str">
        <f ca="1">IFERROR(__xludf.DUMMYFUNCTION("""COMPUTED_VALUE"""),"1935-3812")</f>
        <v>1935-3812</v>
      </c>
      <c r="H2069" s="27" t="str">
        <f ca="1">IFERROR(__xludf.DUMMYFUNCTION("""COMPUTED_VALUE"""),"https://link.springer.com/journal/11721")</f>
        <v>https://link.springer.com/journal/11721</v>
      </c>
      <c r="I2069" s="1" t="str">
        <f ca="1">IFERROR(__xludf.DUMMYFUNCTION("""COMPUTED_VALUE"""),"Springer")</f>
        <v>Springer</v>
      </c>
      <c r="J2069" s="1">
        <f ca="1">IFERROR(__xludf.DUMMYFUNCTION("""COMPUTED_VALUE"""),2007)</f>
        <v>2007</v>
      </c>
      <c r="K2069" s="1" t="str">
        <f ca="1">IFERROR(__xludf.DUMMYFUNCTION("""COMPUTED_VALUE"""),"Computer Science")</f>
        <v>Computer Science</v>
      </c>
      <c r="L2069" s="1" t="str">
        <f ca="1">IFERROR(__xludf.DUMMYFUNCTION("""COMPUTED_VALUE"""),"〇")</f>
        <v>〇</v>
      </c>
      <c r="M2069" s="1" t="str">
        <f ca="1">IFERROR(__xludf.DUMMYFUNCTION("""COMPUTED_VALUE"""),"〇")</f>
        <v>〇</v>
      </c>
      <c r="N2069" s="1" t="str">
        <f ca="1">IFERROR(__xludf.DUMMYFUNCTION("""COMPUTED_VALUE"""),"SNS7")</f>
        <v>SNS7</v>
      </c>
      <c r="O2069" s="1"/>
      <c r="P2069" s="1"/>
    </row>
    <row r="2070" spans="1:16" ht="14.25" customHeight="1" x14ac:dyDescent="0.25">
      <c r="A2070" s="1"/>
      <c r="B2070" s="1">
        <f ca="1"/>
        <v>2058</v>
      </c>
      <c r="C2070" s="1">
        <f ca="1">IFERROR(__xludf.DUMMYFUNCTION("""COMPUTED_VALUE"""),2023)</f>
        <v>2023</v>
      </c>
      <c r="D2070" s="1">
        <f ca="1">IFERROR(__xludf.DUMMYFUNCTION("""COMPUTED_VALUE"""),13199)</f>
        <v>13199</v>
      </c>
      <c r="E2070" s="1" t="str">
        <f ca="1">IFERROR(__xludf.DUMMYFUNCTION("""COMPUTED_VALUE"""),"Symbiosis")</f>
        <v>Symbiosis</v>
      </c>
      <c r="F2070" s="1" t="str">
        <f ca="1">IFERROR(__xludf.DUMMYFUNCTION("""COMPUTED_VALUE"""),"1878-7665")</f>
        <v>1878-7665</v>
      </c>
      <c r="G2070" s="1" t="str">
        <f ca="1">IFERROR(__xludf.DUMMYFUNCTION("""COMPUTED_VALUE"""),"0334-5114")</f>
        <v>0334-5114</v>
      </c>
      <c r="H2070" s="27" t="str">
        <f ca="1">IFERROR(__xludf.DUMMYFUNCTION("""COMPUTED_VALUE"""),"https://link.springer.com/journal/13199")</f>
        <v>https://link.springer.com/journal/13199</v>
      </c>
      <c r="I2070" s="1" t="str">
        <f ca="1">IFERROR(__xludf.DUMMYFUNCTION("""COMPUTED_VALUE"""),"Springer")</f>
        <v>Springer</v>
      </c>
      <c r="J2070" s="1">
        <f ca="1">IFERROR(__xludf.DUMMYFUNCTION("""COMPUTED_VALUE"""),2009)</f>
        <v>2009</v>
      </c>
      <c r="K2070" s="1" t="str">
        <f ca="1">IFERROR(__xludf.DUMMYFUNCTION("""COMPUTED_VALUE"""),"Biomedical and Life Sciences")</f>
        <v>Biomedical and Life Sciences</v>
      </c>
      <c r="L2070" s="1" t="str">
        <f ca="1">IFERROR(__xludf.DUMMYFUNCTION("""COMPUTED_VALUE"""),"〇")</f>
        <v>〇</v>
      </c>
      <c r="M2070" s="1"/>
      <c r="N2070" s="1" t="str">
        <f ca="1">IFERROR(__xludf.DUMMYFUNCTION("""COMPUTED_VALUE"""),"TO9")</f>
        <v>TO9</v>
      </c>
      <c r="O2070" s="1"/>
      <c r="P2070" s="1"/>
    </row>
    <row r="2071" spans="1:16" ht="14.25" customHeight="1" x14ac:dyDescent="0.25">
      <c r="A2071" s="1"/>
      <c r="B2071" s="1">
        <f ca="1"/>
        <v>2059</v>
      </c>
      <c r="C2071" s="1">
        <f ca="1">IFERROR(__xludf.DUMMYFUNCTION("""COMPUTED_VALUE"""),2023)</f>
        <v>2023</v>
      </c>
      <c r="D2071" s="1">
        <f ca="1">IFERROR(__xludf.DUMMYFUNCTION("""COMPUTED_VALUE"""),11229)</f>
        <v>11229</v>
      </c>
      <c r="E2071" s="1" t="str">
        <f ca="1">IFERROR(__xludf.DUMMYFUNCTION("""COMPUTED_VALUE"""),"Synthese")</f>
        <v>Synthese</v>
      </c>
      <c r="F2071" s="1" t="str">
        <f ca="1">IFERROR(__xludf.DUMMYFUNCTION("""COMPUTED_VALUE"""),"1573-0964")</f>
        <v>1573-0964</v>
      </c>
      <c r="G2071" s="1"/>
      <c r="H2071" s="27" t="str">
        <f ca="1">IFERROR(__xludf.DUMMYFUNCTION("""COMPUTED_VALUE"""),"https://link.springer.com/journal/11229")</f>
        <v>https://link.springer.com/journal/11229</v>
      </c>
      <c r="I2071" s="1" t="str">
        <f ca="1">IFERROR(__xludf.DUMMYFUNCTION("""COMPUTED_VALUE"""),"Springer")</f>
        <v>Springer</v>
      </c>
      <c r="J2071" s="1">
        <f ca="1">IFERROR(__xludf.DUMMYFUNCTION("""COMPUTED_VALUE"""),2000)</f>
        <v>2000</v>
      </c>
      <c r="K2071" s="1" t="str">
        <f ca="1">IFERROR(__xludf.DUMMYFUNCTION("""COMPUTED_VALUE"""),"Education")</f>
        <v>Education</v>
      </c>
      <c r="L2071" s="1"/>
      <c r="M2071" s="1" t="str">
        <f ca="1">IFERROR(__xludf.DUMMYFUNCTION("""COMPUTED_VALUE"""),"〇")</f>
        <v>〇</v>
      </c>
      <c r="N2071" s="1"/>
      <c r="O2071" s="1"/>
      <c r="P2071" s="1"/>
    </row>
    <row r="2072" spans="1:16" ht="14.25" customHeight="1" x14ac:dyDescent="0.25">
      <c r="A2072" s="1"/>
      <c r="B2072" s="1">
        <f ca="1"/>
        <v>2060</v>
      </c>
      <c r="C2072" s="1">
        <f ca="1">IFERROR(__xludf.DUMMYFUNCTION("""COMPUTED_VALUE"""),2023)</f>
        <v>2023</v>
      </c>
      <c r="D2072" s="1">
        <f ca="1">IFERROR(__xludf.DUMMYFUNCTION("""COMPUTED_VALUE"""),11230)</f>
        <v>11230</v>
      </c>
      <c r="E2072" s="1" t="str">
        <f ca="1">IFERROR(__xludf.DUMMYFUNCTION("""COMPUTED_VALUE"""),"Systematic Parasitology")</f>
        <v>Systematic Parasitology</v>
      </c>
      <c r="F2072" s="1" t="str">
        <f ca="1">IFERROR(__xludf.DUMMYFUNCTION("""COMPUTED_VALUE"""),"1573-5192")</f>
        <v>1573-5192</v>
      </c>
      <c r="G2072" s="1" t="str">
        <f ca="1">IFERROR(__xludf.DUMMYFUNCTION("""COMPUTED_VALUE"""),"0165-5752")</f>
        <v>0165-5752</v>
      </c>
      <c r="H2072" s="27" t="str">
        <f ca="1">IFERROR(__xludf.DUMMYFUNCTION("""COMPUTED_VALUE"""),"https://link.springer.com/journal/11230")</f>
        <v>https://link.springer.com/journal/11230</v>
      </c>
      <c r="I2072" s="1" t="str">
        <f ca="1">IFERROR(__xludf.DUMMYFUNCTION("""COMPUTED_VALUE"""),"Springer")</f>
        <v>Springer</v>
      </c>
      <c r="J2072" s="1">
        <f ca="1">IFERROR(__xludf.DUMMYFUNCTION("""COMPUTED_VALUE"""),2000)</f>
        <v>2000</v>
      </c>
      <c r="K2072" s="1" t="str">
        <f ca="1">IFERROR(__xludf.DUMMYFUNCTION("""COMPUTED_VALUE"""),"Biomedical and Life Sciences")</f>
        <v>Biomedical and Life Sciences</v>
      </c>
      <c r="L2072" s="1" t="str">
        <f ca="1">IFERROR(__xludf.DUMMYFUNCTION("""COMPUTED_VALUE"""),"〇")</f>
        <v>〇</v>
      </c>
      <c r="M2072" s="1" t="str">
        <f ca="1">IFERROR(__xludf.DUMMYFUNCTION("""COMPUTED_VALUE"""),"〇")</f>
        <v>〇</v>
      </c>
      <c r="N2072" s="1"/>
      <c r="O2072" s="1"/>
      <c r="P2072" s="1"/>
    </row>
    <row r="2073" spans="1:16" ht="14.25" customHeight="1" x14ac:dyDescent="0.25">
      <c r="A2073" s="1"/>
      <c r="B2073" s="1">
        <f ca="1"/>
        <v>2061</v>
      </c>
      <c r="C2073" s="1">
        <f ca="1">IFERROR(__xludf.DUMMYFUNCTION("""COMPUTED_VALUE"""),2023)</f>
        <v>2023</v>
      </c>
      <c r="D2073" s="1">
        <f ca="1">IFERROR(__xludf.DUMMYFUNCTION("""COMPUTED_VALUE"""),11213)</f>
        <v>11213</v>
      </c>
      <c r="E2073" s="1" t="str">
        <f ca="1">IFERROR(__xludf.DUMMYFUNCTION("""COMPUTED_VALUE"""),"Systemic Practice and Action Research")</f>
        <v>Systemic Practice and Action Research</v>
      </c>
      <c r="F2073" s="1" t="str">
        <f ca="1">IFERROR(__xludf.DUMMYFUNCTION("""COMPUTED_VALUE"""),"1573-9295")</f>
        <v>1573-9295</v>
      </c>
      <c r="G2073" s="1" t="str">
        <f ca="1">IFERROR(__xludf.DUMMYFUNCTION("""COMPUTED_VALUE"""),"1094-429X")</f>
        <v>1094-429X</v>
      </c>
      <c r="H2073" s="27" t="str">
        <f ca="1">IFERROR(__xludf.DUMMYFUNCTION("""COMPUTED_VALUE"""),"https://link.springer.com/journal/11213")</f>
        <v>https://link.springer.com/journal/11213</v>
      </c>
      <c r="I2073" s="1" t="str">
        <f ca="1">IFERROR(__xludf.DUMMYFUNCTION("""COMPUTED_VALUE"""),"Springer")</f>
        <v>Springer</v>
      </c>
      <c r="J2073" s="1">
        <f ca="1">IFERROR(__xludf.DUMMYFUNCTION("""COMPUTED_VALUE"""),2000)</f>
        <v>2000</v>
      </c>
      <c r="K2073" s="1" t="str">
        <f ca="1">IFERROR(__xludf.DUMMYFUNCTION("""COMPUTED_VALUE"""),"Business and Management")</f>
        <v>Business and Management</v>
      </c>
      <c r="L2073" s="1" t="str">
        <f ca="1">IFERROR(__xludf.DUMMYFUNCTION("""COMPUTED_VALUE"""),"〇")</f>
        <v>〇</v>
      </c>
      <c r="M2073" s="1" t="str">
        <f ca="1">IFERROR(__xludf.DUMMYFUNCTION("""COMPUTED_VALUE"""),"〇")</f>
        <v>〇</v>
      </c>
      <c r="N2073" s="1"/>
      <c r="O2073" s="1"/>
      <c r="P2073" s="1"/>
    </row>
    <row r="2074" spans="1:16" ht="14.25" customHeight="1" x14ac:dyDescent="0.25">
      <c r="A2074" s="1"/>
      <c r="B2074" s="1">
        <f ca="1"/>
        <v>2062</v>
      </c>
      <c r="C2074" s="1">
        <f ca="1">IFERROR(__xludf.DUMMYFUNCTION("""COMPUTED_VALUE"""),2023)</f>
        <v>2023</v>
      </c>
      <c r="D2074" s="1">
        <f ca="1">IFERROR(__xludf.DUMMYFUNCTION("""COMPUTED_VALUE"""),43393)</f>
        <v>43393</v>
      </c>
      <c r="E2074" s="1" t="str">
        <f ca="1">IFERROR(__xludf.DUMMYFUNCTION("""COMPUTED_VALUE"""),"Systems Microbiology and Biomanufacturing")</f>
        <v>Systems Microbiology and Biomanufacturing</v>
      </c>
      <c r="F2074" s="1" t="str">
        <f ca="1">IFERROR(__xludf.DUMMYFUNCTION("""COMPUTED_VALUE"""),"2662-7663")</f>
        <v>2662-7663</v>
      </c>
      <c r="G2074" s="1" t="str">
        <f ca="1">IFERROR(__xludf.DUMMYFUNCTION("""COMPUTED_VALUE"""),"2662-7655")</f>
        <v>2662-7655</v>
      </c>
      <c r="H2074" s="27" t="str">
        <f ca="1">IFERROR(__xludf.DUMMYFUNCTION("""COMPUTED_VALUE"""),"https://link.springer.com/journal/43393")</f>
        <v>https://link.springer.com/journal/43393</v>
      </c>
      <c r="I2074" s="1" t="str">
        <f ca="1">IFERROR(__xludf.DUMMYFUNCTION("""COMPUTED_VALUE"""),"Springer")</f>
        <v>Springer</v>
      </c>
      <c r="J2074" s="1">
        <f ca="1">IFERROR(__xludf.DUMMYFUNCTION("""COMPUTED_VALUE"""),2021)</f>
        <v>2021</v>
      </c>
      <c r="K2074" s="1" t="str">
        <f ca="1">IFERROR(__xludf.DUMMYFUNCTION("""COMPUTED_VALUE"""),"Biomedical and Life Sciences")</f>
        <v>Biomedical and Life Sciences</v>
      </c>
      <c r="L2074" s="1" t="str">
        <f ca="1">IFERROR(__xludf.DUMMYFUNCTION("""COMPUTED_VALUE"""),"〇")</f>
        <v>〇</v>
      </c>
      <c r="M2074" s="1"/>
      <c r="N2074" s="1" t="str">
        <f ca="1">IFERROR(__xludf.DUMMYFUNCTION("""COMPUTED_VALUE"""),"SNS21")</f>
        <v>SNS21</v>
      </c>
      <c r="O2074" s="1"/>
      <c r="P2074" s="1"/>
    </row>
    <row r="2075" spans="1:16" ht="14.25" customHeight="1" x14ac:dyDescent="0.25">
      <c r="A2075" s="1"/>
      <c r="B2075" s="1">
        <f ca="1"/>
        <v>2063</v>
      </c>
      <c r="C2075" s="1">
        <f ca="1">IFERROR(__xludf.DUMMYFUNCTION("""COMPUTED_VALUE"""),2023)</f>
        <v>2023</v>
      </c>
      <c r="D2075" s="1">
        <f ca="1">IFERROR(__xludf.DUMMYFUNCTION("""COMPUTED_VALUE"""),11454)</f>
        <v>11454</v>
      </c>
      <c r="E2075" s="1" t="str">
        <f ca="1">IFERROR(__xludf.DUMMYFUNCTION("""COMPUTED_VALUE"""),"Technical Physics")</f>
        <v>Technical Physics</v>
      </c>
      <c r="F2075" s="1" t="str">
        <f ca="1">IFERROR(__xludf.DUMMYFUNCTION("""COMPUTED_VALUE"""),"1090-6525")</f>
        <v>1090-6525</v>
      </c>
      <c r="G2075" s="1" t="str">
        <f ca="1">IFERROR(__xludf.DUMMYFUNCTION("""COMPUTED_VALUE"""),"1063-7842")</f>
        <v>1063-7842</v>
      </c>
      <c r="H2075" s="27" t="str">
        <f ca="1">IFERROR(__xludf.DUMMYFUNCTION("""COMPUTED_VALUE"""),"https://link.springer.com/journal/11454")</f>
        <v>https://link.springer.com/journal/11454</v>
      </c>
      <c r="I2075" s="1" t="str">
        <f ca="1">IFERROR(__xludf.DUMMYFUNCTION("""COMPUTED_VALUE"""),"Pleiades Publishing")</f>
        <v>Pleiades Publishing</v>
      </c>
      <c r="J2075" s="1">
        <f ca="1">IFERROR(__xludf.DUMMYFUNCTION("""COMPUTED_VALUE"""),2000)</f>
        <v>2000</v>
      </c>
      <c r="K2075" s="1" t="str">
        <f ca="1">IFERROR(__xludf.DUMMYFUNCTION("""COMPUTED_VALUE"""),"Physics and Astronomy")</f>
        <v>Physics and Astronomy</v>
      </c>
      <c r="L2075" s="1" t="str">
        <f ca="1">IFERROR(__xludf.DUMMYFUNCTION("""COMPUTED_VALUE"""),"〇")</f>
        <v>〇</v>
      </c>
      <c r="M2075" s="1" t="str">
        <f ca="1">IFERROR(__xludf.DUMMYFUNCTION("""COMPUTED_VALUE"""),"〇")</f>
        <v>〇</v>
      </c>
      <c r="N2075" s="1"/>
      <c r="O2075" s="1"/>
      <c r="P2075" s="1"/>
    </row>
    <row r="2076" spans="1:16" ht="14.25" customHeight="1" x14ac:dyDescent="0.25">
      <c r="A2076" s="1"/>
      <c r="B2076" s="1">
        <f ca="1"/>
        <v>2064</v>
      </c>
      <c r="C2076" s="1">
        <f ca="1">IFERROR(__xludf.DUMMYFUNCTION("""COMPUTED_VALUE"""),2023)</f>
        <v>2023</v>
      </c>
      <c r="D2076" s="1">
        <f ca="1">IFERROR(__xludf.DUMMYFUNCTION("""COMPUTED_VALUE"""),11455)</f>
        <v>11455</v>
      </c>
      <c r="E2076" s="1" t="str">
        <f ca="1">IFERROR(__xludf.DUMMYFUNCTION("""COMPUTED_VALUE"""),"Technical Physics Letters")</f>
        <v>Technical Physics Letters</v>
      </c>
      <c r="F2076" s="1" t="str">
        <f ca="1">IFERROR(__xludf.DUMMYFUNCTION("""COMPUTED_VALUE"""),"1090-6533")</f>
        <v>1090-6533</v>
      </c>
      <c r="G2076" s="1" t="str">
        <f ca="1">IFERROR(__xludf.DUMMYFUNCTION("""COMPUTED_VALUE"""),"1063-7850")</f>
        <v>1063-7850</v>
      </c>
      <c r="H2076" s="27" t="str">
        <f ca="1">IFERROR(__xludf.DUMMYFUNCTION("""COMPUTED_VALUE"""),"https://link.springer.com/journal/11455")</f>
        <v>https://link.springer.com/journal/11455</v>
      </c>
      <c r="I2076" s="1" t="str">
        <f ca="1">IFERROR(__xludf.DUMMYFUNCTION("""COMPUTED_VALUE"""),"Pleiades Publishing")</f>
        <v>Pleiades Publishing</v>
      </c>
      <c r="J2076" s="1">
        <f ca="1">IFERROR(__xludf.DUMMYFUNCTION("""COMPUTED_VALUE"""),2000)</f>
        <v>2000</v>
      </c>
      <c r="K2076" s="1" t="str">
        <f ca="1">IFERROR(__xludf.DUMMYFUNCTION("""COMPUTED_VALUE"""),"Physics and Astronomy")</f>
        <v>Physics and Astronomy</v>
      </c>
      <c r="L2076" s="1" t="str">
        <f ca="1">IFERROR(__xludf.DUMMYFUNCTION("""COMPUTED_VALUE"""),"〇")</f>
        <v>〇</v>
      </c>
      <c r="M2076" s="1" t="str">
        <f ca="1">IFERROR(__xludf.DUMMYFUNCTION("""COMPUTED_VALUE"""),"〇")</f>
        <v>〇</v>
      </c>
      <c r="N2076" s="1"/>
      <c r="O2076" s="1"/>
      <c r="P2076" s="1"/>
    </row>
    <row r="2077" spans="1:16" ht="14.25" customHeight="1" x14ac:dyDescent="0.25">
      <c r="A2077" s="1"/>
      <c r="B2077" s="1">
        <f ca="1"/>
        <v>2065</v>
      </c>
      <c r="C2077" s="1">
        <f ca="1">IFERROR(__xludf.DUMMYFUNCTION("""COMPUTED_VALUE"""),2023)</f>
        <v>2023</v>
      </c>
      <c r="D2077" s="1">
        <f ca="1">IFERROR(__xludf.DUMMYFUNCTION("""COMPUTED_VALUE"""),10151)</f>
        <v>10151</v>
      </c>
      <c r="E2077" s="1" t="str">
        <f ca="1">IFERROR(__xludf.DUMMYFUNCTION("""COMPUTED_VALUE"""),"Techniques in Coloproctology")</f>
        <v>Techniques in Coloproctology</v>
      </c>
      <c r="F2077" s="1" t="str">
        <f ca="1">IFERROR(__xludf.DUMMYFUNCTION("""COMPUTED_VALUE"""),"1128-045X")</f>
        <v>1128-045X</v>
      </c>
      <c r="G2077" s="1"/>
      <c r="H2077" s="27" t="str">
        <f ca="1">IFERROR(__xludf.DUMMYFUNCTION("""COMPUTED_VALUE"""),"https://link.springer.com/journal/10151")</f>
        <v>https://link.springer.com/journal/10151</v>
      </c>
      <c r="I2077" s="1" t="str">
        <f ca="1">IFERROR(__xludf.DUMMYFUNCTION("""COMPUTED_VALUE"""),"Springer")</f>
        <v>Springer</v>
      </c>
      <c r="J2077" s="1">
        <f ca="1">IFERROR(__xludf.DUMMYFUNCTION("""COMPUTED_VALUE"""),2000)</f>
        <v>2000</v>
      </c>
      <c r="K2077" s="1" t="str">
        <f ca="1">IFERROR(__xludf.DUMMYFUNCTION("""COMPUTED_VALUE"""),"Medicine")</f>
        <v>Medicine</v>
      </c>
      <c r="L2077" s="1"/>
      <c r="M2077" s="1" t="str">
        <f ca="1">IFERROR(__xludf.DUMMYFUNCTION("""COMPUTED_VALUE"""),"〇")</f>
        <v>〇</v>
      </c>
      <c r="N2077" s="1"/>
      <c r="O2077" s="1"/>
      <c r="P2077" s="1"/>
    </row>
    <row r="2078" spans="1:16" ht="14.25" customHeight="1" x14ac:dyDescent="0.25">
      <c r="A2078" s="1"/>
      <c r="B2078" s="1">
        <f ca="1"/>
        <v>2066</v>
      </c>
      <c r="C2078" s="1">
        <f ca="1">IFERROR(__xludf.DUMMYFUNCTION("""COMPUTED_VALUE"""),2023)</f>
        <v>2023</v>
      </c>
      <c r="D2078" s="1">
        <f ca="1">IFERROR(__xludf.DUMMYFUNCTION("""COMPUTED_VALUE"""),40866)</f>
        <v>40866</v>
      </c>
      <c r="E2078" s="1" t="str">
        <f ca="1">IFERROR(__xludf.DUMMYFUNCTION("""COMPUTED_VALUE"""),"Smart Grids and Sustainable Energy")</f>
        <v>Smart Grids and Sustainable Energy</v>
      </c>
      <c r="F2078" s="1" t="str">
        <f ca="1">IFERROR(__xludf.DUMMYFUNCTION("""COMPUTED_VALUE"""),"2731-8087")</f>
        <v>2731-8087</v>
      </c>
      <c r="G2078" s="1"/>
      <c r="H2078" s="27" t="str">
        <f ca="1">IFERROR(__xludf.DUMMYFUNCTION("""COMPUTED_VALUE"""),"https://link.springer.com/journal/40866")</f>
        <v>https://link.springer.com/journal/40866</v>
      </c>
      <c r="I2078" s="1" t="str">
        <f ca="1">IFERROR(__xludf.DUMMYFUNCTION("""COMPUTED_VALUE"""),"Springer")</f>
        <v>Springer</v>
      </c>
      <c r="J2078" s="1">
        <f ca="1">IFERROR(__xludf.DUMMYFUNCTION("""COMPUTED_VALUE"""),2016)</f>
        <v>2016</v>
      </c>
      <c r="K2078" s="1" t="str">
        <f ca="1">IFERROR(__xludf.DUMMYFUNCTION("""COMPUTED_VALUE"""),"Energy")</f>
        <v>Energy</v>
      </c>
      <c r="L2078" s="1"/>
      <c r="M2078" s="1"/>
      <c r="N2078" s="1" t="str">
        <f ca="1">IFERROR(__xludf.DUMMYFUNCTION("""COMPUTED_VALUE"""),"SNS16")</f>
        <v>SNS16</v>
      </c>
      <c r="O2078" s="1"/>
      <c r="P2078" s="1"/>
    </row>
    <row r="2079" spans="1:16" ht="14.25" customHeight="1" x14ac:dyDescent="0.25">
      <c r="A2079" s="1"/>
      <c r="B2079" s="1">
        <f ca="1"/>
        <v>2067</v>
      </c>
      <c r="C2079" s="1">
        <f ca="1">IFERROR(__xludf.DUMMYFUNCTION("""COMPUTED_VALUE"""),2023)</f>
        <v>2023</v>
      </c>
      <c r="D2079" s="1">
        <f ca="1">IFERROR(__xludf.DUMMYFUNCTION("""COMPUTED_VALUE"""),10758)</f>
        <v>10758</v>
      </c>
      <c r="E2079" s="1" t="str">
        <f ca="1">IFERROR(__xludf.DUMMYFUNCTION("""COMPUTED_VALUE"""),"Technology, Knowledge and Learning")</f>
        <v>Technology, Knowledge and Learning</v>
      </c>
      <c r="F2079" s="1" t="str">
        <f ca="1">IFERROR(__xludf.DUMMYFUNCTION("""COMPUTED_VALUE"""),"2211-1670")</f>
        <v>2211-1670</v>
      </c>
      <c r="G2079" s="1" t="str">
        <f ca="1">IFERROR(__xludf.DUMMYFUNCTION("""COMPUTED_VALUE"""),"2211-1662")</f>
        <v>2211-1662</v>
      </c>
      <c r="H2079" s="27" t="str">
        <f ca="1">IFERROR(__xludf.DUMMYFUNCTION("""COMPUTED_VALUE"""),"https://link.springer.com/journal/10758")</f>
        <v>https://link.springer.com/journal/10758</v>
      </c>
      <c r="I2079" s="1" t="str">
        <f ca="1">IFERROR(__xludf.DUMMYFUNCTION("""COMPUTED_VALUE"""),"Springer")</f>
        <v>Springer</v>
      </c>
      <c r="J2079" s="1">
        <f ca="1">IFERROR(__xludf.DUMMYFUNCTION("""COMPUTED_VALUE"""),2000)</f>
        <v>2000</v>
      </c>
      <c r="K2079" s="1" t="str">
        <f ca="1">IFERROR(__xludf.DUMMYFUNCTION("""COMPUTED_VALUE"""),"Education")</f>
        <v>Education</v>
      </c>
      <c r="L2079" s="1" t="str">
        <f ca="1">IFERROR(__xludf.DUMMYFUNCTION("""COMPUTED_VALUE"""),"〇")</f>
        <v>〇</v>
      </c>
      <c r="M2079" s="1" t="str">
        <f ca="1">IFERROR(__xludf.DUMMYFUNCTION("""COMPUTED_VALUE"""),"〇")</f>
        <v>〇</v>
      </c>
      <c r="N2079" s="1"/>
      <c r="O2079" s="1"/>
      <c r="P2079" s="1"/>
    </row>
    <row r="2080" spans="1:16" ht="14.25" customHeight="1" x14ac:dyDescent="0.25">
      <c r="A2080" s="1"/>
      <c r="B2080" s="1">
        <f ca="1"/>
        <v>2068</v>
      </c>
      <c r="C2080" s="1">
        <f ca="1">IFERROR(__xludf.DUMMYFUNCTION("""COMPUTED_VALUE"""),2023)</f>
        <v>2023</v>
      </c>
      <c r="D2080" s="1">
        <f ca="1">IFERROR(__xludf.DUMMYFUNCTION("""COMPUTED_VALUE"""),11528)</f>
        <v>11528</v>
      </c>
      <c r="E2080" s="1" t="str">
        <f ca="1">IFERROR(__xludf.DUMMYFUNCTION("""COMPUTED_VALUE"""),"TechTrends")</f>
        <v>TechTrends</v>
      </c>
      <c r="F2080" s="1" t="str">
        <f ca="1">IFERROR(__xludf.DUMMYFUNCTION("""COMPUTED_VALUE"""),"1559-7075")</f>
        <v>1559-7075</v>
      </c>
      <c r="G2080" s="1" t="str">
        <f ca="1">IFERROR(__xludf.DUMMYFUNCTION("""COMPUTED_VALUE"""),"8756-3894")</f>
        <v>8756-3894</v>
      </c>
      <c r="H2080" s="27" t="str">
        <f ca="1">IFERROR(__xludf.DUMMYFUNCTION("""COMPUTED_VALUE"""),"https://link.springer.com/journal/11528")</f>
        <v>https://link.springer.com/journal/11528</v>
      </c>
      <c r="I2080" s="1" t="str">
        <f ca="1">IFERROR(__xludf.DUMMYFUNCTION("""COMPUTED_VALUE"""),"Springer")</f>
        <v>Springer</v>
      </c>
      <c r="J2080" s="1">
        <f ca="1">IFERROR(__xludf.DUMMYFUNCTION("""COMPUTED_VALUE"""),2000)</f>
        <v>2000</v>
      </c>
      <c r="K2080" s="1" t="str">
        <f ca="1">IFERROR(__xludf.DUMMYFUNCTION("""COMPUTED_VALUE"""),"Education")</f>
        <v>Education</v>
      </c>
      <c r="L2080" s="1" t="str">
        <f ca="1">IFERROR(__xludf.DUMMYFUNCTION("""COMPUTED_VALUE"""),"〇")</f>
        <v>〇</v>
      </c>
      <c r="M2080" s="1" t="str">
        <f ca="1">IFERROR(__xludf.DUMMYFUNCTION("""COMPUTED_VALUE"""),"〇")</f>
        <v>〇</v>
      </c>
      <c r="N2080" s="1"/>
      <c r="O2080" s="1"/>
      <c r="P2080" s="1"/>
    </row>
    <row r="2081" spans="1:16" ht="14.25" customHeight="1" x14ac:dyDescent="0.25">
      <c r="A2081" s="1"/>
      <c r="B2081" s="1">
        <f ca="1"/>
        <v>2069</v>
      </c>
      <c r="C2081" s="1">
        <f ca="1">IFERROR(__xludf.DUMMYFUNCTION("""COMPUTED_VALUE"""),2023)</f>
        <v>2023</v>
      </c>
      <c r="D2081" s="1">
        <f ca="1">IFERROR(__xludf.DUMMYFUNCTION("""COMPUTED_VALUE"""),11235)</f>
        <v>11235</v>
      </c>
      <c r="E2081" s="1" t="str">
        <f ca="1">IFERROR(__xludf.DUMMYFUNCTION("""COMPUTED_VALUE"""),"Telecommunication Systems")</f>
        <v>Telecommunication Systems</v>
      </c>
      <c r="F2081" s="1" t="str">
        <f ca="1">IFERROR(__xludf.DUMMYFUNCTION("""COMPUTED_VALUE"""),"1572-9451")</f>
        <v>1572-9451</v>
      </c>
      <c r="G2081" s="1" t="str">
        <f ca="1">IFERROR(__xludf.DUMMYFUNCTION("""COMPUTED_VALUE"""),"1018-4864")</f>
        <v>1018-4864</v>
      </c>
      <c r="H2081" s="27" t="str">
        <f ca="1">IFERROR(__xludf.DUMMYFUNCTION("""COMPUTED_VALUE"""),"https://link.springer.com/journal/11235")</f>
        <v>https://link.springer.com/journal/11235</v>
      </c>
      <c r="I2081" s="1" t="str">
        <f ca="1">IFERROR(__xludf.DUMMYFUNCTION("""COMPUTED_VALUE"""),"Springer")</f>
        <v>Springer</v>
      </c>
      <c r="J2081" s="1">
        <f ca="1">IFERROR(__xludf.DUMMYFUNCTION("""COMPUTED_VALUE"""),2000)</f>
        <v>2000</v>
      </c>
      <c r="K2081" s="1" t="str">
        <f ca="1">IFERROR(__xludf.DUMMYFUNCTION("""COMPUTED_VALUE"""),"Business and Management")</f>
        <v>Business and Management</v>
      </c>
      <c r="L2081" s="1" t="str">
        <f ca="1">IFERROR(__xludf.DUMMYFUNCTION("""COMPUTED_VALUE"""),"〇")</f>
        <v>〇</v>
      </c>
      <c r="M2081" s="1" t="str">
        <f ca="1">IFERROR(__xludf.DUMMYFUNCTION("""COMPUTED_VALUE"""),"〇")</f>
        <v>〇</v>
      </c>
      <c r="N2081" s="1"/>
      <c r="O2081" s="1"/>
      <c r="P2081" s="1"/>
    </row>
    <row r="2082" spans="1:16" ht="14.25" customHeight="1" x14ac:dyDescent="0.25">
      <c r="A2082" s="1"/>
      <c r="B2082" s="1">
        <f ca="1"/>
        <v>2070</v>
      </c>
      <c r="C2082" s="1">
        <f ca="1">IFERROR(__xludf.DUMMYFUNCTION("""COMPUTED_VALUE"""),2023)</f>
        <v>2023</v>
      </c>
      <c r="D2082" s="1">
        <f ca="1">IFERROR(__xludf.DUMMYFUNCTION("""COMPUTED_VALUE"""),11233)</f>
        <v>11233</v>
      </c>
      <c r="E2082" s="1" t="str">
        <f ca="1">IFERROR(__xludf.DUMMYFUNCTION("""COMPUTED_VALUE"""),"Tertiary Education and Management")</f>
        <v>Tertiary Education and Management</v>
      </c>
      <c r="F2082" s="1" t="str">
        <f ca="1">IFERROR(__xludf.DUMMYFUNCTION("""COMPUTED_VALUE"""),"1573-1936")</f>
        <v>1573-1936</v>
      </c>
      <c r="G2082" s="1" t="str">
        <f ca="1">IFERROR(__xludf.DUMMYFUNCTION("""COMPUTED_VALUE"""),"1358-3883")</f>
        <v>1358-3883</v>
      </c>
      <c r="H2082" s="27" t="str">
        <f ca="1">IFERROR(__xludf.DUMMYFUNCTION("""COMPUTED_VALUE"""),"https://link.springer.com/journal/11233")</f>
        <v>https://link.springer.com/journal/11233</v>
      </c>
      <c r="I2082" s="1" t="str">
        <f ca="1">IFERROR(__xludf.DUMMYFUNCTION("""COMPUTED_VALUE"""),"Springer")</f>
        <v>Springer</v>
      </c>
      <c r="J2082" s="1">
        <f ca="1">IFERROR(__xludf.DUMMYFUNCTION("""COMPUTED_VALUE"""),2000)</f>
        <v>2000</v>
      </c>
      <c r="K2082" s="1" t="str">
        <f ca="1">IFERROR(__xludf.DUMMYFUNCTION("""COMPUTED_VALUE"""),"Education")</f>
        <v>Education</v>
      </c>
      <c r="L2082" s="1" t="str">
        <f ca="1">IFERROR(__xludf.DUMMYFUNCTION("""COMPUTED_VALUE"""),"〇")</f>
        <v>〇</v>
      </c>
      <c r="M2082" s="1"/>
      <c r="N2082" s="1" t="str">
        <f ca="1">IFERROR(__xludf.DUMMYFUNCTION("""COMPUTED_VALUE"""),"TO19")</f>
        <v>TO19</v>
      </c>
      <c r="O2082" s="1"/>
      <c r="P2082" s="1"/>
    </row>
    <row r="2083" spans="1:16" ht="14.25" customHeight="1" x14ac:dyDescent="0.25">
      <c r="A2083" s="1"/>
      <c r="B2083" s="1">
        <f ca="1"/>
        <v>2071</v>
      </c>
      <c r="C2083" s="1">
        <f ca="1">IFERROR(__xludf.DUMMYFUNCTION("""COMPUTED_VALUE"""),2023)</f>
        <v>2023</v>
      </c>
      <c r="D2083" s="1">
        <f ca="1">IFERROR(__xludf.DUMMYFUNCTION("""COMPUTED_VALUE"""),11749)</f>
        <v>11749</v>
      </c>
      <c r="E2083" s="1" t="str">
        <f ca="1">IFERROR(__xludf.DUMMYFUNCTION("""COMPUTED_VALUE"""),"TEST")</f>
        <v>TEST</v>
      </c>
      <c r="F2083" s="1" t="str">
        <f ca="1">IFERROR(__xludf.DUMMYFUNCTION("""COMPUTED_VALUE"""),"1863-8260")</f>
        <v>1863-8260</v>
      </c>
      <c r="G2083" s="1" t="str">
        <f ca="1">IFERROR(__xludf.DUMMYFUNCTION("""COMPUTED_VALUE"""),"1133-0686")</f>
        <v>1133-0686</v>
      </c>
      <c r="H2083" s="27" t="str">
        <f ca="1">IFERROR(__xludf.DUMMYFUNCTION("""COMPUTED_VALUE"""),"https://link.springer.com/journal/11749")</f>
        <v>https://link.springer.com/journal/11749</v>
      </c>
      <c r="I2083" s="1" t="str">
        <f ca="1">IFERROR(__xludf.DUMMYFUNCTION("""COMPUTED_VALUE"""),"Springer")</f>
        <v>Springer</v>
      </c>
      <c r="J2083" s="1">
        <f ca="1">IFERROR(__xludf.DUMMYFUNCTION("""COMPUTED_VALUE"""),2000)</f>
        <v>2000</v>
      </c>
      <c r="K2083" s="1" t="str">
        <f ca="1">IFERROR(__xludf.DUMMYFUNCTION("""COMPUTED_VALUE"""),"Mathematics and Statistics")</f>
        <v>Mathematics and Statistics</v>
      </c>
      <c r="L2083" s="1" t="str">
        <f ca="1">IFERROR(__xludf.DUMMYFUNCTION("""COMPUTED_VALUE"""),"〇")</f>
        <v>〇</v>
      </c>
      <c r="M2083" s="1" t="str">
        <f ca="1">IFERROR(__xludf.DUMMYFUNCTION("""COMPUTED_VALUE"""),"〇")</f>
        <v>〇</v>
      </c>
      <c r="N2083" s="1" t="str">
        <f ca="1">IFERROR(__xludf.DUMMYFUNCTION("""COMPUTED_VALUE"""),"TO7")</f>
        <v>TO7</v>
      </c>
      <c r="O2083" s="1"/>
      <c r="P2083" s="1"/>
    </row>
    <row r="2084" spans="1:16" ht="14.25" customHeight="1" x14ac:dyDescent="0.25">
      <c r="A2084" s="1"/>
      <c r="B2084" s="1">
        <f ca="1"/>
        <v>2072</v>
      </c>
      <c r="C2084" s="1">
        <f ca="1">IFERROR(__xludf.DUMMYFUNCTION("""COMPUTED_VALUE"""),2023)</f>
        <v>2023</v>
      </c>
      <c r="D2084" s="1">
        <f ca="1">IFERROR(__xludf.DUMMYFUNCTION("""COMPUTED_VALUE"""),41208)</f>
        <v>41208</v>
      </c>
      <c r="E2084" s="1" t="str">
        <f ca="1">IFERROR(__xludf.DUMMYFUNCTION("""COMPUTED_VALUE"""),"Thalassas: An International Journal of Marine Sciences")</f>
        <v>Thalassas: An International Journal of Marine Sciences</v>
      </c>
      <c r="F2084" s="1" t="str">
        <f ca="1">IFERROR(__xludf.DUMMYFUNCTION("""COMPUTED_VALUE"""),"2366-1674")</f>
        <v>2366-1674</v>
      </c>
      <c r="G2084" s="1" t="str">
        <f ca="1">IFERROR(__xludf.DUMMYFUNCTION("""COMPUTED_VALUE"""),"0212-5919")</f>
        <v>0212-5919</v>
      </c>
      <c r="H2084" s="27" t="str">
        <f ca="1">IFERROR(__xludf.DUMMYFUNCTION("""COMPUTED_VALUE"""),"https://link.springer.com/journal/41208")</f>
        <v>https://link.springer.com/journal/41208</v>
      </c>
      <c r="I2084" s="1" t="str">
        <f ca="1">IFERROR(__xludf.DUMMYFUNCTION("""COMPUTED_VALUE"""),"Springer")</f>
        <v>Springer</v>
      </c>
      <c r="J2084" s="1">
        <f ca="1">IFERROR(__xludf.DUMMYFUNCTION("""COMPUTED_VALUE"""),2016)</f>
        <v>2016</v>
      </c>
      <c r="K2084" s="1" t="str">
        <f ca="1">IFERROR(__xludf.DUMMYFUNCTION("""COMPUTED_VALUE"""),"Earth and Environmental Science")</f>
        <v>Earth and Environmental Science</v>
      </c>
      <c r="L2084" s="1" t="str">
        <f ca="1">IFERROR(__xludf.DUMMYFUNCTION("""COMPUTED_VALUE"""),"〇")</f>
        <v>〇</v>
      </c>
      <c r="M2084" s="1"/>
      <c r="N2084" s="1" t="str">
        <f ca="1">IFERROR(__xludf.DUMMYFUNCTION("""COMPUTED_VALUE"""),"TO16")</f>
        <v>TO16</v>
      </c>
      <c r="O2084" s="1"/>
      <c r="P2084" s="1"/>
    </row>
    <row r="2085" spans="1:16" ht="14.25" customHeight="1" x14ac:dyDescent="0.25">
      <c r="A2085" s="1"/>
      <c r="B2085" s="1">
        <f ca="1"/>
        <v>2073</v>
      </c>
      <c r="C2085" s="1">
        <f ca="1">IFERROR(__xludf.DUMMYFUNCTION("""COMPUTED_VALUE"""),2023)</f>
        <v>2023</v>
      </c>
      <c r="D2085" s="1">
        <f ca="1">IFERROR(__xludf.DUMMYFUNCTION("""COMPUTED_VALUE"""),12248)</f>
        <v>12248</v>
      </c>
      <c r="E2085" s="1" t="str">
        <f ca="1">IFERROR(__xludf.DUMMYFUNCTION("""COMPUTED_VALUE"""),"The AAPS Journal")</f>
        <v>The AAPS Journal</v>
      </c>
      <c r="F2085" s="1" t="str">
        <f ca="1">IFERROR(__xludf.DUMMYFUNCTION("""COMPUTED_VALUE"""),"1550-7416")</f>
        <v>1550-7416</v>
      </c>
      <c r="G2085" s="1"/>
      <c r="H2085" s="27" t="str">
        <f ca="1">IFERROR(__xludf.DUMMYFUNCTION("""COMPUTED_VALUE"""),"https://link.springer.com/journal/12248")</f>
        <v>https://link.springer.com/journal/12248</v>
      </c>
      <c r="I2085" s="1" t="str">
        <f ca="1">IFERROR(__xludf.DUMMYFUNCTION("""COMPUTED_VALUE"""),"Springer")</f>
        <v>Springer</v>
      </c>
      <c r="J2085" s="1">
        <f ca="1">IFERROR(__xludf.DUMMYFUNCTION("""COMPUTED_VALUE"""),2000)</f>
        <v>2000</v>
      </c>
      <c r="K2085" s="1" t="str">
        <f ca="1">IFERROR(__xludf.DUMMYFUNCTION("""COMPUTED_VALUE"""),"Biomedical and Life Sciences")</f>
        <v>Biomedical and Life Sciences</v>
      </c>
      <c r="L2085" s="1"/>
      <c r="M2085" s="1" t="str">
        <f ca="1">IFERROR(__xludf.DUMMYFUNCTION("""COMPUTED_VALUE"""),"〇")</f>
        <v>〇</v>
      </c>
      <c r="N2085" s="1" t="str">
        <f ca="1">IFERROR(__xludf.DUMMYFUNCTION("""COMPUTED_VALUE"""),"TO8")</f>
        <v>TO8</v>
      </c>
      <c r="O2085" s="1"/>
      <c r="P2085" s="1"/>
    </row>
    <row r="2086" spans="1:16" ht="14.25" customHeight="1" x14ac:dyDescent="0.25">
      <c r="A2086" s="1"/>
      <c r="B2086" s="1">
        <f ca="1"/>
        <v>2074</v>
      </c>
      <c r="C2086" s="1">
        <f ca="1">IFERROR(__xludf.DUMMYFUNCTION("""COMPUTED_VALUE"""),2023)</f>
        <v>2023</v>
      </c>
      <c r="D2086" s="1">
        <f ca="1">IFERROR(__xludf.DUMMYFUNCTION("""COMPUTED_VALUE"""),12108)</f>
        <v>12108</v>
      </c>
      <c r="E2086" s="1" t="str">
        <f ca="1">IFERROR(__xludf.DUMMYFUNCTION("""COMPUTED_VALUE"""),"The American Sociologist")</f>
        <v>The American Sociologist</v>
      </c>
      <c r="F2086" s="1" t="str">
        <f ca="1">IFERROR(__xludf.DUMMYFUNCTION("""COMPUTED_VALUE"""),"1936-4784")</f>
        <v>1936-4784</v>
      </c>
      <c r="G2086" s="1" t="str">
        <f ca="1">IFERROR(__xludf.DUMMYFUNCTION("""COMPUTED_VALUE"""),"0003-1232")</f>
        <v>0003-1232</v>
      </c>
      <c r="H2086" s="27" t="str">
        <f ca="1">IFERROR(__xludf.DUMMYFUNCTION("""COMPUTED_VALUE"""),"https://link.springer.com/journal/12108")</f>
        <v>https://link.springer.com/journal/12108</v>
      </c>
      <c r="I2086" s="1" t="str">
        <f ca="1">IFERROR(__xludf.DUMMYFUNCTION("""COMPUTED_VALUE"""),"Springer")</f>
        <v>Springer</v>
      </c>
      <c r="J2086" s="1">
        <f ca="1">IFERROR(__xludf.DUMMYFUNCTION("""COMPUTED_VALUE"""),2000)</f>
        <v>2000</v>
      </c>
      <c r="K2086" s="1" t="str">
        <f ca="1">IFERROR(__xludf.DUMMYFUNCTION("""COMPUTED_VALUE"""),"Social Sciences")</f>
        <v>Social Sciences</v>
      </c>
      <c r="L2086" s="1" t="str">
        <f ca="1">IFERROR(__xludf.DUMMYFUNCTION("""COMPUTED_VALUE"""),"〇")</f>
        <v>〇</v>
      </c>
      <c r="M2086" s="1" t="str">
        <f ca="1">IFERROR(__xludf.DUMMYFUNCTION("""COMPUTED_VALUE"""),"〇")</f>
        <v>〇</v>
      </c>
      <c r="N2086" s="1" t="str">
        <f ca="1">IFERROR(__xludf.DUMMYFUNCTION("""COMPUTED_VALUE"""),"TO7")</f>
        <v>TO7</v>
      </c>
      <c r="O2086" s="1"/>
      <c r="P2086" s="1"/>
    </row>
    <row r="2087" spans="1:16" ht="14.25" customHeight="1" x14ac:dyDescent="0.25">
      <c r="A2087" s="1"/>
      <c r="B2087" s="1">
        <f ca="1"/>
        <v>2075</v>
      </c>
      <c r="C2087" s="1">
        <f ca="1">IFERROR(__xludf.DUMMYFUNCTION("""COMPUTED_VALUE"""),2023)</f>
        <v>2023</v>
      </c>
      <c r="D2087" s="1">
        <f ca="1">IFERROR(__xludf.DUMMYFUNCTION("""COMPUTED_VALUE"""),40616)</f>
        <v>40616</v>
      </c>
      <c r="E2087" s="1" t="str">
        <f ca="1">IFERROR(__xludf.DUMMYFUNCTION("""COMPUTED_VALUE"""),"The Analysis of Verbal Behavior")</f>
        <v>The Analysis of Verbal Behavior</v>
      </c>
      <c r="F2087" s="1" t="str">
        <f ca="1">IFERROR(__xludf.DUMMYFUNCTION("""COMPUTED_VALUE"""),"2196-8926")</f>
        <v>2196-8926</v>
      </c>
      <c r="G2087" s="1" t="str">
        <f ca="1">IFERROR(__xludf.DUMMYFUNCTION("""COMPUTED_VALUE"""),"0889-9401")</f>
        <v>0889-9401</v>
      </c>
      <c r="H2087" s="27" t="str">
        <f ca="1">IFERROR(__xludf.DUMMYFUNCTION("""COMPUTED_VALUE"""),"https://link.springer.com/journal/40616")</f>
        <v>https://link.springer.com/journal/40616</v>
      </c>
      <c r="I2087" s="1" t="str">
        <f ca="1">IFERROR(__xludf.DUMMYFUNCTION("""COMPUTED_VALUE"""),"Springer")</f>
        <v>Springer</v>
      </c>
      <c r="J2087" s="1">
        <f ca="1">IFERROR(__xludf.DUMMYFUNCTION("""COMPUTED_VALUE"""),2000)</f>
        <v>2000</v>
      </c>
      <c r="K2087" s="1" t="str">
        <f ca="1">IFERROR(__xludf.DUMMYFUNCTION("""COMPUTED_VALUE"""),"Behavioral Science and Psychology")</f>
        <v>Behavioral Science and Psychology</v>
      </c>
      <c r="L2087" s="1" t="str">
        <f ca="1">IFERROR(__xludf.DUMMYFUNCTION("""COMPUTED_VALUE"""),"〇")</f>
        <v>〇</v>
      </c>
      <c r="M2087" s="1"/>
      <c r="N2087" s="1" t="str">
        <f ca="1">IFERROR(__xludf.DUMMYFUNCTION("""COMPUTED_VALUE"""),"TO14")</f>
        <v>TO14</v>
      </c>
      <c r="O2087" s="1"/>
      <c r="P2087" s="1"/>
    </row>
    <row r="2088" spans="1:16" ht="14.25" customHeight="1" x14ac:dyDescent="0.25">
      <c r="A2088" s="1"/>
      <c r="B2088" s="1">
        <f ca="1"/>
        <v>2076</v>
      </c>
      <c r="C2088" s="1">
        <f ca="1">IFERROR(__xludf.DUMMYFUNCTION("""COMPUTED_VALUE"""),2023)</f>
        <v>2023</v>
      </c>
      <c r="D2088" s="1">
        <f ca="1">IFERROR(__xludf.DUMMYFUNCTION("""COMPUTED_VALUE"""),168)</f>
        <v>168</v>
      </c>
      <c r="E2088" s="1" t="str">
        <f ca="1">IFERROR(__xludf.DUMMYFUNCTION("""COMPUTED_VALUE"""),"The Annals of Regional Science")</f>
        <v>The Annals of Regional Science</v>
      </c>
      <c r="F2088" s="1" t="str">
        <f ca="1">IFERROR(__xludf.DUMMYFUNCTION("""COMPUTED_VALUE"""),"1432-0592")</f>
        <v>1432-0592</v>
      </c>
      <c r="G2088" s="1" t="str">
        <f ca="1">IFERROR(__xludf.DUMMYFUNCTION("""COMPUTED_VALUE"""),"0570-1864")</f>
        <v>0570-1864</v>
      </c>
      <c r="H2088" s="27" t="str">
        <f ca="1">IFERROR(__xludf.DUMMYFUNCTION("""COMPUTED_VALUE"""),"https://link.springer.com/journal/168")</f>
        <v>https://link.springer.com/journal/168</v>
      </c>
      <c r="I2088" s="1" t="str">
        <f ca="1">IFERROR(__xludf.DUMMYFUNCTION("""COMPUTED_VALUE"""),"Springer")</f>
        <v>Springer</v>
      </c>
      <c r="J2088" s="1">
        <f ca="1">IFERROR(__xludf.DUMMYFUNCTION("""COMPUTED_VALUE"""),2000)</f>
        <v>2000</v>
      </c>
      <c r="K2088" s="1" t="str">
        <f ca="1">IFERROR(__xludf.DUMMYFUNCTION("""COMPUTED_VALUE"""),"Economics and Finance")</f>
        <v>Economics and Finance</v>
      </c>
      <c r="L2088" s="1" t="str">
        <f ca="1">IFERROR(__xludf.DUMMYFUNCTION("""COMPUTED_VALUE"""),"〇")</f>
        <v>〇</v>
      </c>
      <c r="M2088" s="1" t="str">
        <f ca="1">IFERROR(__xludf.DUMMYFUNCTION("""COMPUTED_VALUE"""),"〇")</f>
        <v>〇</v>
      </c>
      <c r="N2088" s="1"/>
      <c r="O2088" s="1"/>
      <c r="P2088" s="1"/>
    </row>
    <row r="2089" spans="1:16" ht="14.25" customHeight="1" x14ac:dyDescent="0.25">
      <c r="A2089" s="1"/>
      <c r="B2089" s="1">
        <f ca="1"/>
        <v>2077</v>
      </c>
      <c r="C2089" s="1">
        <f ca="1">IFERROR(__xludf.DUMMYFUNCTION("""COMPUTED_VALUE"""),2023)</f>
        <v>2023</v>
      </c>
      <c r="D2089" s="1">
        <f ca="1">IFERROR(__xludf.DUMMYFUNCTION("""COMPUTED_VALUE"""),40299)</f>
        <v>40299</v>
      </c>
      <c r="E2089" s="1" t="str">
        <f ca="1">IFERROR(__xludf.DUMMYFUNCTION("""COMPUTED_VALUE"""),"The Asia-Pacific Education Researcher")</f>
        <v>The Asia-Pacific Education Researcher</v>
      </c>
      <c r="F2089" s="1" t="str">
        <f ca="1">IFERROR(__xludf.DUMMYFUNCTION("""COMPUTED_VALUE"""),"2243-7908")</f>
        <v>2243-7908</v>
      </c>
      <c r="G2089" s="1" t="str">
        <f ca="1">IFERROR(__xludf.DUMMYFUNCTION("""COMPUTED_VALUE"""),"0119-5646")</f>
        <v>0119-5646</v>
      </c>
      <c r="H2089" s="27" t="str">
        <f ca="1">IFERROR(__xludf.DUMMYFUNCTION("""COMPUTED_VALUE"""),"https://link.springer.com/journal/40299")</f>
        <v>https://link.springer.com/journal/40299</v>
      </c>
      <c r="I2089" s="1" t="str">
        <f ca="1">IFERROR(__xludf.DUMMYFUNCTION("""COMPUTED_VALUE"""),"Springer")</f>
        <v>Springer</v>
      </c>
      <c r="J2089" s="1">
        <f ca="1">IFERROR(__xludf.DUMMYFUNCTION("""COMPUTED_VALUE"""),2013)</f>
        <v>2013</v>
      </c>
      <c r="K2089" s="1" t="str">
        <f ca="1">IFERROR(__xludf.DUMMYFUNCTION("""COMPUTED_VALUE"""),"Education")</f>
        <v>Education</v>
      </c>
      <c r="L2089" s="1" t="str">
        <f ca="1">IFERROR(__xludf.DUMMYFUNCTION("""COMPUTED_VALUE"""),"〇")</f>
        <v>〇</v>
      </c>
      <c r="M2089" s="1"/>
      <c r="N2089" s="1" t="str">
        <f ca="1">IFERROR(__xludf.DUMMYFUNCTION("""COMPUTED_VALUE"""),"TO13")</f>
        <v>TO13</v>
      </c>
      <c r="O2089" s="1"/>
      <c r="P2089" s="1"/>
    </row>
    <row r="2090" spans="1:16" ht="14.25" customHeight="1" x14ac:dyDescent="0.25">
      <c r="A2090" s="1"/>
      <c r="B2090" s="1">
        <f ca="1"/>
        <v>2078</v>
      </c>
      <c r="C2090" s="1">
        <f ca="1">IFERROR(__xludf.DUMMYFUNCTION("""COMPUTED_VALUE"""),2023)</f>
        <v>2023</v>
      </c>
      <c r="D2090" s="1">
        <f ca="1">IFERROR(__xludf.DUMMYFUNCTION("""COMPUTED_VALUE"""),159)</f>
        <v>159</v>
      </c>
      <c r="E2090" s="1" t="str">
        <f ca="1">IFERROR(__xludf.DUMMYFUNCTION("""COMPUTED_VALUE"""),"The Astronomy and Astrophysics Review")</f>
        <v>The Astronomy and Astrophysics Review</v>
      </c>
      <c r="F2090" s="1" t="str">
        <f ca="1">IFERROR(__xludf.DUMMYFUNCTION("""COMPUTED_VALUE"""),"1432-0754")</f>
        <v>1432-0754</v>
      </c>
      <c r="G2090" s="1" t="str">
        <f ca="1">IFERROR(__xludf.DUMMYFUNCTION("""COMPUTED_VALUE"""),"0935-4956")</f>
        <v>0935-4956</v>
      </c>
      <c r="H2090" s="27" t="str">
        <f ca="1">IFERROR(__xludf.DUMMYFUNCTION("""COMPUTED_VALUE"""),"https://link.springer.com/journal/159")</f>
        <v>https://link.springer.com/journal/159</v>
      </c>
      <c r="I2090" s="1" t="str">
        <f ca="1">IFERROR(__xludf.DUMMYFUNCTION("""COMPUTED_VALUE"""),"Springer")</f>
        <v>Springer</v>
      </c>
      <c r="J2090" s="1">
        <f ca="1">IFERROR(__xludf.DUMMYFUNCTION("""COMPUTED_VALUE"""),2000)</f>
        <v>2000</v>
      </c>
      <c r="K2090" s="1" t="str">
        <f ca="1">IFERROR(__xludf.DUMMYFUNCTION("""COMPUTED_VALUE"""),"Physics and Astronomy")</f>
        <v>Physics and Astronomy</v>
      </c>
      <c r="L2090" s="1" t="str">
        <f ca="1">IFERROR(__xludf.DUMMYFUNCTION("""COMPUTED_VALUE"""),"〇")</f>
        <v>〇</v>
      </c>
      <c r="M2090" s="1" t="str">
        <f ca="1">IFERROR(__xludf.DUMMYFUNCTION("""COMPUTED_VALUE"""),"〇")</f>
        <v>〇</v>
      </c>
      <c r="N2090" s="1"/>
      <c r="O2090" s="1"/>
      <c r="P2090" s="1"/>
    </row>
    <row r="2091" spans="1:16" ht="14.25" customHeight="1" x14ac:dyDescent="0.25">
      <c r="A2091" s="1"/>
      <c r="B2091" s="1">
        <f ca="1"/>
        <v>2079</v>
      </c>
      <c r="C2091" s="1">
        <f ca="1">IFERROR(__xludf.DUMMYFUNCTION("""COMPUTED_VALUE"""),2023)</f>
        <v>2023</v>
      </c>
      <c r="D2091" s="1">
        <f ca="1">IFERROR(__xludf.DUMMYFUNCTION("""COMPUTED_VALUE"""),13384)</f>
        <v>13384</v>
      </c>
      <c r="E2091" s="1" t="str">
        <f ca="1">IFERROR(__xludf.DUMMYFUNCTION("""COMPUTED_VALUE"""),"The Australian Educational Researcher")</f>
        <v>The Australian Educational Researcher</v>
      </c>
      <c r="F2091" s="1" t="str">
        <f ca="1">IFERROR(__xludf.DUMMYFUNCTION("""COMPUTED_VALUE"""),"2210-5328")</f>
        <v>2210-5328</v>
      </c>
      <c r="G2091" s="1" t="str">
        <f ca="1">IFERROR(__xludf.DUMMYFUNCTION("""COMPUTED_VALUE"""),"0311-6999")</f>
        <v>0311-6999</v>
      </c>
      <c r="H2091" s="27" t="str">
        <f ca="1">IFERROR(__xludf.DUMMYFUNCTION("""COMPUTED_VALUE"""),"https://link.springer.com/journal/13384")</f>
        <v>https://link.springer.com/journal/13384</v>
      </c>
      <c r="I2091" s="1" t="str">
        <f ca="1">IFERROR(__xludf.DUMMYFUNCTION("""COMPUTED_VALUE"""),"Springer")</f>
        <v>Springer</v>
      </c>
      <c r="J2091" s="1">
        <f ca="1">IFERROR(__xludf.DUMMYFUNCTION("""COMPUTED_VALUE"""),2000)</f>
        <v>2000</v>
      </c>
      <c r="K2091" s="1" t="str">
        <f ca="1">IFERROR(__xludf.DUMMYFUNCTION("""COMPUTED_VALUE"""),"Education")</f>
        <v>Education</v>
      </c>
      <c r="L2091" s="1" t="str">
        <f ca="1">IFERROR(__xludf.DUMMYFUNCTION("""COMPUTED_VALUE"""),"〇")</f>
        <v>〇</v>
      </c>
      <c r="M2091" s="1"/>
      <c r="N2091" s="1" t="str">
        <f ca="1">IFERROR(__xludf.DUMMYFUNCTION("""COMPUTED_VALUE"""),"TO11")</f>
        <v>TO11</v>
      </c>
      <c r="O2091" s="1"/>
      <c r="P2091" s="1"/>
    </row>
    <row r="2092" spans="1:16" ht="14.25" customHeight="1" x14ac:dyDescent="0.25">
      <c r="A2092" s="1"/>
      <c r="B2092" s="1">
        <f ca="1"/>
        <v>2080</v>
      </c>
      <c r="C2092" s="1">
        <f ca="1">IFERROR(__xludf.DUMMYFUNCTION("""COMPUTED_VALUE"""),2023)</f>
        <v>2023</v>
      </c>
      <c r="D2092" s="1">
        <f ca="1">IFERROR(__xludf.DUMMYFUNCTION("""COMPUTED_VALUE"""),12229)</f>
        <v>12229</v>
      </c>
      <c r="E2092" s="1" t="str">
        <f ca="1">IFERROR(__xludf.DUMMYFUNCTION("""COMPUTED_VALUE"""),"The Botanical Review")</f>
        <v>The Botanical Review</v>
      </c>
      <c r="F2092" s="1" t="str">
        <f ca="1">IFERROR(__xludf.DUMMYFUNCTION("""COMPUTED_VALUE"""),"1874-9372")</f>
        <v>1874-9372</v>
      </c>
      <c r="G2092" s="1" t="str">
        <f ca="1">IFERROR(__xludf.DUMMYFUNCTION("""COMPUTED_VALUE"""),"0006-8101")</f>
        <v>0006-8101</v>
      </c>
      <c r="H2092" s="27" t="str">
        <f ca="1">IFERROR(__xludf.DUMMYFUNCTION("""COMPUTED_VALUE"""),"https://link.springer.com/journal/12229")</f>
        <v>https://link.springer.com/journal/12229</v>
      </c>
      <c r="I2092" s="1" t="str">
        <f ca="1">IFERROR(__xludf.DUMMYFUNCTION("""COMPUTED_VALUE"""),"Springer")</f>
        <v>Springer</v>
      </c>
      <c r="J2092" s="1">
        <f ca="1">IFERROR(__xludf.DUMMYFUNCTION("""COMPUTED_VALUE"""),2000)</f>
        <v>2000</v>
      </c>
      <c r="K2092" s="1" t="str">
        <f ca="1">IFERROR(__xludf.DUMMYFUNCTION("""COMPUTED_VALUE"""),"Biomedical and Life Sciences")</f>
        <v>Biomedical and Life Sciences</v>
      </c>
      <c r="L2092" s="1" t="str">
        <f ca="1">IFERROR(__xludf.DUMMYFUNCTION("""COMPUTED_VALUE"""),"〇")</f>
        <v>〇</v>
      </c>
      <c r="M2092" s="1" t="str">
        <f ca="1">IFERROR(__xludf.DUMMYFUNCTION("""COMPUTED_VALUE"""),"〇")</f>
        <v>〇</v>
      </c>
      <c r="N2092" s="1" t="str">
        <f ca="1">IFERROR(__xludf.DUMMYFUNCTION("""COMPUTED_VALUE"""),"TO8")</f>
        <v>TO8</v>
      </c>
      <c r="O2092" s="1"/>
      <c r="P2092" s="1"/>
    </row>
    <row r="2093" spans="1:16" ht="14.25" customHeight="1" x14ac:dyDescent="0.25">
      <c r="A2093" s="1"/>
      <c r="B2093" s="1">
        <f ca="1"/>
        <v>2081</v>
      </c>
      <c r="C2093" s="1">
        <f ca="1">IFERROR(__xludf.DUMMYFUNCTION("""COMPUTED_VALUE"""),2023)</f>
        <v>2023</v>
      </c>
      <c r="D2093" s="1">
        <f ca="1">IFERROR(__xludf.DUMMYFUNCTION("""COMPUTED_VALUE"""),12311)</f>
        <v>12311</v>
      </c>
      <c r="E2093" s="1" t="str">
        <f ca="1">IFERROR(__xludf.DUMMYFUNCTION("""COMPUTED_VALUE"""),"The Cerebellum")</f>
        <v>The Cerebellum</v>
      </c>
      <c r="F2093" s="1" t="str">
        <f ca="1">IFERROR(__xludf.DUMMYFUNCTION("""COMPUTED_VALUE"""),"1473-4230")</f>
        <v>1473-4230</v>
      </c>
      <c r="G2093" s="1"/>
      <c r="H2093" s="27" t="str">
        <f ca="1">IFERROR(__xludf.DUMMYFUNCTION("""COMPUTED_VALUE"""),"https://link.springer.com/journal/12311")</f>
        <v>https://link.springer.com/journal/12311</v>
      </c>
      <c r="I2093" s="1" t="str">
        <f ca="1">IFERROR(__xludf.DUMMYFUNCTION("""COMPUTED_VALUE"""),"Springer")</f>
        <v>Springer</v>
      </c>
      <c r="J2093" s="1">
        <f ca="1">IFERROR(__xludf.DUMMYFUNCTION("""COMPUTED_VALUE"""),2002)</f>
        <v>2002</v>
      </c>
      <c r="K2093" s="1" t="str">
        <f ca="1">IFERROR(__xludf.DUMMYFUNCTION("""COMPUTED_VALUE"""),"Biomedical and Life Sciences")</f>
        <v>Biomedical and Life Sciences</v>
      </c>
      <c r="L2093" s="1"/>
      <c r="M2093" s="1" t="str">
        <f ca="1">IFERROR(__xludf.DUMMYFUNCTION("""COMPUTED_VALUE"""),"〇")</f>
        <v>〇</v>
      </c>
      <c r="N2093" s="1" t="str">
        <f ca="1">IFERROR(__xludf.DUMMYFUNCTION("""COMPUTED_VALUE"""),"TO8")</f>
        <v>TO8</v>
      </c>
      <c r="O2093" s="1"/>
      <c r="P2093" s="1"/>
    </row>
    <row r="2094" spans="1:16" ht="14.25" customHeight="1" x14ac:dyDescent="0.25">
      <c r="A2094" s="1"/>
      <c r="B2094" s="1">
        <f ca="1"/>
        <v>2082</v>
      </c>
      <c r="C2094" s="1">
        <f ca="1">IFERROR(__xludf.DUMMYFUNCTION("""COMPUTED_VALUE"""),2023)</f>
        <v>2023</v>
      </c>
      <c r="D2094" s="1">
        <f ca="1">IFERROR(__xludf.DUMMYFUNCTION("""COMPUTED_VALUE"""),10198)</f>
        <v>10198</v>
      </c>
      <c r="E2094" s="1" t="str">
        <f ca="1">IFERROR(__xludf.DUMMYFUNCTION("""COMPUTED_VALUE"""),"The European Journal of Health Economics")</f>
        <v>The European Journal of Health Economics</v>
      </c>
      <c r="F2094" s="1" t="str">
        <f ca="1">IFERROR(__xludf.DUMMYFUNCTION("""COMPUTED_VALUE"""),"1618-7601")</f>
        <v>1618-7601</v>
      </c>
      <c r="G2094" s="1" t="str">
        <f ca="1">IFERROR(__xludf.DUMMYFUNCTION("""COMPUTED_VALUE"""),"1618-7598")</f>
        <v>1618-7598</v>
      </c>
      <c r="H2094" s="27" t="str">
        <f ca="1">IFERROR(__xludf.DUMMYFUNCTION("""COMPUTED_VALUE"""),"https://link.springer.com/journal/10198")</f>
        <v>https://link.springer.com/journal/10198</v>
      </c>
      <c r="I2094" s="1" t="str">
        <f ca="1">IFERROR(__xludf.DUMMYFUNCTION("""COMPUTED_VALUE"""),"Springer")</f>
        <v>Springer</v>
      </c>
      <c r="J2094" s="1">
        <f ca="1">IFERROR(__xludf.DUMMYFUNCTION("""COMPUTED_VALUE"""),2000)</f>
        <v>2000</v>
      </c>
      <c r="K2094" s="1" t="str">
        <f ca="1">IFERROR(__xludf.DUMMYFUNCTION("""COMPUTED_VALUE"""),"Medicine")</f>
        <v>Medicine</v>
      </c>
      <c r="L2094" s="1" t="str">
        <f ca="1">IFERROR(__xludf.DUMMYFUNCTION("""COMPUTED_VALUE"""),"〇")</f>
        <v>〇</v>
      </c>
      <c r="M2094" s="1" t="str">
        <f ca="1">IFERROR(__xludf.DUMMYFUNCTION("""COMPUTED_VALUE"""),"〇")</f>
        <v>〇</v>
      </c>
      <c r="N2094" s="1"/>
      <c r="O2094" s="1"/>
      <c r="P2094" s="1"/>
    </row>
    <row r="2095" spans="1:16" ht="14.25" customHeight="1" x14ac:dyDescent="0.25">
      <c r="A2095" s="1"/>
      <c r="B2095" s="1">
        <f ca="1"/>
        <v>2083</v>
      </c>
      <c r="C2095" s="1">
        <f ca="1">IFERROR(__xludf.DUMMYFUNCTION("""COMPUTED_VALUE"""),2023)</f>
        <v>2023</v>
      </c>
      <c r="D2095" s="1">
        <f ca="1">IFERROR(__xludf.DUMMYFUNCTION("""COMPUTED_VALUE"""),10050)</f>
        <v>10050</v>
      </c>
      <c r="E2095" s="1" t="str">
        <f ca="1">IFERROR(__xludf.DUMMYFUNCTION("""COMPUTED_VALUE"""),"The European Physical Journal A")</f>
        <v>The European Physical Journal A</v>
      </c>
      <c r="F2095" s="1" t="str">
        <f ca="1">IFERROR(__xludf.DUMMYFUNCTION("""COMPUTED_VALUE"""),"1434-601X")</f>
        <v>1434-601X</v>
      </c>
      <c r="G2095" s="1"/>
      <c r="H2095" s="27" t="str">
        <f ca="1">IFERROR(__xludf.DUMMYFUNCTION("""COMPUTED_VALUE"""),"https://link.springer.com/journal/10050")</f>
        <v>https://link.springer.com/journal/10050</v>
      </c>
      <c r="I2095" s="1" t="str">
        <f ca="1">IFERROR(__xludf.DUMMYFUNCTION("""COMPUTED_VALUE"""),"Springer")</f>
        <v>Springer</v>
      </c>
      <c r="J2095" s="1">
        <f ca="1">IFERROR(__xludf.DUMMYFUNCTION("""COMPUTED_VALUE"""),2000)</f>
        <v>2000</v>
      </c>
      <c r="K2095" s="1" t="str">
        <f ca="1">IFERROR(__xludf.DUMMYFUNCTION("""COMPUTED_VALUE"""),"Physics and Astronomy")</f>
        <v>Physics and Astronomy</v>
      </c>
      <c r="L2095" s="1"/>
      <c r="M2095" s="1" t="str">
        <f ca="1">IFERROR(__xludf.DUMMYFUNCTION("""COMPUTED_VALUE"""),"〇")</f>
        <v>〇</v>
      </c>
      <c r="N2095" s="1"/>
      <c r="O2095" s="1"/>
      <c r="P2095" s="1"/>
    </row>
    <row r="2096" spans="1:16" ht="14.25" customHeight="1" x14ac:dyDescent="0.25">
      <c r="A2096" s="1"/>
      <c r="B2096" s="1">
        <f ca="1"/>
        <v>2084</v>
      </c>
      <c r="C2096" s="1">
        <f ca="1">IFERROR(__xludf.DUMMYFUNCTION("""COMPUTED_VALUE"""),2023)</f>
        <v>2023</v>
      </c>
      <c r="D2096" s="1">
        <f ca="1">IFERROR(__xludf.DUMMYFUNCTION("""COMPUTED_VALUE"""),10051)</f>
        <v>10051</v>
      </c>
      <c r="E2096" s="1" t="str">
        <f ca="1">IFERROR(__xludf.DUMMYFUNCTION("""COMPUTED_VALUE"""),"The European Physical Journal B")</f>
        <v>The European Physical Journal B</v>
      </c>
      <c r="F2096" s="1" t="str">
        <f ca="1">IFERROR(__xludf.DUMMYFUNCTION("""COMPUTED_VALUE"""),"1434-6036")</f>
        <v>1434-6036</v>
      </c>
      <c r="G2096" s="1" t="str">
        <f ca="1">IFERROR(__xludf.DUMMYFUNCTION("""COMPUTED_VALUE"""),"1434-6028")</f>
        <v>1434-6028</v>
      </c>
      <c r="H2096" s="27" t="str">
        <f ca="1">IFERROR(__xludf.DUMMYFUNCTION("""COMPUTED_VALUE"""),"https://link.springer.com/journal/10051")</f>
        <v>https://link.springer.com/journal/10051</v>
      </c>
      <c r="I2096" s="1" t="str">
        <f ca="1">IFERROR(__xludf.DUMMYFUNCTION("""COMPUTED_VALUE"""),"Springer")</f>
        <v>Springer</v>
      </c>
      <c r="J2096" s="1">
        <f ca="1">IFERROR(__xludf.DUMMYFUNCTION("""COMPUTED_VALUE"""),2000)</f>
        <v>2000</v>
      </c>
      <c r="K2096" s="1" t="str">
        <f ca="1">IFERROR(__xludf.DUMMYFUNCTION("""COMPUTED_VALUE"""),"Physics and Astronomy")</f>
        <v>Physics and Astronomy</v>
      </c>
      <c r="L2096" s="1" t="str">
        <f ca="1">IFERROR(__xludf.DUMMYFUNCTION("""COMPUTED_VALUE"""),"〇")</f>
        <v>〇</v>
      </c>
      <c r="M2096" s="1" t="str">
        <f ca="1">IFERROR(__xludf.DUMMYFUNCTION("""COMPUTED_VALUE"""),"〇")</f>
        <v>〇</v>
      </c>
      <c r="N2096" s="1"/>
      <c r="O2096" s="1"/>
      <c r="P2096" s="1"/>
    </row>
    <row r="2097" spans="1:16" ht="14.25" customHeight="1" x14ac:dyDescent="0.25">
      <c r="A2097" s="1"/>
      <c r="B2097" s="1">
        <f ca="1"/>
        <v>2085</v>
      </c>
      <c r="C2097" s="1">
        <f ca="1">IFERROR(__xludf.DUMMYFUNCTION("""COMPUTED_VALUE"""),2023)</f>
        <v>2023</v>
      </c>
      <c r="D2097" s="1">
        <f ca="1">IFERROR(__xludf.DUMMYFUNCTION("""COMPUTED_VALUE"""),10053)</f>
        <v>10053</v>
      </c>
      <c r="E2097" s="1" t="str">
        <f ca="1">IFERROR(__xludf.DUMMYFUNCTION("""COMPUTED_VALUE"""),"The European Physical Journal D")</f>
        <v>The European Physical Journal D</v>
      </c>
      <c r="F2097" s="1" t="str">
        <f ca="1">IFERROR(__xludf.DUMMYFUNCTION("""COMPUTED_VALUE"""),"1434-6079")</f>
        <v>1434-6079</v>
      </c>
      <c r="G2097" s="1" t="str">
        <f ca="1">IFERROR(__xludf.DUMMYFUNCTION("""COMPUTED_VALUE"""),"1434-6060")</f>
        <v>1434-6060</v>
      </c>
      <c r="H2097" s="27" t="str">
        <f ca="1">IFERROR(__xludf.DUMMYFUNCTION("""COMPUTED_VALUE"""),"https://link.springer.com/journal/10053")</f>
        <v>https://link.springer.com/journal/10053</v>
      </c>
      <c r="I2097" s="1" t="str">
        <f ca="1">IFERROR(__xludf.DUMMYFUNCTION("""COMPUTED_VALUE"""),"Springer")</f>
        <v>Springer</v>
      </c>
      <c r="J2097" s="1">
        <f ca="1">IFERROR(__xludf.DUMMYFUNCTION("""COMPUTED_VALUE"""),2000)</f>
        <v>2000</v>
      </c>
      <c r="K2097" s="1" t="str">
        <f ca="1">IFERROR(__xludf.DUMMYFUNCTION("""COMPUTED_VALUE"""),"Physics and Astronomy")</f>
        <v>Physics and Astronomy</v>
      </c>
      <c r="L2097" s="1" t="str">
        <f ca="1">IFERROR(__xludf.DUMMYFUNCTION("""COMPUTED_VALUE"""),"〇")</f>
        <v>〇</v>
      </c>
      <c r="M2097" s="1" t="str">
        <f ca="1">IFERROR(__xludf.DUMMYFUNCTION("""COMPUTED_VALUE"""),"〇")</f>
        <v>〇</v>
      </c>
      <c r="N2097" s="1"/>
      <c r="O2097" s="1"/>
      <c r="P2097" s="1"/>
    </row>
    <row r="2098" spans="1:16" ht="14.25" customHeight="1" x14ac:dyDescent="0.25">
      <c r="A2098" s="1"/>
      <c r="B2098" s="1">
        <f ca="1"/>
        <v>2086</v>
      </c>
      <c r="C2098" s="1">
        <f ca="1">IFERROR(__xludf.DUMMYFUNCTION("""COMPUTED_VALUE"""),2023)</f>
        <v>2023</v>
      </c>
      <c r="D2098" s="1">
        <f ca="1">IFERROR(__xludf.DUMMYFUNCTION("""COMPUTED_VALUE"""),10189)</f>
        <v>10189</v>
      </c>
      <c r="E2098" s="1" t="str">
        <f ca="1">IFERROR(__xludf.DUMMYFUNCTION("""COMPUTED_VALUE"""),"The European Physical Journal E")</f>
        <v>The European Physical Journal E</v>
      </c>
      <c r="F2098" s="1" t="str">
        <f ca="1">IFERROR(__xludf.DUMMYFUNCTION("""COMPUTED_VALUE"""),"1292-895X")</f>
        <v>1292-895X</v>
      </c>
      <c r="G2098" s="1" t="str">
        <f ca="1">IFERROR(__xludf.DUMMYFUNCTION("""COMPUTED_VALUE"""),"1292-8941")</f>
        <v>1292-8941</v>
      </c>
      <c r="H2098" s="27" t="str">
        <f ca="1">IFERROR(__xludf.DUMMYFUNCTION("""COMPUTED_VALUE"""),"https://link.springer.com/journal/10189")</f>
        <v>https://link.springer.com/journal/10189</v>
      </c>
      <c r="I2098" s="1" t="str">
        <f ca="1">IFERROR(__xludf.DUMMYFUNCTION("""COMPUTED_VALUE"""),"Springer")</f>
        <v>Springer</v>
      </c>
      <c r="J2098" s="1">
        <f ca="1">IFERROR(__xludf.DUMMYFUNCTION("""COMPUTED_VALUE"""),2000)</f>
        <v>2000</v>
      </c>
      <c r="K2098" s="1" t="str">
        <f ca="1">IFERROR(__xludf.DUMMYFUNCTION("""COMPUTED_VALUE"""),"Physics and Astronomy")</f>
        <v>Physics and Astronomy</v>
      </c>
      <c r="L2098" s="1" t="str">
        <f ca="1">IFERROR(__xludf.DUMMYFUNCTION("""COMPUTED_VALUE"""),"〇")</f>
        <v>〇</v>
      </c>
      <c r="M2098" s="1" t="str">
        <f ca="1">IFERROR(__xludf.DUMMYFUNCTION("""COMPUTED_VALUE"""),"〇")</f>
        <v>〇</v>
      </c>
      <c r="N2098" s="1"/>
      <c r="O2098" s="1"/>
      <c r="P2098" s="1"/>
    </row>
    <row r="2099" spans="1:16" ht="14.25" customHeight="1" x14ac:dyDescent="0.25">
      <c r="A2099" s="1"/>
      <c r="B2099" s="1">
        <f ca="1"/>
        <v>2087</v>
      </c>
      <c r="C2099" s="1">
        <f ca="1">IFERROR(__xludf.DUMMYFUNCTION("""COMPUTED_VALUE"""),2023)</f>
        <v>2023</v>
      </c>
      <c r="D2099" s="1">
        <f ca="1">IFERROR(__xludf.DUMMYFUNCTION("""COMPUTED_VALUE"""),13129)</f>
        <v>13129</v>
      </c>
      <c r="E2099" s="1" t="str">
        <f ca="1">IFERROR(__xludf.DUMMYFUNCTION("""COMPUTED_VALUE"""),"The European Physical Journal H")</f>
        <v>The European Physical Journal H</v>
      </c>
      <c r="F2099" s="1" t="str">
        <f ca="1">IFERROR(__xludf.DUMMYFUNCTION("""COMPUTED_VALUE"""),"2102-6467")</f>
        <v>2102-6467</v>
      </c>
      <c r="G2099" s="1" t="str">
        <f ca="1">IFERROR(__xludf.DUMMYFUNCTION("""COMPUTED_VALUE"""),"2102-6459")</f>
        <v>2102-6459</v>
      </c>
      <c r="H2099" s="27" t="str">
        <f ca="1">IFERROR(__xludf.DUMMYFUNCTION("""COMPUTED_VALUE"""),"https://link.springer.com/journal/13129")</f>
        <v>https://link.springer.com/journal/13129</v>
      </c>
      <c r="I2099" s="1" t="str">
        <f ca="1">IFERROR(__xludf.DUMMYFUNCTION("""COMPUTED_VALUE"""),"Springer")</f>
        <v>Springer</v>
      </c>
      <c r="J2099" s="1">
        <f ca="1">IFERROR(__xludf.DUMMYFUNCTION("""COMPUTED_VALUE"""),2010)</f>
        <v>2010</v>
      </c>
      <c r="K2099" s="1" t="str">
        <f ca="1">IFERROR(__xludf.DUMMYFUNCTION("""COMPUTED_VALUE"""),"Physics and Astronomy")</f>
        <v>Physics and Astronomy</v>
      </c>
      <c r="L2099" s="1" t="str">
        <f ca="1">IFERROR(__xludf.DUMMYFUNCTION("""COMPUTED_VALUE"""),"〇")</f>
        <v>〇</v>
      </c>
      <c r="M2099" s="1"/>
      <c r="N2099" s="1" t="str">
        <f ca="1">IFERROR(__xludf.DUMMYFUNCTION("""COMPUTED_VALUE"""),"TO10")</f>
        <v>TO10</v>
      </c>
      <c r="O2099" s="1"/>
      <c r="P2099" s="1"/>
    </row>
    <row r="2100" spans="1:16" ht="14.25" customHeight="1" x14ac:dyDescent="0.25">
      <c r="A2100" s="1"/>
      <c r="B2100" s="1">
        <f ca="1"/>
        <v>2088</v>
      </c>
      <c r="C2100" s="1">
        <f ca="1">IFERROR(__xludf.DUMMYFUNCTION("""COMPUTED_VALUE"""),2023)</f>
        <v>2023</v>
      </c>
      <c r="D2100" s="1">
        <f ca="1">IFERROR(__xludf.DUMMYFUNCTION("""COMPUTED_VALUE"""),13360)</f>
        <v>13360</v>
      </c>
      <c r="E2100" s="1" t="str">
        <f ca="1">IFERROR(__xludf.DUMMYFUNCTION("""COMPUTED_VALUE"""),"The European Physical Journal Plus")</f>
        <v>The European Physical Journal Plus</v>
      </c>
      <c r="F2100" s="1" t="str">
        <f ca="1">IFERROR(__xludf.DUMMYFUNCTION("""COMPUTED_VALUE"""),"2190-5444")</f>
        <v>2190-5444</v>
      </c>
      <c r="G2100" s="1"/>
      <c r="H2100" s="27" t="str">
        <f ca="1">IFERROR(__xludf.DUMMYFUNCTION("""COMPUTED_VALUE"""),"https://link.springer.com/journal/13360")</f>
        <v>https://link.springer.com/journal/13360</v>
      </c>
      <c r="I2100" s="1" t="str">
        <f ca="1">IFERROR(__xludf.DUMMYFUNCTION("""COMPUTED_VALUE"""),"Springer")</f>
        <v>Springer</v>
      </c>
      <c r="J2100" s="1">
        <f ca="1">IFERROR(__xludf.DUMMYFUNCTION("""COMPUTED_VALUE"""),2011)</f>
        <v>2011</v>
      </c>
      <c r="K2100" s="1" t="str">
        <f ca="1">IFERROR(__xludf.DUMMYFUNCTION("""COMPUTED_VALUE"""),"Physics and Astronomy")</f>
        <v>Physics and Astronomy</v>
      </c>
      <c r="L2100" s="1"/>
      <c r="M2100" s="1"/>
      <c r="N2100" s="1" t="str">
        <f ca="1">IFERROR(__xludf.DUMMYFUNCTION("""COMPUTED_VALUE"""),"TO11")</f>
        <v>TO11</v>
      </c>
      <c r="O2100" s="1"/>
      <c r="P2100" s="1"/>
    </row>
    <row r="2101" spans="1:16" ht="14.25" customHeight="1" x14ac:dyDescent="0.25">
      <c r="A2101" s="1"/>
      <c r="B2101" s="1">
        <f ca="1"/>
        <v>2089</v>
      </c>
      <c r="C2101" s="1">
        <f ca="1">IFERROR(__xludf.DUMMYFUNCTION("""COMPUTED_VALUE"""),2023)</f>
        <v>2023</v>
      </c>
      <c r="D2101" s="1">
        <f ca="1">IFERROR(__xludf.DUMMYFUNCTION("""COMPUTED_VALUE"""),11734)</f>
        <v>11734</v>
      </c>
      <c r="E2101" s="1" t="str">
        <f ca="1">IFERROR(__xludf.DUMMYFUNCTION("""COMPUTED_VALUE"""),"The European Physical Journal Special Topics")</f>
        <v>The European Physical Journal Special Topics</v>
      </c>
      <c r="F2101" s="1" t="str">
        <f ca="1">IFERROR(__xludf.DUMMYFUNCTION("""COMPUTED_VALUE"""),"1951-6401")</f>
        <v>1951-6401</v>
      </c>
      <c r="G2101" s="1" t="str">
        <f ca="1">IFERROR(__xludf.DUMMYFUNCTION("""COMPUTED_VALUE"""),"1951-6355")</f>
        <v>1951-6355</v>
      </c>
      <c r="H2101" s="27" t="str">
        <f ca="1">IFERROR(__xludf.DUMMYFUNCTION("""COMPUTED_VALUE"""),"https://link.springer.com/journal/11734")</f>
        <v>https://link.springer.com/journal/11734</v>
      </c>
      <c r="I2101" s="1" t="str">
        <f ca="1">IFERROR(__xludf.DUMMYFUNCTION("""COMPUTED_VALUE"""),"Springer")</f>
        <v>Springer</v>
      </c>
      <c r="J2101" s="1">
        <f ca="1">IFERROR(__xludf.DUMMYFUNCTION("""COMPUTED_VALUE"""),2007)</f>
        <v>2007</v>
      </c>
      <c r="K2101" s="1" t="str">
        <f ca="1">IFERROR(__xludf.DUMMYFUNCTION("""COMPUTED_VALUE"""),"Physics and Astronomy")</f>
        <v>Physics and Astronomy</v>
      </c>
      <c r="L2101" s="1" t="str">
        <f ca="1">IFERROR(__xludf.DUMMYFUNCTION("""COMPUTED_VALUE"""),"〇")</f>
        <v>〇</v>
      </c>
      <c r="M2101" s="1" t="str">
        <f ca="1">IFERROR(__xludf.DUMMYFUNCTION("""COMPUTED_VALUE"""),"〇")</f>
        <v>〇</v>
      </c>
      <c r="N2101" s="1" t="str">
        <f ca="1">IFERROR(__xludf.DUMMYFUNCTION("""COMPUTED_VALUE"""),"TO7")</f>
        <v>TO7</v>
      </c>
      <c r="O2101" s="1"/>
      <c r="P2101" s="1"/>
    </row>
    <row r="2102" spans="1:16" ht="14.25" customHeight="1" x14ac:dyDescent="0.25">
      <c r="A2102" s="1"/>
      <c r="B2102" s="1">
        <f ca="1"/>
        <v>2090</v>
      </c>
      <c r="C2102" s="1">
        <f ca="1">IFERROR(__xludf.DUMMYFUNCTION("""COMPUTED_VALUE"""),2023)</f>
        <v>2023</v>
      </c>
      <c r="D2102" s="1">
        <f ca="1">IFERROR(__xludf.DUMMYFUNCTION("""COMPUTED_VALUE"""),41027)</f>
        <v>41027</v>
      </c>
      <c r="E2102" s="1" t="str">
        <f ca="1">IFERROR(__xludf.DUMMYFUNCTION("""COMPUTED_VALUE"""),"The Indian Journal of Labour Economics")</f>
        <v>The Indian Journal of Labour Economics</v>
      </c>
      <c r="F2102" s="1" t="str">
        <f ca="1">IFERROR(__xludf.DUMMYFUNCTION("""COMPUTED_VALUE"""),"0019-5308")</f>
        <v>0019-5308</v>
      </c>
      <c r="G2102" s="1" t="str">
        <f ca="1">IFERROR(__xludf.DUMMYFUNCTION("""COMPUTED_VALUE"""),"0971-7927")</f>
        <v>0971-7927</v>
      </c>
      <c r="H2102" s="27" t="str">
        <f ca="1">IFERROR(__xludf.DUMMYFUNCTION("""COMPUTED_VALUE"""),"https://link.springer.com/journal/41027")</f>
        <v>https://link.springer.com/journal/41027</v>
      </c>
      <c r="I2102" s="1" t="str">
        <f ca="1">IFERROR(__xludf.DUMMYFUNCTION("""COMPUTED_VALUE"""),"Springer")</f>
        <v>Springer</v>
      </c>
      <c r="J2102" s="1">
        <f ca="1">IFERROR(__xludf.DUMMYFUNCTION("""COMPUTED_VALUE"""),2015)</f>
        <v>2015</v>
      </c>
      <c r="K2102" s="1" t="str">
        <f ca="1">IFERROR(__xludf.DUMMYFUNCTION("""COMPUTED_VALUE"""),"Economics and Finance")</f>
        <v>Economics and Finance</v>
      </c>
      <c r="L2102" s="1" t="str">
        <f ca="1">IFERROR(__xludf.DUMMYFUNCTION("""COMPUTED_VALUE"""),"〇")</f>
        <v>〇</v>
      </c>
      <c r="M2102" s="1"/>
      <c r="N2102" s="1" t="str">
        <f ca="1">IFERROR(__xludf.DUMMYFUNCTION("""COMPUTED_VALUE"""),"TO15")</f>
        <v>TO15</v>
      </c>
      <c r="O2102" s="1"/>
      <c r="P2102" s="1"/>
    </row>
    <row r="2103" spans="1:16" ht="14.25" customHeight="1" x14ac:dyDescent="0.25">
      <c r="A2103" s="1"/>
      <c r="B2103" s="1">
        <f ca="1"/>
        <v>2091</v>
      </c>
      <c r="C2103" s="1">
        <f ca="1">IFERROR(__xludf.DUMMYFUNCTION("""COMPUTED_VALUE"""),2023)</f>
        <v>2023</v>
      </c>
      <c r="D2103" s="1">
        <f ca="1">IFERROR(__xludf.DUMMYFUNCTION("""COMPUTED_VALUE"""),170)</f>
        <v>170</v>
      </c>
      <c r="E2103" s="1" t="str">
        <f ca="1">IFERROR(__xludf.DUMMYFUNCTION("""COMPUTED_VALUE"""),"The International Journal of Advanced Manufacturing Technology")</f>
        <v>The International Journal of Advanced Manufacturing Technology</v>
      </c>
      <c r="F2103" s="1" t="str">
        <f ca="1">IFERROR(__xludf.DUMMYFUNCTION("""COMPUTED_VALUE"""),"1433-3015")</f>
        <v>1433-3015</v>
      </c>
      <c r="G2103" s="1" t="str">
        <f ca="1">IFERROR(__xludf.DUMMYFUNCTION("""COMPUTED_VALUE"""),"0268-3768")</f>
        <v>0268-3768</v>
      </c>
      <c r="H2103" s="27" t="str">
        <f ca="1">IFERROR(__xludf.DUMMYFUNCTION("""COMPUTED_VALUE"""),"https://link.springer.com/journal/170")</f>
        <v>https://link.springer.com/journal/170</v>
      </c>
      <c r="I2103" s="1" t="str">
        <f ca="1">IFERROR(__xludf.DUMMYFUNCTION("""COMPUTED_VALUE"""),"Springer")</f>
        <v>Springer</v>
      </c>
      <c r="J2103" s="1">
        <f ca="1">IFERROR(__xludf.DUMMYFUNCTION("""COMPUTED_VALUE"""),2000)</f>
        <v>2000</v>
      </c>
      <c r="K2103" s="1" t="str">
        <f ca="1">IFERROR(__xludf.DUMMYFUNCTION("""COMPUTED_VALUE"""),"Engineering")</f>
        <v>Engineering</v>
      </c>
      <c r="L2103" s="1" t="str">
        <f ca="1">IFERROR(__xludf.DUMMYFUNCTION("""COMPUTED_VALUE"""),"〇")</f>
        <v>〇</v>
      </c>
      <c r="M2103" s="1" t="str">
        <f ca="1">IFERROR(__xludf.DUMMYFUNCTION("""COMPUTED_VALUE"""),"〇")</f>
        <v>〇</v>
      </c>
      <c r="N2103" s="1"/>
      <c r="O2103" s="1"/>
      <c r="P2103" s="1"/>
    </row>
    <row r="2104" spans="1:16" ht="14.25" customHeight="1" x14ac:dyDescent="0.25">
      <c r="A2104" s="1"/>
      <c r="B2104" s="1">
        <f ca="1"/>
        <v>2092</v>
      </c>
      <c r="C2104" s="1">
        <f ca="1">IFERROR(__xludf.DUMMYFUNCTION("""COMPUTED_VALUE"""),2023)</f>
        <v>2023</v>
      </c>
      <c r="D2104" s="1">
        <f ca="1">IFERROR(__xludf.DUMMYFUNCTION("""COMPUTED_VALUE"""),10554)</f>
        <v>10554</v>
      </c>
      <c r="E2104" s="1" t="str">
        <f ca="1">IFERROR(__xludf.DUMMYFUNCTION("""COMPUTED_VALUE"""),"The International Journal of Cardiovascular Imaging")</f>
        <v>The International Journal of Cardiovascular Imaging</v>
      </c>
      <c r="F2104" s="1" t="str">
        <f ca="1">IFERROR(__xludf.DUMMYFUNCTION("""COMPUTED_VALUE"""),"1573-0743")</f>
        <v>1573-0743</v>
      </c>
      <c r="G2104" s="1"/>
      <c r="H2104" s="27" t="str">
        <f ca="1">IFERROR(__xludf.DUMMYFUNCTION("""COMPUTED_VALUE"""),"https://link.springer.com/journal/10554")</f>
        <v>https://link.springer.com/journal/10554</v>
      </c>
      <c r="I2104" s="1" t="str">
        <f ca="1">IFERROR(__xludf.DUMMYFUNCTION("""COMPUTED_VALUE"""),"Springer")</f>
        <v>Springer</v>
      </c>
      <c r="J2104" s="1">
        <f ca="1">IFERROR(__xludf.DUMMYFUNCTION("""COMPUTED_VALUE"""),2000)</f>
        <v>2000</v>
      </c>
      <c r="K2104" s="1" t="str">
        <f ca="1">IFERROR(__xludf.DUMMYFUNCTION("""COMPUTED_VALUE"""),"Medicine")</f>
        <v>Medicine</v>
      </c>
      <c r="L2104" s="1"/>
      <c r="M2104" s="1" t="str">
        <f ca="1">IFERROR(__xludf.DUMMYFUNCTION("""COMPUTED_VALUE"""),"〇")</f>
        <v>〇</v>
      </c>
      <c r="N2104" s="1"/>
      <c r="O2104" s="1"/>
      <c r="P2104" s="1"/>
    </row>
    <row r="2105" spans="1:16" ht="14.25" customHeight="1" x14ac:dyDescent="0.25">
      <c r="A2105" s="1"/>
      <c r="B2105" s="1">
        <f ca="1"/>
        <v>2093</v>
      </c>
      <c r="C2105" s="1">
        <f ca="1">IFERROR(__xludf.DUMMYFUNCTION("""COMPUTED_VALUE"""),2023)</f>
        <v>2023</v>
      </c>
      <c r="D2105" s="1">
        <f ca="1">IFERROR(__xludf.DUMMYFUNCTION("""COMPUTED_VALUE"""),11367)</f>
        <v>11367</v>
      </c>
      <c r="E2105" s="1" t="str">
        <f ca="1">IFERROR(__xludf.DUMMYFUNCTION("""COMPUTED_VALUE"""),"The International Journal of Life Cycle Assessment")</f>
        <v>The International Journal of Life Cycle Assessment</v>
      </c>
      <c r="F2105" s="1" t="str">
        <f ca="1">IFERROR(__xludf.DUMMYFUNCTION("""COMPUTED_VALUE"""),"1614-7502")</f>
        <v>1614-7502</v>
      </c>
      <c r="G2105" s="1" t="str">
        <f ca="1">IFERROR(__xludf.DUMMYFUNCTION("""COMPUTED_VALUE"""),"0948-3349")</f>
        <v>0948-3349</v>
      </c>
      <c r="H2105" s="27" t="str">
        <f ca="1">IFERROR(__xludf.DUMMYFUNCTION("""COMPUTED_VALUE"""),"https://link.springer.com/journal/11367")</f>
        <v>https://link.springer.com/journal/11367</v>
      </c>
      <c r="I2105" s="1" t="str">
        <f ca="1">IFERROR(__xludf.DUMMYFUNCTION("""COMPUTED_VALUE"""),"Springer")</f>
        <v>Springer</v>
      </c>
      <c r="J2105" s="1">
        <f ca="1">IFERROR(__xludf.DUMMYFUNCTION("""COMPUTED_VALUE"""),2000)</f>
        <v>2000</v>
      </c>
      <c r="K2105" s="1" t="str">
        <f ca="1">IFERROR(__xludf.DUMMYFUNCTION("""COMPUTED_VALUE"""),"Earth and Environmental Science")</f>
        <v>Earth and Environmental Science</v>
      </c>
      <c r="L2105" s="1" t="str">
        <f ca="1">IFERROR(__xludf.DUMMYFUNCTION("""COMPUTED_VALUE"""),"〇")</f>
        <v>〇</v>
      </c>
      <c r="M2105" s="1" t="str">
        <f ca="1">IFERROR(__xludf.DUMMYFUNCTION("""COMPUTED_VALUE"""),"〇")</f>
        <v>〇</v>
      </c>
      <c r="N2105" s="1"/>
      <c r="O2105" s="1"/>
      <c r="P2105" s="1"/>
    </row>
    <row r="2106" spans="1:16" ht="14.25" customHeight="1" x14ac:dyDescent="0.25">
      <c r="A2106" s="1"/>
      <c r="B2106" s="1">
        <f ca="1"/>
        <v>2094</v>
      </c>
      <c r="C2106" s="1">
        <f ca="1">IFERROR(__xludf.DUMMYFUNCTION("""COMPUTED_VALUE"""),2023)</f>
        <v>2023</v>
      </c>
      <c r="D2106" s="1">
        <f ca="1">IFERROR(__xludf.DUMMYFUNCTION("""COMPUTED_VALUE"""),40318)</f>
        <v>40318</v>
      </c>
      <c r="E2106" s="1" t="str">
        <f ca="1">IFERROR(__xludf.DUMMYFUNCTION("""COMPUTED_VALUE"""),"The International Sports Law Journal")</f>
        <v>The International Sports Law Journal</v>
      </c>
      <c r="F2106" s="1" t="str">
        <f ca="1">IFERROR(__xludf.DUMMYFUNCTION("""COMPUTED_VALUE"""),"2213-5154")</f>
        <v>2213-5154</v>
      </c>
      <c r="G2106" s="1" t="str">
        <f ca="1">IFERROR(__xludf.DUMMYFUNCTION("""COMPUTED_VALUE"""),"1567-7559")</f>
        <v>1567-7559</v>
      </c>
      <c r="H2106" s="27" t="str">
        <f ca="1">IFERROR(__xludf.DUMMYFUNCTION("""COMPUTED_VALUE"""),"https://link.springer.com/journal/40318")</f>
        <v>https://link.springer.com/journal/40318</v>
      </c>
      <c r="I2106" s="1" t="str">
        <f ca="1">IFERROR(__xludf.DUMMYFUNCTION("""COMPUTED_VALUE"""),"Springer")</f>
        <v>Springer</v>
      </c>
      <c r="J2106" s="1">
        <f ca="1">IFERROR(__xludf.DUMMYFUNCTION("""COMPUTED_VALUE"""),2013)</f>
        <v>2013</v>
      </c>
      <c r="K2106" s="1" t="str">
        <f ca="1">IFERROR(__xludf.DUMMYFUNCTION("""COMPUTED_VALUE"""),"Law and Criminology")</f>
        <v>Law and Criminology</v>
      </c>
      <c r="L2106" s="1" t="str">
        <f ca="1">IFERROR(__xludf.DUMMYFUNCTION("""COMPUTED_VALUE"""),"〇")</f>
        <v>〇</v>
      </c>
      <c r="M2106" s="1"/>
      <c r="N2106" s="1" t="str">
        <f ca="1">IFERROR(__xludf.DUMMYFUNCTION("""COMPUTED_VALUE"""),"TO13")</f>
        <v>TO13</v>
      </c>
      <c r="O2106" s="1"/>
      <c r="P2106" s="1"/>
    </row>
    <row r="2107" spans="1:16" ht="14.25" customHeight="1" x14ac:dyDescent="0.25">
      <c r="A2107" s="1"/>
      <c r="B2107" s="1">
        <f ca="1"/>
        <v>2095</v>
      </c>
      <c r="C2107" s="1">
        <f ca="1">IFERROR(__xludf.DUMMYFUNCTION("""COMPUTED_VALUE"""),2023)</f>
        <v>2023</v>
      </c>
      <c r="D2107" s="1">
        <f ca="1">IFERROR(__xludf.DUMMYFUNCTION("""COMPUTED_VALUE"""),42973)</f>
        <v>42973</v>
      </c>
      <c r="E2107" s="1" t="str">
        <f ca="1">IFERROR(__xludf.DUMMYFUNCTION("""COMPUTED_VALUE"""),"The Japanese Economic Review")</f>
        <v>The Japanese Economic Review</v>
      </c>
      <c r="F2107" s="1" t="str">
        <f ca="1">IFERROR(__xludf.DUMMYFUNCTION("""COMPUTED_VALUE"""),"1468-5876")</f>
        <v>1468-5876</v>
      </c>
      <c r="G2107" s="1" t="str">
        <f ca="1">IFERROR(__xludf.DUMMYFUNCTION("""COMPUTED_VALUE"""),"1352-4739")</f>
        <v>1352-4739</v>
      </c>
      <c r="H2107" s="27" t="str">
        <f ca="1">IFERROR(__xludf.DUMMYFUNCTION("""COMPUTED_VALUE"""),"https://link.springer.com/journal/42973")</f>
        <v>https://link.springer.com/journal/42973</v>
      </c>
      <c r="I2107" s="1" t="str">
        <f ca="1">IFERROR(__xludf.DUMMYFUNCTION("""COMPUTED_VALUE"""),"Springer")</f>
        <v>Springer</v>
      </c>
      <c r="J2107" s="1">
        <f ca="1">IFERROR(__xludf.DUMMYFUNCTION("""COMPUTED_VALUE"""),2000)</f>
        <v>2000</v>
      </c>
      <c r="K2107" s="1" t="str">
        <f ca="1">IFERROR(__xludf.DUMMYFUNCTION("""COMPUTED_VALUE"""),"Economics and Finance")</f>
        <v>Economics and Finance</v>
      </c>
      <c r="L2107" s="1" t="str">
        <f ca="1">IFERROR(__xludf.DUMMYFUNCTION("""COMPUTED_VALUE"""),"〇")</f>
        <v>〇</v>
      </c>
      <c r="M2107" s="1"/>
      <c r="N2107" s="1" t="str">
        <f ca="1">IFERROR(__xludf.DUMMYFUNCTION("""COMPUTED_VALUE"""),"TO20")</f>
        <v>TO20</v>
      </c>
      <c r="O2107" s="1"/>
      <c r="P2107" s="1"/>
    </row>
    <row r="2108" spans="1:16" ht="14.25" customHeight="1" x14ac:dyDescent="0.25">
      <c r="A2108" s="1"/>
      <c r="B2108" s="1">
        <f ca="1"/>
        <v>2096</v>
      </c>
      <c r="C2108" s="1">
        <f ca="1">IFERROR(__xludf.DUMMYFUNCTION("""COMPUTED_VALUE"""),2023)</f>
        <v>2023</v>
      </c>
      <c r="D2108" s="1">
        <f ca="1">IFERROR(__xludf.DUMMYFUNCTION("""COMPUTED_VALUE"""),41478)</f>
        <v>41478</v>
      </c>
      <c r="E2108" s="1" t="str">
        <f ca="1">IFERROR(__xludf.DUMMYFUNCTION("""COMPUTED_VALUE"""),"The Journal of Analysis")</f>
        <v>The Journal of Analysis</v>
      </c>
      <c r="F2108" s="1" t="str">
        <f ca="1">IFERROR(__xludf.DUMMYFUNCTION("""COMPUTED_VALUE"""),"2367-2501")</f>
        <v>2367-2501</v>
      </c>
      <c r="G2108" s="1"/>
      <c r="H2108" s="27" t="str">
        <f ca="1">IFERROR(__xludf.DUMMYFUNCTION("""COMPUTED_VALUE"""),"https://link.springer.com/journal/41478")</f>
        <v>https://link.springer.com/journal/41478</v>
      </c>
      <c r="I2108" s="1" t="str">
        <f ca="1">IFERROR(__xludf.DUMMYFUNCTION("""COMPUTED_VALUE"""),"Springer")</f>
        <v>Springer</v>
      </c>
      <c r="J2108" s="1">
        <f ca="1">IFERROR(__xludf.DUMMYFUNCTION("""COMPUTED_VALUE"""),2016)</f>
        <v>2016</v>
      </c>
      <c r="K2108" s="1" t="str">
        <f ca="1">IFERROR(__xludf.DUMMYFUNCTION("""COMPUTED_VALUE"""),"Mathematics and Statistics")</f>
        <v>Mathematics and Statistics</v>
      </c>
      <c r="L2108" s="1"/>
      <c r="M2108" s="1"/>
      <c r="N2108" s="1" t="str">
        <f ca="1">IFERROR(__xludf.DUMMYFUNCTION("""COMPUTED_VALUE"""),"TO16")</f>
        <v>TO16</v>
      </c>
      <c r="O2108" s="1"/>
      <c r="P2108" s="1"/>
    </row>
    <row r="2109" spans="1:16" ht="14.25" customHeight="1" x14ac:dyDescent="0.25">
      <c r="A2109" s="1"/>
      <c r="B2109" s="1">
        <f ca="1"/>
        <v>2097</v>
      </c>
      <c r="C2109" s="1">
        <f ca="1">IFERROR(__xludf.DUMMYFUNCTION("""COMPUTED_VALUE"""),2023)</f>
        <v>2023</v>
      </c>
      <c r="D2109" s="1">
        <f ca="1">IFERROR(__xludf.DUMMYFUNCTION("""COMPUTED_VALUE"""),11414)</f>
        <v>11414</v>
      </c>
      <c r="E2109" s="1" t="str">
        <f ca="1">IFERROR(__xludf.DUMMYFUNCTION("""COMPUTED_VALUE"""),"The Journal of Behavioral Health Services &amp; Research")</f>
        <v>The Journal of Behavioral Health Services &amp; Research</v>
      </c>
      <c r="F2109" s="1" t="str">
        <f ca="1">IFERROR(__xludf.DUMMYFUNCTION("""COMPUTED_VALUE"""),"1556-3308")</f>
        <v>1556-3308</v>
      </c>
      <c r="G2109" s="1" t="str">
        <f ca="1">IFERROR(__xludf.DUMMYFUNCTION("""COMPUTED_VALUE"""),"1094-3412")</f>
        <v>1094-3412</v>
      </c>
      <c r="H2109" s="27" t="str">
        <f ca="1">IFERROR(__xludf.DUMMYFUNCTION("""COMPUTED_VALUE"""),"https://link.springer.com/journal/11414")</f>
        <v>https://link.springer.com/journal/11414</v>
      </c>
      <c r="I2109" s="1" t="str">
        <f ca="1">IFERROR(__xludf.DUMMYFUNCTION("""COMPUTED_VALUE"""),"Springer")</f>
        <v>Springer</v>
      </c>
      <c r="J2109" s="1">
        <f ca="1">IFERROR(__xludf.DUMMYFUNCTION("""COMPUTED_VALUE"""),2000)</f>
        <v>2000</v>
      </c>
      <c r="K2109" s="1" t="str">
        <f ca="1">IFERROR(__xludf.DUMMYFUNCTION("""COMPUTED_VALUE"""),"Medicine")</f>
        <v>Medicine</v>
      </c>
      <c r="L2109" s="1" t="str">
        <f ca="1">IFERROR(__xludf.DUMMYFUNCTION("""COMPUTED_VALUE"""),"〇")</f>
        <v>〇</v>
      </c>
      <c r="M2109" s="1" t="str">
        <f ca="1">IFERROR(__xludf.DUMMYFUNCTION("""COMPUTED_VALUE"""),"〇")</f>
        <v>〇</v>
      </c>
      <c r="N2109" s="1"/>
      <c r="O2109" s="1"/>
      <c r="P2109" s="1"/>
    </row>
    <row r="2110" spans="1:16" ht="14.25" customHeight="1" x14ac:dyDescent="0.25">
      <c r="A2110" s="1"/>
      <c r="B2110" s="1">
        <f ca="1"/>
        <v>2098</v>
      </c>
      <c r="C2110" s="1">
        <f ca="1">IFERROR(__xludf.DUMMYFUNCTION("""COMPUTED_VALUE"""),2023)</f>
        <v>2023</v>
      </c>
      <c r="D2110" s="1">
        <f ca="1">IFERROR(__xludf.DUMMYFUNCTION("""COMPUTED_VALUE"""),43493)</f>
        <v>43493</v>
      </c>
      <c r="E2110" s="1" t="str">
        <f ca="1">IFERROR(__xludf.DUMMYFUNCTION("""COMPUTED_VALUE"""),"The Journal of East Asian Philosophy")</f>
        <v>The Journal of East Asian Philosophy</v>
      </c>
      <c r="F2110" s="1" t="str">
        <f ca="1">IFERROR(__xludf.DUMMYFUNCTION("""COMPUTED_VALUE"""),"2730-5414")</f>
        <v>2730-5414</v>
      </c>
      <c r="G2110" s="1" t="str">
        <f ca="1">IFERROR(__xludf.DUMMYFUNCTION("""COMPUTED_VALUE"""),"2730-5406")</f>
        <v>2730-5406</v>
      </c>
      <c r="H2110" s="27" t="str">
        <f ca="1">IFERROR(__xludf.DUMMYFUNCTION("""COMPUTED_VALUE"""),"https://link.springer.com/journal/43493")</f>
        <v>https://link.springer.com/journal/43493</v>
      </c>
      <c r="I2110" s="1" t="str">
        <f ca="1">IFERROR(__xludf.DUMMYFUNCTION("""COMPUTED_VALUE"""),"Springer")</f>
        <v>Springer</v>
      </c>
      <c r="J2110" s="1">
        <f ca="1">IFERROR(__xludf.DUMMYFUNCTION("""COMPUTED_VALUE"""),2021)</f>
        <v>2021</v>
      </c>
      <c r="K2110" s="1" t="str">
        <f ca="1">IFERROR(__xludf.DUMMYFUNCTION("""COMPUTED_VALUE"""),"Education")</f>
        <v>Education</v>
      </c>
      <c r="L2110" s="1" t="str">
        <f ca="1">IFERROR(__xludf.DUMMYFUNCTION("""COMPUTED_VALUE"""),"〇")</f>
        <v>〇</v>
      </c>
      <c r="M2110" s="1"/>
      <c r="N2110" s="1" t="str">
        <f ca="1">IFERROR(__xludf.DUMMYFUNCTION("""COMPUTED_VALUE"""),"SNS21")</f>
        <v>SNS21</v>
      </c>
      <c r="O2110" s="1"/>
      <c r="P2110" s="1"/>
    </row>
    <row r="2111" spans="1:16" ht="14.25" customHeight="1" x14ac:dyDescent="0.25">
      <c r="A2111" s="1"/>
      <c r="B2111" s="1">
        <f ca="1"/>
        <v>2099</v>
      </c>
      <c r="C2111" s="1">
        <f ca="1">IFERROR(__xludf.DUMMYFUNCTION("""COMPUTED_VALUE"""),2023)</f>
        <v>2023</v>
      </c>
      <c r="D2111" s="1">
        <f ca="1">IFERROR(__xludf.DUMMYFUNCTION("""COMPUTED_VALUE"""),10888)</f>
        <v>10888</v>
      </c>
      <c r="E2111" s="1" t="str">
        <f ca="1">IFERROR(__xludf.DUMMYFUNCTION("""COMPUTED_VALUE"""),"The Journal of Economic Inequality")</f>
        <v>The Journal of Economic Inequality</v>
      </c>
      <c r="F2111" s="1" t="str">
        <f ca="1">IFERROR(__xludf.DUMMYFUNCTION("""COMPUTED_VALUE"""),"1573-8701")</f>
        <v>1573-8701</v>
      </c>
      <c r="G2111" s="1" t="str">
        <f ca="1">IFERROR(__xludf.DUMMYFUNCTION("""COMPUTED_VALUE"""),"1569-1721")</f>
        <v>1569-1721</v>
      </c>
      <c r="H2111" s="27" t="str">
        <f ca="1">IFERROR(__xludf.DUMMYFUNCTION("""COMPUTED_VALUE"""),"https://link.springer.com/journal/10888")</f>
        <v>https://link.springer.com/journal/10888</v>
      </c>
      <c r="I2111" s="1" t="str">
        <f ca="1">IFERROR(__xludf.DUMMYFUNCTION("""COMPUTED_VALUE"""),"Springer")</f>
        <v>Springer</v>
      </c>
      <c r="J2111" s="1">
        <f ca="1">IFERROR(__xludf.DUMMYFUNCTION("""COMPUTED_VALUE"""),2003)</f>
        <v>2003</v>
      </c>
      <c r="K2111" s="1" t="str">
        <f ca="1">IFERROR(__xludf.DUMMYFUNCTION("""COMPUTED_VALUE"""),"Economics and Finance")</f>
        <v>Economics and Finance</v>
      </c>
      <c r="L2111" s="1" t="str">
        <f ca="1">IFERROR(__xludf.DUMMYFUNCTION("""COMPUTED_VALUE"""),"〇")</f>
        <v>〇</v>
      </c>
      <c r="M2111" s="1" t="str">
        <f ca="1">IFERROR(__xludf.DUMMYFUNCTION("""COMPUTED_VALUE"""),"〇")</f>
        <v>〇</v>
      </c>
      <c r="N2111" s="1"/>
      <c r="O2111" s="1"/>
      <c r="P2111" s="1"/>
    </row>
    <row r="2112" spans="1:16" ht="14.25" customHeight="1" x14ac:dyDescent="0.25">
      <c r="A2112" s="1"/>
      <c r="B2112" s="1">
        <f ca="1"/>
        <v>2100</v>
      </c>
      <c r="C2112" s="1">
        <f ca="1">IFERROR(__xludf.DUMMYFUNCTION("""COMPUTED_VALUE"""),2023)</f>
        <v>2023</v>
      </c>
      <c r="D2112" s="1">
        <f ca="1">IFERROR(__xludf.DUMMYFUNCTION("""COMPUTED_VALUE"""),10892)</f>
        <v>10892</v>
      </c>
      <c r="E2112" s="1" t="str">
        <f ca="1">IFERROR(__xludf.DUMMYFUNCTION("""COMPUTED_VALUE"""),"The Journal of Ethics")</f>
        <v>The Journal of Ethics</v>
      </c>
      <c r="F2112" s="1" t="str">
        <f ca="1">IFERROR(__xludf.DUMMYFUNCTION("""COMPUTED_VALUE"""),"1572-8609")</f>
        <v>1572-8609</v>
      </c>
      <c r="G2112" s="1" t="str">
        <f ca="1">IFERROR(__xludf.DUMMYFUNCTION("""COMPUTED_VALUE"""),"1382-4554")</f>
        <v>1382-4554</v>
      </c>
      <c r="H2112" s="27" t="str">
        <f ca="1">IFERROR(__xludf.DUMMYFUNCTION("""COMPUTED_VALUE"""),"https://link.springer.com/journal/10892")</f>
        <v>https://link.springer.com/journal/10892</v>
      </c>
      <c r="I2112" s="1" t="str">
        <f ca="1">IFERROR(__xludf.DUMMYFUNCTION("""COMPUTED_VALUE"""),"Springer")</f>
        <v>Springer</v>
      </c>
      <c r="J2112" s="1">
        <f ca="1">IFERROR(__xludf.DUMMYFUNCTION("""COMPUTED_VALUE"""),2000)</f>
        <v>2000</v>
      </c>
      <c r="K2112" s="1" t="str">
        <f ca="1">IFERROR(__xludf.DUMMYFUNCTION("""COMPUTED_VALUE"""),"Education")</f>
        <v>Education</v>
      </c>
      <c r="L2112" s="1" t="str">
        <f ca="1">IFERROR(__xludf.DUMMYFUNCTION("""COMPUTED_VALUE"""),"〇")</f>
        <v>〇</v>
      </c>
      <c r="M2112" s="1" t="str">
        <f ca="1">IFERROR(__xludf.DUMMYFUNCTION("""COMPUTED_VALUE"""),"〇")</f>
        <v>〇</v>
      </c>
      <c r="N2112" s="1"/>
      <c r="O2112" s="1"/>
      <c r="P2112" s="1"/>
    </row>
    <row r="2113" spans="1:16" ht="14.25" customHeight="1" x14ac:dyDescent="0.25">
      <c r="A2113" s="1"/>
      <c r="B2113" s="1">
        <f ca="1"/>
        <v>2101</v>
      </c>
      <c r="C2113" s="1">
        <f ca="1">IFERROR(__xludf.DUMMYFUNCTION("""COMPUTED_VALUE"""),2023)</f>
        <v>2023</v>
      </c>
      <c r="D2113" s="1">
        <f ca="1">IFERROR(__xludf.DUMMYFUNCTION("""COMPUTED_VALUE"""),42415)</f>
        <v>42415</v>
      </c>
      <c r="E2113" s="1" t="str">
        <f ca="1">IFERROR(__xludf.DUMMYFUNCTION("""COMPUTED_VALUE"""),"The Journal of Frailty &amp; Aging")</f>
        <v>The Journal of Frailty &amp; Aging</v>
      </c>
      <c r="F2113" s="1" t="str">
        <f ca="1">IFERROR(__xludf.DUMMYFUNCTION("""COMPUTED_VALUE"""),"2273-4309")</f>
        <v>2273-4309</v>
      </c>
      <c r="G2113" s="1"/>
      <c r="H2113" s="27" t="str">
        <f ca="1">IFERROR(__xludf.DUMMYFUNCTION("""COMPUTED_VALUE"""),"https://link.springer.com/journal/42415")</f>
        <v>https://link.springer.com/journal/42415</v>
      </c>
      <c r="I2113" s="1" t="str">
        <f ca="1">IFERROR(__xludf.DUMMYFUNCTION("""COMPUTED_VALUE"""),"Serdi-Editions")</f>
        <v>Serdi-Editions</v>
      </c>
      <c r="J2113" s="1">
        <f ca="1">IFERROR(__xludf.DUMMYFUNCTION("""COMPUTED_VALUE"""),2018)</f>
        <v>2018</v>
      </c>
      <c r="K2113" s="1" t="str">
        <f ca="1">IFERROR(__xludf.DUMMYFUNCTION("""COMPUTED_VALUE"""),"Medicine")</f>
        <v>Medicine</v>
      </c>
      <c r="L2113" s="1"/>
      <c r="M2113" s="1"/>
      <c r="N2113" s="1" t="str">
        <f ca="1">IFERROR(__xludf.DUMMYFUNCTION("""COMPUTED_VALUE"""),"TO18")</f>
        <v>TO18</v>
      </c>
      <c r="O2113" s="1"/>
      <c r="P2113" s="1"/>
    </row>
    <row r="2114" spans="1:16" ht="14.25" customHeight="1" x14ac:dyDescent="0.25">
      <c r="A2114" s="1"/>
      <c r="B2114" s="1">
        <f ca="1"/>
        <v>2102</v>
      </c>
      <c r="C2114" s="1">
        <f ca="1">IFERROR(__xludf.DUMMYFUNCTION("""COMPUTED_VALUE"""),2023)</f>
        <v>2023</v>
      </c>
      <c r="D2114" s="1">
        <f ca="1">IFERROR(__xludf.DUMMYFUNCTION("""COMPUTED_VALUE"""),12220)</f>
        <v>12220</v>
      </c>
      <c r="E2114" s="1" t="str">
        <f ca="1">IFERROR(__xludf.DUMMYFUNCTION("""COMPUTED_VALUE"""),"The Journal of Geometric Analysis")</f>
        <v>The Journal of Geometric Analysis</v>
      </c>
      <c r="F2114" s="1" t="str">
        <f ca="1">IFERROR(__xludf.DUMMYFUNCTION("""COMPUTED_VALUE"""),"1559-002X")</f>
        <v>1559-002X</v>
      </c>
      <c r="G2114" s="1" t="str">
        <f ca="1">IFERROR(__xludf.DUMMYFUNCTION("""COMPUTED_VALUE"""),"1050-6926")</f>
        <v>1050-6926</v>
      </c>
      <c r="H2114" s="27" t="str">
        <f ca="1">IFERROR(__xludf.DUMMYFUNCTION("""COMPUTED_VALUE"""),"https://link.springer.com/journal/12220")</f>
        <v>https://link.springer.com/journal/12220</v>
      </c>
      <c r="I2114" s="1" t="str">
        <f ca="1">IFERROR(__xludf.DUMMYFUNCTION("""COMPUTED_VALUE"""),"Springer")</f>
        <v>Springer</v>
      </c>
      <c r="J2114" s="1">
        <f ca="1">IFERROR(__xludf.DUMMYFUNCTION("""COMPUTED_VALUE"""),2000)</f>
        <v>2000</v>
      </c>
      <c r="K2114" s="1" t="str">
        <f ca="1">IFERROR(__xludf.DUMMYFUNCTION("""COMPUTED_VALUE"""),"Mathematics and Statistics")</f>
        <v>Mathematics and Statistics</v>
      </c>
      <c r="L2114" s="1" t="str">
        <f ca="1">IFERROR(__xludf.DUMMYFUNCTION("""COMPUTED_VALUE"""),"〇")</f>
        <v>〇</v>
      </c>
      <c r="M2114" s="1" t="str">
        <f ca="1">IFERROR(__xludf.DUMMYFUNCTION("""COMPUTED_VALUE"""),"〇")</f>
        <v>〇</v>
      </c>
      <c r="N2114" s="1" t="str">
        <f ca="1">IFERROR(__xludf.DUMMYFUNCTION("""COMPUTED_VALUE"""),"TO8")</f>
        <v>TO8</v>
      </c>
      <c r="O2114" s="1"/>
      <c r="P2114" s="1"/>
    </row>
    <row r="2115" spans="1:16" ht="14.25" customHeight="1" x14ac:dyDescent="0.25">
      <c r="A2115" s="1"/>
      <c r="B2115" s="1">
        <f ca="1"/>
        <v>2103</v>
      </c>
      <c r="C2115" s="1">
        <f ca="1">IFERROR(__xludf.DUMMYFUNCTION("""COMPUTED_VALUE"""),2023)</f>
        <v>2023</v>
      </c>
      <c r="D2115" s="1">
        <f ca="1">IFERROR(__xludf.DUMMYFUNCTION("""COMPUTED_VALUE"""),232)</f>
        <v>232</v>
      </c>
      <c r="E2115" s="1" t="str">
        <f ca="1">IFERROR(__xludf.DUMMYFUNCTION("""COMPUTED_VALUE"""),"The Journal of Membrane Biology")</f>
        <v>The Journal of Membrane Biology</v>
      </c>
      <c r="F2115" s="1" t="str">
        <f ca="1">IFERROR(__xludf.DUMMYFUNCTION("""COMPUTED_VALUE"""),"1432-1424")</f>
        <v>1432-1424</v>
      </c>
      <c r="G2115" s="1"/>
      <c r="H2115" s="27" t="str">
        <f ca="1">IFERROR(__xludf.DUMMYFUNCTION("""COMPUTED_VALUE"""),"https://link.springer.com/journal/232")</f>
        <v>https://link.springer.com/journal/232</v>
      </c>
      <c r="I2115" s="1" t="str">
        <f ca="1">IFERROR(__xludf.DUMMYFUNCTION("""COMPUTED_VALUE"""),"Springer")</f>
        <v>Springer</v>
      </c>
      <c r="J2115" s="1">
        <f ca="1">IFERROR(__xludf.DUMMYFUNCTION("""COMPUTED_VALUE"""),2000)</f>
        <v>2000</v>
      </c>
      <c r="K2115" s="1" t="str">
        <f ca="1">IFERROR(__xludf.DUMMYFUNCTION("""COMPUTED_VALUE"""),"Biomedical and Life Sciences")</f>
        <v>Biomedical and Life Sciences</v>
      </c>
      <c r="L2115" s="1"/>
      <c r="M2115" s="1" t="str">
        <f ca="1">IFERROR(__xludf.DUMMYFUNCTION("""COMPUTED_VALUE"""),"〇")</f>
        <v>〇</v>
      </c>
      <c r="N2115" s="1"/>
      <c r="O2115" s="1"/>
      <c r="P2115" s="1"/>
    </row>
    <row r="2116" spans="1:16" ht="14.25" customHeight="1" x14ac:dyDescent="0.25">
      <c r="A2116" s="1"/>
      <c r="B2116" s="1">
        <f ca="1"/>
        <v>2104</v>
      </c>
      <c r="C2116" s="1">
        <f ca="1">IFERROR(__xludf.DUMMYFUNCTION("""COMPUTED_VALUE"""),2023)</f>
        <v>2023</v>
      </c>
      <c r="D2116" s="1">
        <f ca="1">IFERROR(__xludf.DUMMYFUNCTION("""COMPUTED_VALUE"""),12603)</f>
        <v>12603</v>
      </c>
      <c r="E2116" s="1" t="str">
        <f ca="1">IFERROR(__xludf.DUMMYFUNCTION("""COMPUTED_VALUE"""),"The journal of nutrition, health &amp; aging")</f>
        <v>The journal of nutrition, health &amp; aging</v>
      </c>
      <c r="F2116" s="1" t="str">
        <f ca="1">IFERROR(__xludf.DUMMYFUNCTION("""COMPUTED_VALUE"""),"1760-4788")</f>
        <v>1760-4788</v>
      </c>
      <c r="G2116" s="1"/>
      <c r="H2116" s="27" t="str">
        <f ca="1">IFERROR(__xludf.DUMMYFUNCTION("""COMPUTED_VALUE"""),"https://link.springer.com/journal/12603")</f>
        <v>https://link.springer.com/journal/12603</v>
      </c>
      <c r="I2116" s="1" t="str">
        <f ca="1">IFERROR(__xludf.DUMMYFUNCTION("""COMPUTED_VALUE"""),"Serdi-Editions")</f>
        <v>Serdi-Editions</v>
      </c>
      <c r="J2116" s="1">
        <f ca="1">IFERROR(__xludf.DUMMYFUNCTION("""COMPUTED_VALUE"""),2008)</f>
        <v>2008</v>
      </c>
      <c r="K2116" s="1" t="str">
        <f ca="1">IFERROR(__xludf.DUMMYFUNCTION("""COMPUTED_VALUE"""),"Medicine")</f>
        <v>Medicine</v>
      </c>
      <c r="L2116" s="1"/>
      <c r="M2116" s="1"/>
      <c r="N2116" s="1" t="str">
        <f ca="1">IFERROR(__xludf.DUMMYFUNCTION("""COMPUTED_VALUE"""),"TO9")</f>
        <v>TO9</v>
      </c>
      <c r="O2116" s="1"/>
      <c r="P2116" s="1"/>
    </row>
    <row r="2117" spans="1:16" ht="14.25" customHeight="1" x14ac:dyDescent="0.25">
      <c r="A2117" s="1"/>
      <c r="B2117" s="1">
        <f ca="1"/>
        <v>2105</v>
      </c>
      <c r="C2117" s="1">
        <f ca="1">IFERROR(__xludf.DUMMYFUNCTION("""COMPUTED_VALUE"""),2023)</f>
        <v>2023</v>
      </c>
      <c r="D2117" s="1">
        <f ca="1">IFERROR(__xludf.DUMMYFUNCTION("""COMPUTED_VALUE"""),13224)</f>
        <v>13224</v>
      </c>
      <c r="E2117" s="1" t="str">
        <f ca="1">IFERROR(__xludf.DUMMYFUNCTION("""COMPUTED_VALUE"""),"The Journal of Obstetrics and Gynecology of India")</f>
        <v>The Journal of Obstetrics and Gynecology of India</v>
      </c>
      <c r="F2117" s="1" t="str">
        <f ca="1">IFERROR(__xludf.DUMMYFUNCTION("""COMPUTED_VALUE"""),"0975-6434")</f>
        <v>0975-6434</v>
      </c>
      <c r="G2117" s="1" t="str">
        <f ca="1">IFERROR(__xludf.DUMMYFUNCTION("""COMPUTED_VALUE"""),"0971-9202")</f>
        <v>0971-9202</v>
      </c>
      <c r="H2117" s="27" t="str">
        <f ca="1">IFERROR(__xludf.DUMMYFUNCTION("""COMPUTED_VALUE"""),"https://link.springer.com/journal/13224")</f>
        <v>https://link.springer.com/journal/13224</v>
      </c>
      <c r="I2117" s="1" t="str">
        <f ca="1">IFERROR(__xludf.DUMMYFUNCTION("""COMPUTED_VALUE"""),"Springer")</f>
        <v>Springer</v>
      </c>
      <c r="J2117" s="1">
        <f ca="1">IFERROR(__xludf.DUMMYFUNCTION("""COMPUTED_VALUE"""),2010)</f>
        <v>2010</v>
      </c>
      <c r="K2117" s="1" t="str">
        <f ca="1">IFERROR(__xludf.DUMMYFUNCTION("""COMPUTED_VALUE"""),"Medicine")</f>
        <v>Medicine</v>
      </c>
      <c r="L2117" s="1" t="str">
        <f ca="1">IFERROR(__xludf.DUMMYFUNCTION("""COMPUTED_VALUE"""),"〇")</f>
        <v>〇</v>
      </c>
      <c r="M2117" s="1"/>
      <c r="N2117" s="1" t="str">
        <f ca="1">IFERROR(__xludf.DUMMYFUNCTION("""COMPUTED_VALUE"""),"TO10")</f>
        <v>TO10</v>
      </c>
      <c r="O2117" s="1"/>
      <c r="P2117" s="1"/>
    </row>
    <row r="2118" spans="1:16" ht="14.25" customHeight="1" x14ac:dyDescent="0.25">
      <c r="A2118" s="1"/>
      <c r="B2118" s="1">
        <f ca="1"/>
        <v>2106</v>
      </c>
      <c r="C2118" s="1">
        <f ca="1">IFERROR(__xludf.DUMMYFUNCTION("""COMPUTED_VALUE"""),2023)</f>
        <v>2023</v>
      </c>
      <c r="D2118" s="1">
        <f ca="1">IFERROR(__xludf.DUMMYFUNCTION("""COMPUTED_VALUE"""),42414)</f>
        <v>42414</v>
      </c>
      <c r="E2118" s="1" t="str">
        <f ca="1">IFERROR(__xludf.DUMMYFUNCTION("""COMPUTED_VALUE"""),"The Journal of Prevention of Alzheimer's Disease")</f>
        <v>The Journal of Prevention of Alzheimer's Disease</v>
      </c>
      <c r="F2118" s="1" t="str">
        <f ca="1">IFERROR(__xludf.DUMMYFUNCTION("""COMPUTED_VALUE"""),"2426-0266")</f>
        <v>2426-0266</v>
      </c>
      <c r="G2118" s="1"/>
      <c r="H2118" s="27" t="str">
        <f ca="1">IFERROR(__xludf.DUMMYFUNCTION("""COMPUTED_VALUE"""),"https://link.springer.com/journal/42414")</f>
        <v>https://link.springer.com/journal/42414</v>
      </c>
      <c r="I2118" s="1" t="str">
        <f ca="1">IFERROR(__xludf.DUMMYFUNCTION("""COMPUTED_VALUE"""),"Serdi-Editions")</f>
        <v>Serdi-Editions</v>
      </c>
      <c r="J2118" s="1">
        <f ca="1">IFERROR(__xludf.DUMMYFUNCTION("""COMPUTED_VALUE"""),2018)</f>
        <v>2018</v>
      </c>
      <c r="K2118" s="1" t="str">
        <f ca="1">IFERROR(__xludf.DUMMYFUNCTION("""COMPUTED_VALUE"""),"Medicine")</f>
        <v>Medicine</v>
      </c>
      <c r="L2118" s="1"/>
      <c r="M2118" s="1"/>
      <c r="N2118" s="1" t="str">
        <f ca="1">IFERROR(__xludf.DUMMYFUNCTION("""COMPUTED_VALUE"""),"TO18")</f>
        <v>TO18</v>
      </c>
      <c r="O2118" s="1"/>
      <c r="P2118" s="1"/>
    </row>
    <row r="2119" spans="1:16" ht="14.25" customHeight="1" x14ac:dyDescent="0.25">
      <c r="A2119" s="1"/>
      <c r="B2119" s="1">
        <f ca="1"/>
        <v>2107</v>
      </c>
      <c r="C2119" s="1">
        <f ca="1">IFERROR(__xludf.DUMMYFUNCTION("""COMPUTED_VALUE"""),2023)</f>
        <v>2023</v>
      </c>
      <c r="D2119" s="1">
        <f ca="1">IFERROR(__xludf.DUMMYFUNCTION("""COMPUTED_VALUE"""),11146)</f>
        <v>11146</v>
      </c>
      <c r="E2119" s="1" t="str">
        <f ca="1">IFERROR(__xludf.DUMMYFUNCTION("""COMPUTED_VALUE"""),"The Journal of Real Estate Finance and Economics")</f>
        <v>The Journal of Real Estate Finance and Economics</v>
      </c>
      <c r="F2119" s="1" t="str">
        <f ca="1">IFERROR(__xludf.DUMMYFUNCTION("""COMPUTED_VALUE"""),"1573-045X")</f>
        <v>1573-045X</v>
      </c>
      <c r="G2119" s="1" t="str">
        <f ca="1">IFERROR(__xludf.DUMMYFUNCTION("""COMPUTED_VALUE"""),"0895-5638")</f>
        <v>0895-5638</v>
      </c>
      <c r="H2119" s="27" t="str">
        <f ca="1">IFERROR(__xludf.DUMMYFUNCTION("""COMPUTED_VALUE"""),"https://link.springer.com/journal/11146")</f>
        <v>https://link.springer.com/journal/11146</v>
      </c>
      <c r="I2119" s="1" t="str">
        <f ca="1">IFERROR(__xludf.DUMMYFUNCTION("""COMPUTED_VALUE"""),"Springer")</f>
        <v>Springer</v>
      </c>
      <c r="J2119" s="1">
        <f ca="1">IFERROR(__xludf.DUMMYFUNCTION("""COMPUTED_VALUE"""),2000)</f>
        <v>2000</v>
      </c>
      <c r="K2119" s="1" t="str">
        <f ca="1">IFERROR(__xludf.DUMMYFUNCTION("""COMPUTED_VALUE"""),"Economics and Finance")</f>
        <v>Economics and Finance</v>
      </c>
      <c r="L2119" s="1" t="str">
        <f ca="1">IFERROR(__xludf.DUMMYFUNCTION("""COMPUTED_VALUE"""),"〇")</f>
        <v>〇</v>
      </c>
      <c r="M2119" s="1" t="str">
        <f ca="1">IFERROR(__xludf.DUMMYFUNCTION("""COMPUTED_VALUE"""),"〇")</f>
        <v>〇</v>
      </c>
      <c r="N2119" s="1"/>
      <c r="O2119" s="1"/>
      <c r="P2119" s="1"/>
    </row>
    <row r="2120" spans="1:16" ht="14.25" customHeight="1" x14ac:dyDescent="0.25">
      <c r="A2120" s="1"/>
      <c r="B2120" s="1">
        <f ca="1"/>
        <v>2108</v>
      </c>
      <c r="C2120" s="1">
        <f ca="1">IFERROR(__xludf.DUMMYFUNCTION("""COMPUTED_VALUE"""),2023)</f>
        <v>2023</v>
      </c>
      <c r="D2120" s="1">
        <f ca="1">IFERROR(__xludf.DUMMYFUNCTION("""COMPUTED_VALUE"""),11227)</f>
        <v>11227</v>
      </c>
      <c r="E2120" s="1" t="str">
        <f ca="1">IFERROR(__xludf.DUMMYFUNCTION("""COMPUTED_VALUE"""),"The Journal of Supercomputing")</f>
        <v>The Journal of Supercomputing</v>
      </c>
      <c r="F2120" s="1" t="str">
        <f ca="1">IFERROR(__xludf.DUMMYFUNCTION("""COMPUTED_VALUE"""),"1573-0484")</f>
        <v>1573-0484</v>
      </c>
      <c r="G2120" s="1" t="str">
        <f ca="1">IFERROR(__xludf.DUMMYFUNCTION("""COMPUTED_VALUE"""),"0920-8542")</f>
        <v>0920-8542</v>
      </c>
      <c r="H2120" s="27" t="str">
        <f ca="1">IFERROR(__xludf.DUMMYFUNCTION("""COMPUTED_VALUE"""),"https://link.springer.com/journal/11227")</f>
        <v>https://link.springer.com/journal/11227</v>
      </c>
      <c r="I2120" s="1" t="str">
        <f ca="1">IFERROR(__xludf.DUMMYFUNCTION("""COMPUTED_VALUE"""),"Springer")</f>
        <v>Springer</v>
      </c>
      <c r="J2120" s="1">
        <f ca="1">IFERROR(__xludf.DUMMYFUNCTION("""COMPUTED_VALUE"""),2000)</f>
        <v>2000</v>
      </c>
      <c r="K2120" s="1" t="str">
        <f ca="1">IFERROR(__xludf.DUMMYFUNCTION("""COMPUTED_VALUE"""),"Computer Science")</f>
        <v>Computer Science</v>
      </c>
      <c r="L2120" s="1" t="str">
        <f ca="1">IFERROR(__xludf.DUMMYFUNCTION("""COMPUTED_VALUE"""),"〇")</f>
        <v>〇</v>
      </c>
      <c r="M2120" s="1" t="str">
        <f ca="1">IFERROR(__xludf.DUMMYFUNCTION("""COMPUTED_VALUE"""),"〇")</f>
        <v>〇</v>
      </c>
      <c r="N2120" s="1"/>
      <c r="O2120" s="1"/>
      <c r="P2120" s="1"/>
    </row>
    <row r="2121" spans="1:16" ht="14.25" customHeight="1" x14ac:dyDescent="0.25">
      <c r="A2121" s="1"/>
      <c r="B2121" s="1">
        <f ca="1"/>
        <v>2109</v>
      </c>
      <c r="C2121" s="1">
        <f ca="1">IFERROR(__xludf.DUMMYFUNCTION("""COMPUTED_VALUE"""),2023)</f>
        <v>2023</v>
      </c>
      <c r="D2121" s="1">
        <f ca="1">IFERROR(__xludf.DUMMYFUNCTION("""COMPUTED_VALUE"""),10961)</f>
        <v>10961</v>
      </c>
      <c r="E2121" s="1" t="str">
        <f ca="1">IFERROR(__xludf.DUMMYFUNCTION("""COMPUTED_VALUE"""),"The Journal of Technology Transfer")</f>
        <v>The Journal of Technology Transfer</v>
      </c>
      <c r="F2121" s="1" t="str">
        <f ca="1">IFERROR(__xludf.DUMMYFUNCTION("""COMPUTED_VALUE"""),"1573-7047")</f>
        <v>1573-7047</v>
      </c>
      <c r="G2121" s="1" t="str">
        <f ca="1">IFERROR(__xludf.DUMMYFUNCTION("""COMPUTED_VALUE"""),"0892-9912")</f>
        <v>0892-9912</v>
      </c>
      <c r="H2121" s="27" t="str">
        <f ca="1">IFERROR(__xludf.DUMMYFUNCTION("""COMPUTED_VALUE"""),"https://link.springer.com/journal/10961")</f>
        <v>https://link.springer.com/journal/10961</v>
      </c>
      <c r="I2121" s="1" t="str">
        <f ca="1">IFERROR(__xludf.DUMMYFUNCTION("""COMPUTED_VALUE"""),"Springer")</f>
        <v>Springer</v>
      </c>
      <c r="J2121" s="1">
        <f ca="1">IFERROR(__xludf.DUMMYFUNCTION("""COMPUTED_VALUE"""),2000)</f>
        <v>2000</v>
      </c>
      <c r="K2121" s="1" t="str">
        <f ca="1">IFERROR(__xludf.DUMMYFUNCTION("""COMPUTED_VALUE"""),"Business and Management")</f>
        <v>Business and Management</v>
      </c>
      <c r="L2121" s="1" t="str">
        <f ca="1">IFERROR(__xludf.DUMMYFUNCTION("""COMPUTED_VALUE"""),"〇")</f>
        <v>〇</v>
      </c>
      <c r="M2121" s="1" t="str">
        <f ca="1">IFERROR(__xludf.DUMMYFUNCTION("""COMPUTED_VALUE"""),"〇")</f>
        <v>〇</v>
      </c>
      <c r="N2121" s="1"/>
      <c r="O2121" s="1"/>
      <c r="P2121" s="1"/>
    </row>
    <row r="2122" spans="1:16" ht="14.25" customHeight="1" x14ac:dyDescent="0.25">
      <c r="A2122" s="1"/>
      <c r="B2122" s="1">
        <f ca="1"/>
        <v>2110</v>
      </c>
      <c r="C2122" s="1">
        <f ca="1">IFERROR(__xludf.DUMMYFUNCTION("""COMPUTED_VALUE"""),2023)</f>
        <v>2023</v>
      </c>
      <c r="D2122" s="1">
        <f ca="1">IFERROR(__xludf.DUMMYFUNCTION("""COMPUTED_VALUE"""),40295)</f>
        <v>40295</v>
      </c>
      <c r="E2122" s="1" t="str">
        <f ca="1">IFERROR(__xludf.DUMMYFUNCTION("""COMPUTED_VALUE"""),"The Journal of the Astronautical Sciences")</f>
        <v>The Journal of the Astronautical Sciences</v>
      </c>
      <c r="F2122" s="1" t="str">
        <f ca="1">IFERROR(__xludf.DUMMYFUNCTION("""COMPUTED_VALUE"""),"2195-0571")</f>
        <v>2195-0571</v>
      </c>
      <c r="G2122" s="1"/>
      <c r="H2122" s="27" t="str">
        <f ca="1">IFERROR(__xludf.DUMMYFUNCTION("""COMPUTED_VALUE"""),"https://link.springer.com/journal/40295")</f>
        <v>https://link.springer.com/journal/40295</v>
      </c>
      <c r="I2122" s="1" t="str">
        <f ca="1">IFERROR(__xludf.DUMMYFUNCTION("""COMPUTED_VALUE"""),"Springer")</f>
        <v>Springer</v>
      </c>
      <c r="J2122" s="1">
        <f ca="1">IFERROR(__xludf.DUMMYFUNCTION("""COMPUTED_VALUE"""),2000)</f>
        <v>2000</v>
      </c>
      <c r="K2122" s="1" t="str">
        <f ca="1">IFERROR(__xludf.DUMMYFUNCTION("""COMPUTED_VALUE"""),"Engineering")</f>
        <v>Engineering</v>
      </c>
      <c r="L2122" s="1"/>
      <c r="M2122" s="1"/>
      <c r="N2122" s="1" t="str">
        <f ca="1">IFERROR(__xludf.DUMMYFUNCTION("""COMPUTED_VALUE"""),"TO12")</f>
        <v>TO12</v>
      </c>
      <c r="O2122" s="1"/>
      <c r="P2122" s="1"/>
    </row>
    <row r="2123" spans="1:16" ht="14.25" customHeight="1" x14ac:dyDescent="0.25">
      <c r="A2123" s="1"/>
      <c r="B2123" s="1">
        <f ca="1"/>
        <v>2111</v>
      </c>
      <c r="C2123" s="1">
        <f ca="1">IFERROR(__xludf.DUMMYFUNCTION("""COMPUTED_VALUE"""),2023)</f>
        <v>2023</v>
      </c>
      <c r="D2123" s="1">
        <f ca="1">IFERROR(__xludf.DUMMYFUNCTION("""COMPUTED_VALUE"""),10790)</f>
        <v>10790</v>
      </c>
      <c r="E2123" s="1" t="str">
        <f ca="1">IFERROR(__xludf.DUMMYFUNCTION("""COMPUTED_VALUE"""),"The Journal of Value Inquiry")</f>
        <v>The Journal of Value Inquiry</v>
      </c>
      <c r="F2123" s="1" t="str">
        <f ca="1">IFERROR(__xludf.DUMMYFUNCTION("""COMPUTED_VALUE"""),"1573-0492")</f>
        <v>1573-0492</v>
      </c>
      <c r="G2123" s="1" t="str">
        <f ca="1">IFERROR(__xludf.DUMMYFUNCTION("""COMPUTED_VALUE"""),"0022-5363")</f>
        <v>0022-5363</v>
      </c>
      <c r="H2123" s="27" t="str">
        <f ca="1">IFERROR(__xludf.DUMMYFUNCTION("""COMPUTED_VALUE"""),"https://link.springer.com/journal/10790")</f>
        <v>https://link.springer.com/journal/10790</v>
      </c>
      <c r="I2123" s="1" t="str">
        <f ca="1">IFERROR(__xludf.DUMMYFUNCTION("""COMPUTED_VALUE"""),"Springer")</f>
        <v>Springer</v>
      </c>
      <c r="J2123" s="1">
        <f ca="1">IFERROR(__xludf.DUMMYFUNCTION("""COMPUTED_VALUE"""),2000)</f>
        <v>2000</v>
      </c>
      <c r="K2123" s="1" t="str">
        <f ca="1">IFERROR(__xludf.DUMMYFUNCTION("""COMPUTED_VALUE"""),"Education")</f>
        <v>Education</v>
      </c>
      <c r="L2123" s="1" t="str">
        <f ca="1">IFERROR(__xludf.DUMMYFUNCTION("""COMPUTED_VALUE"""),"〇")</f>
        <v>〇</v>
      </c>
      <c r="M2123" s="1" t="str">
        <f ca="1">IFERROR(__xludf.DUMMYFUNCTION("""COMPUTED_VALUE"""),"〇")</f>
        <v>〇</v>
      </c>
      <c r="N2123" s="1"/>
      <c r="O2123" s="1"/>
      <c r="P2123" s="1"/>
    </row>
    <row r="2124" spans="1:16" ht="14.25" customHeight="1" x14ac:dyDescent="0.25">
      <c r="A2124" s="1"/>
      <c r="B2124" s="1">
        <f ca="1"/>
        <v>2112</v>
      </c>
      <c r="C2124" s="1">
        <f ca="1">IFERROR(__xludf.DUMMYFUNCTION("""COMPUTED_VALUE"""),2023)</f>
        <v>2023</v>
      </c>
      <c r="D2124" s="1">
        <f ca="1">IFERROR(__xludf.DUMMYFUNCTION("""COMPUTED_VALUE"""),283)</f>
        <v>283</v>
      </c>
      <c r="E2124" s="1" t="str">
        <f ca="1">IFERROR(__xludf.DUMMYFUNCTION("""COMPUTED_VALUE"""),"The Mathematical Intelligencer")</f>
        <v>The Mathematical Intelligencer</v>
      </c>
      <c r="F2124" s="1" t="str">
        <f ca="1">IFERROR(__xludf.DUMMYFUNCTION("""COMPUTED_VALUE"""),"1866-7414")</f>
        <v>1866-7414</v>
      </c>
      <c r="G2124" s="1" t="str">
        <f ca="1">IFERROR(__xludf.DUMMYFUNCTION("""COMPUTED_VALUE"""),"0343-6993")</f>
        <v>0343-6993</v>
      </c>
      <c r="H2124" s="27" t="str">
        <f ca="1">IFERROR(__xludf.DUMMYFUNCTION("""COMPUTED_VALUE"""),"https://link.springer.com/journal/283")</f>
        <v>https://link.springer.com/journal/283</v>
      </c>
      <c r="I2124" s="1" t="str">
        <f ca="1">IFERROR(__xludf.DUMMYFUNCTION("""COMPUTED_VALUE"""),"Springer")</f>
        <v>Springer</v>
      </c>
      <c r="J2124" s="1">
        <f ca="1">IFERROR(__xludf.DUMMYFUNCTION("""COMPUTED_VALUE"""),2000)</f>
        <v>2000</v>
      </c>
      <c r="K2124" s="1" t="str">
        <f ca="1">IFERROR(__xludf.DUMMYFUNCTION("""COMPUTED_VALUE"""),"Mathematics and Statistics")</f>
        <v>Mathematics and Statistics</v>
      </c>
      <c r="L2124" s="1" t="str">
        <f ca="1">IFERROR(__xludf.DUMMYFUNCTION("""COMPUTED_VALUE"""),"〇")</f>
        <v>〇</v>
      </c>
      <c r="M2124" s="1" t="str">
        <f ca="1">IFERROR(__xludf.DUMMYFUNCTION("""COMPUTED_VALUE"""),"〇")</f>
        <v>〇</v>
      </c>
      <c r="N2124" s="1"/>
      <c r="O2124" s="1"/>
      <c r="P2124" s="1"/>
    </row>
    <row r="2125" spans="1:16" ht="14.25" customHeight="1" x14ac:dyDescent="0.25">
      <c r="A2125" s="1"/>
      <c r="B2125" s="1">
        <f ca="1"/>
        <v>2113</v>
      </c>
      <c r="C2125" s="1">
        <f ca="1">IFERROR(__xludf.DUMMYFUNCTION("""COMPUTED_VALUE"""),2023)</f>
        <v>2023</v>
      </c>
      <c r="D2125" s="1">
        <f ca="1">IFERROR(__xludf.DUMMYFUNCTION("""COMPUTED_VALUE"""),13237)</f>
        <v>13237</v>
      </c>
      <c r="E2125" s="1" t="str">
        <f ca="1">IFERROR(__xludf.DUMMYFUNCTION("""COMPUTED_VALUE"""),"The Nucleus")</f>
        <v>The Nucleus</v>
      </c>
      <c r="F2125" s="1" t="str">
        <f ca="1">IFERROR(__xludf.DUMMYFUNCTION("""COMPUTED_VALUE"""),"0976-7975")</f>
        <v>0976-7975</v>
      </c>
      <c r="G2125" s="1" t="str">
        <f ca="1">IFERROR(__xludf.DUMMYFUNCTION("""COMPUTED_VALUE"""),"0029-568X")</f>
        <v>0029-568X</v>
      </c>
      <c r="H2125" s="27" t="str">
        <f ca="1">IFERROR(__xludf.DUMMYFUNCTION("""COMPUTED_VALUE"""),"https://link.springer.com/journal/13237")</f>
        <v>https://link.springer.com/journal/13237</v>
      </c>
      <c r="I2125" s="1" t="str">
        <f ca="1">IFERROR(__xludf.DUMMYFUNCTION("""COMPUTED_VALUE"""),"Springer")</f>
        <v>Springer</v>
      </c>
      <c r="J2125" s="1">
        <f ca="1">IFERROR(__xludf.DUMMYFUNCTION("""COMPUTED_VALUE"""),2010)</f>
        <v>2010</v>
      </c>
      <c r="K2125" s="1" t="str">
        <f ca="1">IFERROR(__xludf.DUMMYFUNCTION("""COMPUTED_VALUE"""),"Biomedical and Life Sciences")</f>
        <v>Biomedical and Life Sciences</v>
      </c>
      <c r="L2125" s="1" t="str">
        <f ca="1">IFERROR(__xludf.DUMMYFUNCTION("""COMPUTED_VALUE"""),"〇")</f>
        <v>〇</v>
      </c>
      <c r="M2125" s="1"/>
      <c r="N2125" s="1" t="str">
        <f ca="1">IFERROR(__xludf.DUMMYFUNCTION("""COMPUTED_VALUE"""),"TO10")</f>
        <v>TO10</v>
      </c>
      <c r="O2125" s="1"/>
      <c r="P2125" s="1"/>
    </row>
    <row r="2126" spans="1:16" ht="14.25" customHeight="1" x14ac:dyDescent="0.25">
      <c r="A2126" s="1"/>
      <c r="B2126" s="1">
        <f ca="1"/>
        <v>2114</v>
      </c>
      <c r="C2126" s="1">
        <f ca="1">IFERROR(__xludf.DUMMYFUNCTION("""COMPUTED_VALUE"""),2023)</f>
        <v>2023</v>
      </c>
      <c r="D2126" s="1">
        <f ca="1">IFERROR(__xludf.DUMMYFUNCTION("""COMPUTED_VALUE"""),10930)</f>
        <v>10930</v>
      </c>
      <c r="E2126" s="1" t="str">
        <f ca="1">IFERROR(__xludf.DUMMYFUNCTION("""COMPUTED_VALUE"""),"The Protein Journal")</f>
        <v>The Protein Journal</v>
      </c>
      <c r="F2126" s="1" t="str">
        <f ca="1">IFERROR(__xludf.DUMMYFUNCTION("""COMPUTED_VALUE"""),"1573-4943")</f>
        <v>1573-4943</v>
      </c>
      <c r="G2126" s="1" t="str">
        <f ca="1">IFERROR(__xludf.DUMMYFUNCTION("""COMPUTED_VALUE"""),"1572-3887")</f>
        <v>1572-3887</v>
      </c>
      <c r="H2126" s="27" t="str">
        <f ca="1">IFERROR(__xludf.DUMMYFUNCTION("""COMPUTED_VALUE"""),"https://link.springer.com/journal/10930")</f>
        <v>https://link.springer.com/journal/10930</v>
      </c>
      <c r="I2126" s="1" t="str">
        <f ca="1">IFERROR(__xludf.DUMMYFUNCTION("""COMPUTED_VALUE"""),"Springer")</f>
        <v>Springer</v>
      </c>
      <c r="J2126" s="1">
        <f ca="1">IFERROR(__xludf.DUMMYFUNCTION("""COMPUTED_VALUE"""),2000)</f>
        <v>2000</v>
      </c>
      <c r="K2126" s="1" t="str">
        <f ca="1">IFERROR(__xludf.DUMMYFUNCTION("""COMPUTED_VALUE"""),"Chemistry and Materials Science")</f>
        <v>Chemistry and Materials Science</v>
      </c>
      <c r="L2126" s="1" t="str">
        <f ca="1">IFERROR(__xludf.DUMMYFUNCTION("""COMPUTED_VALUE"""),"〇")</f>
        <v>〇</v>
      </c>
      <c r="M2126" s="1" t="str">
        <f ca="1">IFERROR(__xludf.DUMMYFUNCTION("""COMPUTED_VALUE"""),"〇")</f>
        <v>〇</v>
      </c>
      <c r="N2126" s="1"/>
      <c r="O2126" s="1"/>
      <c r="P2126" s="1"/>
    </row>
    <row r="2127" spans="1:16" ht="14.25" customHeight="1" x14ac:dyDescent="0.25">
      <c r="A2127" s="1"/>
      <c r="B2127" s="1">
        <f ca="1"/>
        <v>2115</v>
      </c>
      <c r="C2127" s="1">
        <f ca="1">IFERROR(__xludf.DUMMYFUNCTION("""COMPUTED_VALUE"""),2023)</f>
        <v>2023</v>
      </c>
      <c r="D2127" s="1">
        <f ca="1">IFERROR(__xludf.DUMMYFUNCTION("""COMPUTED_VALUE"""),40732)</f>
        <v>40732</v>
      </c>
      <c r="E2127" s="1" t="str">
        <f ca="1">IFERROR(__xludf.DUMMYFUNCTION("""COMPUTED_VALUE"""),"The Psychological Record")</f>
        <v>The Psychological Record</v>
      </c>
      <c r="F2127" s="1" t="str">
        <f ca="1">IFERROR(__xludf.DUMMYFUNCTION("""COMPUTED_VALUE"""),"2163-3452")</f>
        <v>2163-3452</v>
      </c>
      <c r="G2127" s="1" t="str">
        <f ca="1">IFERROR(__xludf.DUMMYFUNCTION("""COMPUTED_VALUE"""),"0033-2933")</f>
        <v>0033-2933</v>
      </c>
      <c r="H2127" s="27" t="str">
        <f ca="1">IFERROR(__xludf.DUMMYFUNCTION("""COMPUTED_VALUE"""),"https://link.springer.com/journal/40732")</f>
        <v>https://link.springer.com/journal/40732</v>
      </c>
      <c r="I2127" s="1" t="str">
        <f ca="1">IFERROR(__xludf.DUMMYFUNCTION("""COMPUTED_VALUE"""),"Springer")</f>
        <v>Springer</v>
      </c>
      <c r="J2127" s="1">
        <f ca="1">IFERROR(__xludf.DUMMYFUNCTION("""COMPUTED_VALUE"""),2000)</f>
        <v>2000</v>
      </c>
      <c r="K2127" s="1" t="str">
        <f ca="1">IFERROR(__xludf.DUMMYFUNCTION("""COMPUTED_VALUE"""),"Behavioral Science and Psychology")</f>
        <v>Behavioral Science and Psychology</v>
      </c>
      <c r="L2127" s="1" t="str">
        <f ca="1">IFERROR(__xludf.DUMMYFUNCTION("""COMPUTED_VALUE"""),"〇")</f>
        <v>〇</v>
      </c>
      <c r="M2127" s="1"/>
      <c r="N2127" s="1" t="str">
        <f ca="1">IFERROR(__xludf.DUMMYFUNCTION("""COMPUTED_VALUE"""),"TO14")</f>
        <v>TO14</v>
      </c>
      <c r="O2127" s="1"/>
      <c r="P2127" s="1"/>
    </row>
    <row r="2128" spans="1:16" ht="14.25" customHeight="1" x14ac:dyDescent="0.25">
      <c r="A2128" s="1"/>
      <c r="B2128" s="1">
        <f ca="1"/>
        <v>2116</v>
      </c>
      <c r="C2128" s="1">
        <f ca="1">IFERROR(__xludf.DUMMYFUNCTION("""COMPUTED_VALUE"""),2023)</f>
        <v>2023</v>
      </c>
      <c r="D2128" s="1">
        <f ca="1">IFERROR(__xludf.DUMMYFUNCTION("""COMPUTED_VALUE"""),11139)</f>
        <v>11139</v>
      </c>
      <c r="E2128" s="1" t="str">
        <f ca="1">IFERROR(__xludf.DUMMYFUNCTION("""COMPUTED_VALUE"""),"The Ramanujan Journal")</f>
        <v>The Ramanujan Journal</v>
      </c>
      <c r="F2128" s="1" t="str">
        <f ca="1">IFERROR(__xludf.DUMMYFUNCTION("""COMPUTED_VALUE"""),"1572-9303")</f>
        <v>1572-9303</v>
      </c>
      <c r="G2128" s="1" t="str">
        <f ca="1">IFERROR(__xludf.DUMMYFUNCTION("""COMPUTED_VALUE"""),"1382-4090")</f>
        <v>1382-4090</v>
      </c>
      <c r="H2128" s="27" t="str">
        <f ca="1">IFERROR(__xludf.DUMMYFUNCTION("""COMPUTED_VALUE"""),"https://link.springer.com/journal/11139")</f>
        <v>https://link.springer.com/journal/11139</v>
      </c>
      <c r="I2128" s="1" t="str">
        <f ca="1">IFERROR(__xludf.DUMMYFUNCTION("""COMPUTED_VALUE"""),"Springer")</f>
        <v>Springer</v>
      </c>
      <c r="J2128" s="1">
        <f ca="1">IFERROR(__xludf.DUMMYFUNCTION("""COMPUTED_VALUE"""),2000)</f>
        <v>2000</v>
      </c>
      <c r="K2128" s="1" t="str">
        <f ca="1">IFERROR(__xludf.DUMMYFUNCTION("""COMPUTED_VALUE"""),"Mathematics and Statistics")</f>
        <v>Mathematics and Statistics</v>
      </c>
      <c r="L2128" s="1" t="str">
        <f ca="1">IFERROR(__xludf.DUMMYFUNCTION("""COMPUTED_VALUE"""),"〇")</f>
        <v>〇</v>
      </c>
      <c r="M2128" s="1" t="str">
        <f ca="1">IFERROR(__xludf.DUMMYFUNCTION("""COMPUTED_VALUE"""),"〇")</f>
        <v>〇</v>
      </c>
      <c r="N2128" s="1"/>
      <c r="O2128" s="1"/>
      <c r="P2128" s="1"/>
    </row>
    <row r="2129" spans="1:16" ht="14.25" customHeight="1" x14ac:dyDescent="0.25">
      <c r="A2129" s="1"/>
      <c r="B2129" s="1">
        <f ca="1"/>
        <v>2117</v>
      </c>
      <c r="C2129" s="1">
        <f ca="1">IFERROR(__xludf.DUMMYFUNCTION("""COMPUTED_VALUE"""),2023)</f>
        <v>2023</v>
      </c>
      <c r="D2129" s="1">
        <f ca="1">IFERROR(__xludf.DUMMYFUNCTION("""COMPUTED_VALUE"""),11138)</f>
        <v>11138</v>
      </c>
      <c r="E2129" s="1" t="str">
        <f ca="1">IFERROR(__xludf.DUMMYFUNCTION("""COMPUTED_VALUE"""),"The Review of Austrian Economics")</f>
        <v>The Review of Austrian Economics</v>
      </c>
      <c r="F2129" s="1" t="str">
        <f ca="1">IFERROR(__xludf.DUMMYFUNCTION("""COMPUTED_VALUE"""),"1573-7128")</f>
        <v>1573-7128</v>
      </c>
      <c r="G2129" s="1" t="str">
        <f ca="1">IFERROR(__xludf.DUMMYFUNCTION("""COMPUTED_VALUE"""),"0889-3047")</f>
        <v>0889-3047</v>
      </c>
      <c r="H2129" s="27" t="str">
        <f ca="1">IFERROR(__xludf.DUMMYFUNCTION("""COMPUTED_VALUE"""),"https://link.springer.com/journal/11138")</f>
        <v>https://link.springer.com/journal/11138</v>
      </c>
      <c r="I2129" s="1" t="str">
        <f ca="1">IFERROR(__xludf.DUMMYFUNCTION("""COMPUTED_VALUE"""),"Springer")</f>
        <v>Springer</v>
      </c>
      <c r="J2129" s="1">
        <f ca="1">IFERROR(__xludf.DUMMYFUNCTION("""COMPUTED_VALUE"""),2000)</f>
        <v>2000</v>
      </c>
      <c r="K2129" s="1" t="str">
        <f ca="1">IFERROR(__xludf.DUMMYFUNCTION("""COMPUTED_VALUE"""),"Economics and Finance")</f>
        <v>Economics and Finance</v>
      </c>
      <c r="L2129" s="1" t="str">
        <f ca="1">IFERROR(__xludf.DUMMYFUNCTION("""COMPUTED_VALUE"""),"〇")</f>
        <v>〇</v>
      </c>
      <c r="M2129" s="1" t="str">
        <f ca="1">IFERROR(__xludf.DUMMYFUNCTION("""COMPUTED_VALUE"""),"〇")</f>
        <v>〇</v>
      </c>
      <c r="N2129" s="1"/>
      <c r="O2129" s="1"/>
      <c r="P2129" s="1"/>
    </row>
    <row r="2130" spans="1:16" ht="14.25" customHeight="1" x14ac:dyDescent="0.25">
      <c r="A2130" s="1"/>
      <c r="B2130" s="1">
        <f ca="1"/>
        <v>2118</v>
      </c>
      <c r="C2130" s="1">
        <f ca="1">IFERROR(__xludf.DUMMYFUNCTION("""COMPUTED_VALUE"""),2023)</f>
        <v>2023</v>
      </c>
      <c r="D2130" s="1">
        <f ca="1">IFERROR(__xludf.DUMMYFUNCTION("""COMPUTED_VALUE"""),11558)</f>
        <v>11558</v>
      </c>
      <c r="E2130" s="1" t="str">
        <f ca="1">IFERROR(__xludf.DUMMYFUNCTION("""COMPUTED_VALUE"""),"The Review of International Organizations")</f>
        <v>The Review of International Organizations</v>
      </c>
      <c r="F2130" s="1" t="str">
        <f ca="1">IFERROR(__xludf.DUMMYFUNCTION("""COMPUTED_VALUE"""),"1559-744X")</f>
        <v>1559-744X</v>
      </c>
      <c r="G2130" s="1" t="str">
        <f ca="1">IFERROR(__xludf.DUMMYFUNCTION("""COMPUTED_VALUE"""),"1559-7431")</f>
        <v>1559-7431</v>
      </c>
      <c r="H2130" s="27" t="str">
        <f ca="1">IFERROR(__xludf.DUMMYFUNCTION("""COMPUTED_VALUE"""),"https://link.springer.com/journal/11558")</f>
        <v>https://link.springer.com/journal/11558</v>
      </c>
      <c r="I2130" s="1" t="str">
        <f ca="1">IFERROR(__xludf.DUMMYFUNCTION("""COMPUTED_VALUE"""),"Springer")</f>
        <v>Springer</v>
      </c>
      <c r="J2130" s="1">
        <f ca="1">IFERROR(__xludf.DUMMYFUNCTION("""COMPUTED_VALUE"""),2006)</f>
        <v>2006</v>
      </c>
      <c r="K2130" s="1" t="str">
        <f ca="1">IFERROR(__xludf.DUMMYFUNCTION("""COMPUTED_VALUE"""),"Social Sciences")</f>
        <v>Social Sciences</v>
      </c>
      <c r="L2130" s="1" t="str">
        <f ca="1">IFERROR(__xludf.DUMMYFUNCTION("""COMPUTED_VALUE"""),"〇")</f>
        <v>〇</v>
      </c>
      <c r="M2130" s="1" t="str">
        <f ca="1">IFERROR(__xludf.DUMMYFUNCTION("""COMPUTED_VALUE"""),"〇")</f>
        <v>〇</v>
      </c>
      <c r="N2130" s="1"/>
      <c r="O2130" s="1"/>
      <c r="P2130" s="1"/>
    </row>
    <row r="2131" spans="1:16" ht="14.25" customHeight="1" x14ac:dyDescent="0.25">
      <c r="A2131" s="1"/>
      <c r="B2131" s="1">
        <f ca="1"/>
        <v>2119</v>
      </c>
      <c r="C2131" s="1">
        <f ca="1">IFERROR(__xludf.DUMMYFUNCTION("""COMPUTED_VALUE"""),2023)</f>
        <v>2023</v>
      </c>
      <c r="D2131" s="1">
        <f ca="1">IFERROR(__xludf.DUMMYFUNCTION("""COMPUTED_VALUE"""),12626)</f>
        <v>12626</v>
      </c>
      <c r="E2131" s="1" t="str">
        <f ca="1">IFERROR(__xludf.DUMMYFUNCTION("""COMPUTED_VALUE"""),"The Review of Socionetwork Strategies")</f>
        <v>The Review of Socionetwork Strategies</v>
      </c>
      <c r="F2131" s="1" t="str">
        <f ca="1">IFERROR(__xludf.DUMMYFUNCTION("""COMPUTED_VALUE"""),"1867-3236")</f>
        <v>1867-3236</v>
      </c>
      <c r="G2131" s="1" t="str">
        <f ca="1">IFERROR(__xludf.DUMMYFUNCTION("""COMPUTED_VALUE"""),"2523-3173")</f>
        <v>2523-3173</v>
      </c>
      <c r="H2131" s="27" t="str">
        <f ca="1">IFERROR(__xludf.DUMMYFUNCTION("""COMPUTED_VALUE"""),"https://link.springer.com/journal/12626")</f>
        <v>https://link.springer.com/journal/12626</v>
      </c>
      <c r="I2131" s="1" t="str">
        <f ca="1">IFERROR(__xludf.DUMMYFUNCTION("""COMPUTED_VALUE"""),"Springer")</f>
        <v>Springer</v>
      </c>
      <c r="J2131" s="1">
        <f ca="1">IFERROR(__xludf.DUMMYFUNCTION("""COMPUTED_VALUE"""),2007)</f>
        <v>2007</v>
      </c>
      <c r="K2131" s="1" t="str">
        <f ca="1">IFERROR(__xludf.DUMMYFUNCTION("""COMPUTED_VALUE"""),"Business and Management")</f>
        <v>Business and Management</v>
      </c>
      <c r="L2131" s="1" t="str">
        <f ca="1">IFERROR(__xludf.DUMMYFUNCTION("""COMPUTED_VALUE"""),"〇")</f>
        <v>〇</v>
      </c>
      <c r="M2131" s="1" t="str">
        <f ca="1">IFERROR(__xludf.DUMMYFUNCTION("""COMPUTED_VALUE"""),"〇")</f>
        <v>〇</v>
      </c>
      <c r="N2131" s="1" t="str">
        <f ca="1">IFERROR(__xludf.DUMMYFUNCTION("""COMPUTED_VALUE"""),"TO8")</f>
        <v>TO8</v>
      </c>
      <c r="O2131" s="1"/>
      <c r="P2131" s="1"/>
    </row>
    <row r="2132" spans="1:16" ht="14.25" customHeight="1" x14ac:dyDescent="0.25">
      <c r="A2132" s="1"/>
      <c r="B2132" s="1">
        <f ca="1"/>
        <v>2120</v>
      </c>
      <c r="C2132" s="1">
        <f ca="1">IFERROR(__xludf.DUMMYFUNCTION("""COMPUTED_VALUE"""),2023)</f>
        <v>2023</v>
      </c>
      <c r="D2132" s="1">
        <f ca="1">IFERROR(__xludf.DUMMYFUNCTION("""COMPUTED_VALUE"""),114)</f>
        <v>114</v>
      </c>
      <c r="E2132" s="1" t="str">
        <f ca="1">IFERROR(__xludf.DUMMYFUNCTION("""COMPUTED_VALUE"""),"The Science of Nature")</f>
        <v>The Science of Nature</v>
      </c>
      <c r="F2132" s="1" t="str">
        <f ca="1">IFERROR(__xludf.DUMMYFUNCTION("""COMPUTED_VALUE"""),"1432-1904")</f>
        <v>1432-1904</v>
      </c>
      <c r="G2132" s="1" t="str">
        <f ca="1">IFERROR(__xludf.DUMMYFUNCTION("""COMPUTED_VALUE"""),"0028-1042")</f>
        <v>0028-1042</v>
      </c>
      <c r="H2132" s="27" t="str">
        <f ca="1">IFERROR(__xludf.DUMMYFUNCTION("""COMPUTED_VALUE"""),"https://link.springer.com/journal/114")</f>
        <v>https://link.springer.com/journal/114</v>
      </c>
      <c r="I2132" s="1" t="str">
        <f ca="1">IFERROR(__xludf.DUMMYFUNCTION("""COMPUTED_VALUE"""),"Springer")</f>
        <v>Springer</v>
      </c>
      <c r="J2132" s="1">
        <f ca="1">IFERROR(__xludf.DUMMYFUNCTION("""COMPUTED_VALUE"""),2000)</f>
        <v>2000</v>
      </c>
      <c r="K2132" s="1" t="str">
        <f ca="1">IFERROR(__xludf.DUMMYFUNCTION("""COMPUTED_VALUE"""),"Biomedical and Life Sciences")</f>
        <v>Biomedical and Life Sciences</v>
      </c>
      <c r="L2132" s="1" t="str">
        <f ca="1">IFERROR(__xludf.DUMMYFUNCTION("""COMPUTED_VALUE"""),"〇")</f>
        <v>〇</v>
      </c>
      <c r="M2132" s="1" t="str">
        <f ca="1">IFERROR(__xludf.DUMMYFUNCTION("""COMPUTED_VALUE"""),"〇")</f>
        <v>〇</v>
      </c>
      <c r="N2132" s="1"/>
      <c r="O2132" s="1"/>
      <c r="P2132" s="1"/>
    </row>
    <row r="2133" spans="1:16" ht="14.25" customHeight="1" x14ac:dyDescent="0.25">
      <c r="A2133" s="1"/>
      <c r="B2133" s="1">
        <f ca="1"/>
        <v>2121</v>
      </c>
      <c r="C2133" s="1">
        <f ca="1">IFERROR(__xludf.DUMMYFUNCTION("""COMPUTED_VALUE"""),2023)</f>
        <v>2023</v>
      </c>
      <c r="D2133" s="1">
        <f ca="1">IFERROR(__xludf.DUMMYFUNCTION("""COMPUTED_VALUE"""),11256)</f>
        <v>11256</v>
      </c>
      <c r="E2133" s="1" t="str">
        <f ca="1">IFERROR(__xludf.DUMMYFUNCTION("""COMPUTED_VALUE"""),"The Urban Review")</f>
        <v>The Urban Review</v>
      </c>
      <c r="F2133" s="1" t="str">
        <f ca="1">IFERROR(__xludf.DUMMYFUNCTION("""COMPUTED_VALUE"""),"1573-1960")</f>
        <v>1573-1960</v>
      </c>
      <c r="G2133" s="1" t="str">
        <f ca="1">IFERROR(__xludf.DUMMYFUNCTION("""COMPUTED_VALUE"""),"0042-0972")</f>
        <v>0042-0972</v>
      </c>
      <c r="H2133" s="27" t="str">
        <f ca="1">IFERROR(__xludf.DUMMYFUNCTION("""COMPUTED_VALUE"""),"https://link.springer.com/journal/11256")</f>
        <v>https://link.springer.com/journal/11256</v>
      </c>
      <c r="I2133" s="1" t="str">
        <f ca="1">IFERROR(__xludf.DUMMYFUNCTION("""COMPUTED_VALUE"""),"Springer")</f>
        <v>Springer</v>
      </c>
      <c r="J2133" s="1">
        <f ca="1">IFERROR(__xludf.DUMMYFUNCTION("""COMPUTED_VALUE"""),2000)</f>
        <v>2000</v>
      </c>
      <c r="K2133" s="1" t="str">
        <f ca="1">IFERROR(__xludf.DUMMYFUNCTION("""COMPUTED_VALUE"""),"Education")</f>
        <v>Education</v>
      </c>
      <c r="L2133" s="1" t="str">
        <f ca="1">IFERROR(__xludf.DUMMYFUNCTION("""COMPUTED_VALUE"""),"〇")</f>
        <v>〇</v>
      </c>
      <c r="M2133" s="1" t="str">
        <f ca="1">IFERROR(__xludf.DUMMYFUNCTION("""COMPUTED_VALUE"""),"〇")</f>
        <v>〇</v>
      </c>
      <c r="N2133" s="1"/>
      <c r="O2133" s="1"/>
      <c r="P2133" s="1"/>
    </row>
    <row r="2134" spans="1:16" ht="14.25" customHeight="1" x14ac:dyDescent="0.25">
      <c r="A2134" s="1"/>
      <c r="B2134" s="1">
        <f ca="1"/>
        <v>2122</v>
      </c>
      <c r="C2134" s="1">
        <f ca="1">IFERROR(__xludf.DUMMYFUNCTION("""COMPUTED_VALUE"""),2023)</f>
        <v>2023</v>
      </c>
      <c r="D2134" s="1">
        <f ca="1">IFERROR(__xludf.DUMMYFUNCTION("""COMPUTED_VALUE"""),371)</f>
        <v>371</v>
      </c>
      <c r="E2134" s="1" t="str">
        <f ca="1">IFERROR(__xludf.DUMMYFUNCTION("""COMPUTED_VALUE"""),"The Visual Computer")</f>
        <v>The Visual Computer</v>
      </c>
      <c r="F2134" s="1" t="str">
        <f ca="1">IFERROR(__xludf.DUMMYFUNCTION("""COMPUTED_VALUE"""),"1432-2315")</f>
        <v>1432-2315</v>
      </c>
      <c r="G2134" s="1" t="str">
        <f ca="1">IFERROR(__xludf.DUMMYFUNCTION("""COMPUTED_VALUE"""),"0178-2789")</f>
        <v>0178-2789</v>
      </c>
      <c r="H2134" s="27" t="str">
        <f ca="1">IFERROR(__xludf.DUMMYFUNCTION("""COMPUTED_VALUE"""),"https://link.springer.com/journal/371")</f>
        <v>https://link.springer.com/journal/371</v>
      </c>
      <c r="I2134" s="1" t="str">
        <f ca="1">IFERROR(__xludf.DUMMYFUNCTION("""COMPUTED_VALUE"""),"Springer")</f>
        <v>Springer</v>
      </c>
      <c r="J2134" s="1">
        <f ca="1">IFERROR(__xludf.DUMMYFUNCTION("""COMPUTED_VALUE"""),2000)</f>
        <v>2000</v>
      </c>
      <c r="K2134" s="1" t="str">
        <f ca="1">IFERROR(__xludf.DUMMYFUNCTION("""COMPUTED_VALUE"""),"Computer Science")</f>
        <v>Computer Science</v>
      </c>
      <c r="L2134" s="1" t="str">
        <f ca="1">IFERROR(__xludf.DUMMYFUNCTION("""COMPUTED_VALUE"""),"〇")</f>
        <v>〇</v>
      </c>
      <c r="M2134" s="1" t="str">
        <f ca="1">IFERROR(__xludf.DUMMYFUNCTION("""COMPUTED_VALUE"""),"〇")</f>
        <v>〇</v>
      </c>
      <c r="N2134" s="1"/>
      <c r="O2134" s="1"/>
      <c r="P2134" s="1"/>
    </row>
    <row r="2135" spans="1:16" ht="14.25" customHeight="1" x14ac:dyDescent="0.25">
      <c r="A2135" s="1"/>
      <c r="B2135" s="1">
        <f ca="1"/>
        <v>2123</v>
      </c>
      <c r="C2135" s="1">
        <f ca="1">IFERROR(__xludf.DUMMYFUNCTION("""COMPUTED_VALUE"""),2023)</f>
        <v>2023</v>
      </c>
      <c r="D2135" s="1">
        <f ca="1">IFERROR(__xludf.DUMMYFUNCTION("""COMPUTED_VALUE"""),778)</f>
        <v>778</v>
      </c>
      <c r="E2135" s="1" t="str">
        <f ca="1">IFERROR(__xludf.DUMMYFUNCTION("""COMPUTED_VALUE"""),"The VLDB Journal")</f>
        <v>The VLDB Journal</v>
      </c>
      <c r="F2135" s="1" t="str">
        <f ca="1">IFERROR(__xludf.DUMMYFUNCTION("""COMPUTED_VALUE"""),"0949-877X")</f>
        <v>0949-877X</v>
      </c>
      <c r="G2135" s="1" t="str">
        <f ca="1">IFERROR(__xludf.DUMMYFUNCTION("""COMPUTED_VALUE"""),"1066-8888")</f>
        <v>1066-8888</v>
      </c>
      <c r="H2135" s="27" t="str">
        <f ca="1">IFERROR(__xludf.DUMMYFUNCTION("""COMPUTED_VALUE"""),"https://link.springer.com/journal/778")</f>
        <v>https://link.springer.com/journal/778</v>
      </c>
      <c r="I2135" s="1" t="str">
        <f ca="1">IFERROR(__xludf.DUMMYFUNCTION("""COMPUTED_VALUE"""),"Springer")</f>
        <v>Springer</v>
      </c>
      <c r="J2135" s="1">
        <f ca="1">IFERROR(__xludf.DUMMYFUNCTION("""COMPUTED_VALUE"""),2000)</f>
        <v>2000</v>
      </c>
      <c r="K2135" s="1" t="str">
        <f ca="1">IFERROR(__xludf.DUMMYFUNCTION("""COMPUTED_VALUE"""),"Computer Science")</f>
        <v>Computer Science</v>
      </c>
      <c r="L2135" s="1" t="str">
        <f ca="1">IFERROR(__xludf.DUMMYFUNCTION("""COMPUTED_VALUE"""),"〇")</f>
        <v>〇</v>
      </c>
      <c r="M2135" s="1" t="str">
        <f ca="1">IFERROR(__xludf.DUMMYFUNCTION("""COMPUTED_VALUE"""),"〇")</f>
        <v>〇</v>
      </c>
      <c r="N2135" s="1"/>
      <c r="O2135" s="1"/>
      <c r="P2135" s="1"/>
    </row>
    <row r="2136" spans="1:16" ht="14.25" customHeight="1" x14ac:dyDescent="0.25">
      <c r="A2136" s="1"/>
      <c r="B2136" s="1">
        <f ca="1"/>
        <v>2124</v>
      </c>
      <c r="C2136" s="1">
        <f ca="1">IFERROR(__xludf.DUMMYFUNCTION("""COMPUTED_VALUE"""),2023)</f>
        <v>2023</v>
      </c>
      <c r="D2136" s="1">
        <f ca="1">IFERROR(__xludf.DUMMYFUNCTION("""COMPUTED_VALUE"""),704)</f>
        <v>704</v>
      </c>
      <c r="E2136" s="1" t="str">
        <f ca="1">IFERROR(__xludf.DUMMYFUNCTION("""COMPUTED_VALUE"""),"Theoretical and Applied Climatology")</f>
        <v>Theoretical and Applied Climatology</v>
      </c>
      <c r="F2136" s="1" t="str">
        <f ca="1">IFERROR(__xludf.DUMMYFUNCTION("""COMPUTED_VALUE"""),"1434-4483")</f>
        <v>1434-4483</v>
      </c>
      <c r="G2136" s="1" t="str">
        <f ca="1">IFERROR(__xludf.DUMMYFUNCTION("""COMPUTED_VALUE"""),"0177-798X")</f>
        <v>0177-798X</v>
      </c>
      <c r="H2136" s="27" t="str">
        <f ca="1">IFERROR(__xludf.DUMMYFUNCTION("""COMPUTED_VALUE"""),"https://link.springer.com/journal/704")</f>
        <v>https://link.springer.com/journal/704</v>
      </c>
      <c r="I2136" s="1" t="str">
        <f ca="1">IFERROR(__xludf.DUMMYFUNCTION("""COMPUTED_VALUE"""),"Springer")</f>
        <v>Springer</v>
      </c>
      <c r="J2136" s="1">
        <f ca="1">IFERROR(__xludf.DUMMYFUNCTION("""COMPUTED_VALUE"""),2000)</f>
        <v>2000</v>
      </c>
      <c r="K2136" s="1" t="str">
        <f ca="1">IFERROR(__xludf.DUMMYFUNCTION("""COMPUTED_VALUE"""),"Earth and Environmental Science")</f>
        <v>Earth and Environmental Science</v>
      </c>
      <c r="L2136" s="1" t="str">
        <f ca="1">IFERROR(__xludf.DUMMYFUNCTION("""COMPUTED_VALUE"""),"〇")</f>
        <v>〇</v>
      </c>
      <c r="M2136" s="1" t="str">
        <f ca="1">IFERROR(__xludf.DUMMYFUNCTION("""COMPUTED_VALUE"""),"〇")</f>
        <v>〇</v>
      </c>
      <c r="N2136" s="1"/>
      <c r="O2136" s="1"/>
      <c r="P2136" s="1"/>
    </row>
    <row r="2137" spans="1:16" ht="14.25" customHeight="1" x14ac:dyDescent="0.25">
      <c r="A2137" s="1"/>
      <c r="B2137" s="1">
        <f ca="1"/>
        <v>2125</v>
      </c>
      <c r="C2137" s="1">
        <f ca="1">IFERROR(__xludf.DUMMYFUNCTION("""COMPUTED_VALUE"""),2023)</f>
        <v>2023</v>
      </c>
      <c r="D2137" s="1">
        <f ca="1">IFERROR(__xludf.DUMMYFUNCTION("""COMPUTED_VALUE"""),122)</f>
        <v>122</v>
      </c>
      <c r="E2137" s="1" t="str">
        <f ca="1">IFERROR(__xludf.DUMMYFUNCTION("""COMPUTED_VALUE"""),"Theoretical and Applied Genetics")</f>
        <v>Theoretical and Applied Genetics</v>
      </c>
      <c r="F2137" s="1" t="str">
        <f ca="1">IFERROR(__xludf.DUMMYFUNCTION("""COMPUTED_VALUE"""),"1432-2242")</f>
        <v>1432-2242</v>
      </c>
      <c r="G2137" s="1" t="str">
        <f ca="1">IFERROR(__xludf.DUMMYFUNCTION("""COMPUTED_VALUE"""),"0040-5752")</f>
        <v>0040-5752</v>
      </c>
      <c r="H2137" s="27" t="str">
        <f ca="1">IFERROR(__xludf.DUMMYFUNCTION("""COMPUTED_VALUE"""),"https://link.springer.com/journal/122")</f>
        <v>https://link.springer.com/journal/122</v>
      </c>
      <c r="I2137" s="1" t="str">
        <f ca="1">IFERROR(__xludf.DUMMYFUNCTION("""COMPUTED_VALUE"""),"Springer")</f>
        <v>Springer</v>
      </c>
      <c r="J2137" s="1">
        <f ca="1">IFERROR(__xludf.DUMMYFUNCTION("""COMPUTED_VALUE"""),2000)</f>
        <v>2000</v>
      </c>
      <c r="K2137" s="1" t="str">
        <f ca="1">IFERROR(__xludf.DUMMYFUNCTION("""COMPUTED_VALUE"""),"Biomedical and Life Sciences")</f>
        <v>Biomedical and Life Sciences</v>
      </c>
      <c r="L2137" s="1" t="str">
        <f ca="1">IFERROR(__xludf.DUMMYFUNCTION("""COMPUTED_VALUE"""),"〇")</f>
        <v>〇</v>
      </c>
      <c r="M2137" s="1" t="str">
        <f ca="1">IFERROR(__xludf.DUMMYFUNCTION("""COMPUTED_VALUE"""),"〇")</f>
        <v>〇</v>
      </c>
      <c r="N2137" s="1"/>
      <c r="O2137" s="1"/>
      <c r="P2137" s="1"/>
    </row>
    <row r="2138" spans="1:16" ht="14.25" customHeight="1" x14ac:dyDescent="0.25">
      <c r="A2138" s="1"/>
      <c r="B2138" s="1">
        <f ca="1"/>
        <v>2126</v>
      </c>
      <c r="C2138" s="1">
        <f ca="1">IFERROR(__xludf.DUMMYFUNCTION("""COMPUTED_VALUE"""),2023)</f>
        <v>2023</v>
      </c>
      <c r="D2138" s="1">
        <f ca="1">IFERROR(__xludf.DUMMYFUNCTION("""COMPUTED_VALUE"""),162)</f>
        <v>162</v>
      </c>
      <c r="E2138" s="1" t="str">
        <f ca="1">IFERROR(__xludf.DUMMYFUNCTION("""COMPUTED_VALUE"""),"Theoretical and Computational Fluid Dynamics")</f>
        <v>Theoretical and Computational Fluid Dynamics</v>
      </c>
      <c r="F2138" s="1" t="str">
        <f ca="1">IFERROR(__xludf.DUMMYFUNCTION("""COMPUTED_VALUE"""),"1432-2250")</f>
        <v>1432-2250</v>
      </c>
      <c r="G2138" s="1" t="str">
        <f ca="1">IFERROR(__xludf.DUMMYFUNCTION("""COMPUTED_VALUE"""),"0935-4964")</f>
        <v>0935-4964</v>
      </c>
      <c r="H2138" s="27" t="str">
        <f ca="1">IFERROR(__xludf.DUMMYFUNCTION("""COMPUTED_VALUE"""),"https://link.springer.com/journal/162")</f>
        <v>https://link.springer.com/journal/162</v>
      </c>
      <c r="I2138" s="1" t="str">
        <f ca="1">IFERROR(__xludf.DUMMYFUNCTION("""COMPUTED_VALUE"""),"Springer")</f>
        <v>Springer</v>
      </c>
      <c r="J2138" s="1">
        <f ca="1">IFERROR(__xludf.DUMMYFUNCTION("""COMPUTED_VALUE"""),2000)</f>
        <v>2000</v>
      </c>
      <c r="K2138" s="1" t="str">
        <f ca="1">IFERROR(__xludf.DUMMYFUNCTION("""COMPUTED_VALUE"""),"Engineering")</f>
        <v>Engineering</v>
      </c>
      <c r="L2138" s="1" t="str">
        <f ca="1">IFERROR(__xludf.DUMMYFUNCTION("""COMPUTED_VALUE"""),"〇")</f>
        <v>〇</v>
      </c>
      <c r="M2138" s="1" t="str">
        <f ca="1">IFERROR(__xludf.DUMMYFUNCTION("""COMPUTED_VALUE"""),"〇")</f>
        <v>〇</v>
      </c>
      <c r="N2138" s="1"/>
      <c r="O2138" s="1"/>
      <c r="P2138" s="1"/>
    </row>
    <row r="2139" spans="1:16" ht="14.25" customHeight="1" x14ac:dyDescent="0.25">
      <c r="A2139" s="1"/>
      <c r="B2139" s="1">
        <f ca="1"/>
        <v>2127</v>
      </c>
      <c r="C2139" s="1">
        <f ca="1">IFERROR(__xludf.DUMMYFUNCTION("""COMPUTED_VALUE"""),2023)</f>
        <v>2023</v>
      </c>
      <c r="D2139" s="1">
        <f ca="1">IFERROR(__xludf.DUMMYFUNCTION("""COMPUTED_VALUE"""),11237)</f>
        <v>11237</v>
      </c>
      <c r="E2139" s="1" t="str">
        <f ca="1">IFERROR(__xludf.DUMMYFUNCTION("""COMPUTED_VALUE"""),"Theoretical and Experimental Chemistry")</f>
        <v>Theoretical and Experimental Chemistry</v>
      </c>
      <c r="F2139" s="1" t="str">
        <f ca="1">IFERROR(__xludf.DUMMYFUNCTION("""COMPUTED_VALUE"""),"1573-935X")</f>
        <v>1573-935X</v>
      </c>
      <c r="G2139" s="1" t="str">
        <f ca="1">IFERROR(__xludf.DUMMYFUNCTION("""COMPUTED_VALUE"""),"0040-5760")</f>
        <v>0040-5760</v>
      </c>
      <c r="H2139" s="27" t="str">
        <f ca="1">IFERROR(__xludf.DUMMYFUNCTION("""COMPUTED_VALUE"""),"https://link.springer.com/journal/11237")</f>
        <v>https://link.springer.com/journal/11237</v>
      </c>
      <c r="I2139" s="1" t="str">
        <f ca="1">IFERROR(__xludf.DUMMYFUNCTION("""COMPUTED_VALUE"""),"Springer")</f>
        <v>Springer</v>
      </c>
      <c r="J2139" s="1">
        <f ca="1">IFERROR(__xludf.DUMMYFUNCTION("""COMPUTED_VALUE"""),2000)</f>
        <v>2000</v>
      </c>
      <c r="K2139" s="1" t="str">
        <f ca="1">IFERROR(__xludf.DUMMYFUNCTION("""COMPUTED_VALUE"""),"Chemistry and Materials Science")</f>
        <v>Chemistry and Materials Science</v>
      </c>
      <c r="L2139" s="1" t="str">
        <f ca="1">IFERROR(__xludf.DUMMYFUNCTION("""COMPUTED_VALUE"""),"〇")</f>
        <v>〇</v>
      </c>
      <c r="M2139" s="1" t="str">
        <f ca="1">IFERROR(__xludf.DUMMYFUNCTION("""COMPUTED_VALUE"""),"〇")</f>
        <v>〇</v>
      </c>
      <c r="N2139" s="1"/>
      <c r="O2139" s="1"/>
      <c r="P2139" s="1"/>
    </row>
    <row r="2140" spans="1:16" ht="14.25" customHeight="1" x14ac:dyDescent="0.25">
      <c r="A2140" s="1"/>
      <c r="B2140" s="1">
        <f ca="1"/>
        <v>2128</v>
      </c>
      <c r="C2140" s="1">
        <f ca="1">IFERROR(__xludf.DUMMYFUNCTION("""COMPUTED_VALUE"""),2023)</f>
        <v>2023</v>
      </c>
      <c r="D2140" s="1">
        <f ca="1">IFERROR(__xludf.DUMMYFUNCTION("""COMPUTED_VALUE"""),40626)</f>
        <v>40626</v>
      </c>
      <c r="E2140" s="1" t="str">
        <f ca="1">IFERROR(__xludf.DUMMYFUNCTION("""COMPUTED_VALUE"""),"Theoretical and Experimental Plant Physiology")</f>
        <v>Theoretical and Experimental Plant Physiology</v>
      </c>
      <c r="F2140" s="1" t="str">
        <f ca="1">IFERROR(__xludf.DUMMYFUNCTION("""COMPUTED_VALUE"""),"2197-0025")</f>
        <v>2197-0025</v>
      </c>
      <c r="G2140" s="1"/>
      <c r="H2140" s="27" t="str">
        <f ca="1">IFERROR(__xludf.DUMMYFUNCTION("""COMPUTED_VALUE"""),"https://link.springer.com/journal/40626")</f>
        <v>https://link.springer.com/journal/40626</v>
      </c>
      <c r="I2140" s="1" t="str">
        <f ca="1">IFERROR(__xludf.DUMMYFUNCTION("""COMPUTED_VALUE"""),"Springer")</f>
        <v>Springer</v>
      </c>
      <c r="J2140" s="1">
        <f ca="1">IFERROR(__xludf.DUMMYFUNCTION("""COMPUTED_VALUE"""),2014)</f>
        <v>2014</v>
      </c>
      <c r="K2140" s="1" t="str">
        <f ca="1">IFERROR(__xludf.DUMMYFUNCTION("""COMPUTED_VALUE"""),"Biomedical and Life Sciences")</f>
        <v>Biomedical and Life Sciences</v>
      </c>
      <c r="L2140" s="1"/>
      <c r="M2140" s="1"/>
      <c r="N2140" s="1" t="str">
        <f ca="1">IFERROR(__xludf.DUMMYFUNCTION("""COMPUTED_VALUE"""),"TO14")</f>
        <v>TO14</v>
      </c>
      <c r="O2140" s="1"/>
      <c r="P2140" s="1"/>
    </row>
    <row r="2141" spans="1:16" ht="14.25" customHeight="1" x14ac:dyDescent="0.25">
      <c r="A2141" s="1"/>
      <c r="B2141" s="1">
        <f ca="1"/>
        <v>2129</v>
      </c>
      <c r="C2141" s="1">
        <f ca="1">IFERROR(__xludf.DUMMYFUNCTION("""COMPUTED_VALUE"""),2023)</f>
        <v>2023</v>
      </c>
      <c r="D2141" s="1">
        <f ca="1">IFERROR(__xludf.DUMMYFUNCTION("""COMPUTED_VALUE"""),11232)</f>
        <v>11232</v>
      </c>
      <c r="E2141" s="1" t="str">
        <f ca="1">IFERROR(__xludf.DUMMYFUNCTION("""COMPUTED_VALUE"""),"Theoretical and Mathematical Physics")</f>
        <v>Theoretical and Mathematical Physics</v>
      </c>
      <c r="F2141" s="1" t="str">
        <f ca="1">IFERROR(__xludf.DUMMYFUNCTION("""COMPUTED_VALUE"""),"1573-9333")</f>
        <v>1573-9333</v>
      </c>
      <c r="G2141" s="1" t="str">
        <f ca="1">IFERROR(__xludf.DUMMYFUNCTION("""COMPUTED_VALUE"""),"0040-5779")</f>
        <v>0040-5779</v>
      </c>
      <c r="H2141" s="27" t="str">
        <f ca="1">IFERROR(__xludf.DUMMYFUNCTION("""COMPUTED_VALUE"""),"https://link.springer.com/journal/11232")</f>
        <v>https://link.springer.com/journal/11232</v>
      </c>
      <c r="I2141" s="1" t="str">
        <f ca="1">IFERROR(__xludf.DUMMYFUNCTION("""COMPUTED_VALUE"""),"Pleiades Publishing")</f>
        <v>Pleiades Publishing</v>
      </c>
      <c r="J2141" s="1">
        <f ca="1">IFERROR(__xludf.DUMMYFUNCTION("""COMPUTED_VALUE"""),2000)</f>
        <v>2000</v>
      </c>
      <c r="K2141" s="1" t="str">
        <f ca="1">IFERROR(__xludf.DUMMYFUNCTION("""COMPUTED_VALUE"""),"Physics and Astronomy")</f>
        <v>Physics and Astronomy</v>
      </c>
      <c r="L2141" s="1" t="str">
        <f ca="1">IFERROR(__xludf.DUMMYFUNCTION("""COMPUTED_VALUE"""),"〇")</f>
        <v>〇</v>
      </c>
      <c r="M2141" s="1" t="str">
        <f ca="1">IFERROR(__xludf.DUMMYFUNCTION("""COMPUTED_VALUE"""),"〇")</f>
        <v>〇</v>
      </c>
      <c r="N2141" s="1"/>
      <c r="O2141" s="1"/>
      <c r="P2141" s="1"/>
    </row>
    <row r="2142" spans="1:16" ht="14.25" customHeight="1" x14ac:dyDescent="0.25">
      <c r="A2142" s="1"/>
      <c r="B2142" s="1">
        <f ca="1"/>
        <v>2130</v>
      </c>
      <c r="C2142" s="1">
        <f ca="1">IFERROR(__xludf.DUMMYFUNCTION("""COMPUTED_VALUE"""),2023)</f>
        <v>2023</v>
      </c>
      <c r="D2142" s="1">
        <f ca="1">IFERROR(__xludf.DUMMYFUNCTION("""COMPUTED_VALUE"""),214)</f>
        <v>214</v>
      </c>
      <c r="E2142" s="1" t="str">
        <f ca="1">IFERROR(__xludf.DUMMYFUNCTION("""COMPUTED_VALUE"""),"Theoretical Chemistry Accounts")</f>
        <v>Theoretical Chemistry Accounts</v>
      </c>
      <c r="F2142" s="1" t="str">
        <f ca="1">IFERROR(__xludf.DUMMYFUNCTION("""COMPUTED_VALUE"""),"1432-2234")</f>
        <v>1432-2234</v>
      </c>
      <c r="G2142" s="1" t="str">
        <f ca="1">IFERROR(__xludf.DUMMYFUNCTION("""COMPUTED_VALUE"""),"1432-881X")</f>
        <v>1432-881X</v>
      </c>
      <c r="H2142" s="27" t="str">
        <f ca="1">IFERROR(__xludf.DUMMYFUNCTION("""COMPUTED_VALUE"""),"https://link.springer.com/journal/214")</f>
        <v>https://link.springer.com/journal/214</v>
      </c>
      <c r="I2142" s="1" t="str">
        <f ca="1">IFERROR(__xludf.DUMMYFUNCTION("""COMPUTED_VALUE"""),"Springer")</f>
        <v>Springer</v>
      </c>
      <c r="J2142" s="1">
        <f ca="1">IFERROR(__xludf.DUMMYFUNCTION("""COMPUTED_VALUE"""),2000)</f>
        <v>2000</v>
      </c>
      <c r="K2142" s="1" t="str">
        <f ca="1">IFERROR(__xludf.DUMMYFUNCTION("""COMPUTED_VALUE"""),"Chemistry and Materials Science")</f>
        <v>Chemistry and Materials Science</v>
      </c>
      <c r="L2142" s="1" t="str">
        <f ca="1">IFERROR(__xludf.DUMMYFUNCTION("""COMPUTED_VALUE"""),"〇")</f>
        <v>〇</v>
      </c>
      <c r="M2142" s="1" t="str">
        <f ca="1">IFERROR(__xludf.DUMMYFUNCTION("""COMPUTED_VALUE"""),"〇")</f>
        <v>〇</v>
      </c>
      <c r="N2142" s="1"/>
      <c r="O2142" s="1"/>
      <c r="P2142" s="1"/>
    </row>
    <row r="2143" spans="1:16" ht="14.25" customHeight="1" x14ac:dyDescent="0.25">
      <c r="A2143" s="1"/>
      <c r="B2143" s="1">
        <f ca="1"/>
        <v>2131</v>
      </c>
      <c r="C2143" s="1">
        <f ca="1">IFERROR(__xludf.DUMMYFUNCTION("""COMPUTED_VALUE"""),2023)</f>
        <v>2023</v>
      </c>
      <c r="D2143" s="1">
        <f ca="1">IFERROR(__xludf.DUMMYFUNCTION("""COMPUTED_VALUE"""),12080)</f>
        <v>12080</v>
      </c>
      <c r="E2143" s="1" t="str">
        <f ca="1">IFERROR(__xludf.DUMMYFUNCTION("""COMPUTED_VALUE"""),"Theoretical Ecology")</f>
        <v>Theoretical Ecology</v>
      </c>
      <c r="F2143" s="1" t="str">
        <f ca="1">IFERROR(__xludf.DUMMYFUNCTION("""COMPUTED_VALUE"""),"1874-1746")</f>
        <v>1874-1746</v>
      </c>
      <c r="G2143" s="1"/>
      <c r="H2143" s="27" t="str">
        <f ca="1">IFERROR(__xludf.DUMMYFUNCTION("""COMPUTED_VALUE"""),"https://link.springer.com/journal/12080")</f>
        <v>https://link.springer.com/journal/12080</v>
      </c>
      <c r="I2143" s="1" t="str">
        <f ca="1">IFERROR(__xludf.DUMMYFUNCTION("""COMPUTED_VALUE"""),"Springer")</f>
        <v>Springer</v>
      </c>
      <c r="J2143" s="1">
        <f ca="1">IFERROR(__xludf.DUMMYFUNCTION("""COMPUTED_VALUE"""),2008)</f>
        <v>2008</v>
      </c>
      <c r="K2143" s="1" t="str">
        <f ca="1">IFERROR(__xludf.DUMMYFUNCTION("""COMPUTED_VALUE"""),"Biomedical and Life Sciences")</f>
        <v>Biomedical and Life Sciences</v>
      </c>
      <c r="L2143" s="1"/>
      <c r="M2143" s="1" t="str">
        <f ca="1">IFERROR(__xludf.DUMMYFUNCTION("""COMPUTED_VALUE"""),"〇")</f>
        <v>〇</v>
      </c>
      <c r="N2143" s="1" t="str">
        <f ca="1">IFERROR(__xludf.DUMMYFUNCTION("""COMPUTED_VALUE"""),"SNS8")</f>
        <v>SNS8</v>
      </c>
      <c r="O2143" s="1"/>
      <c r="P2143" s="1"/>
    </row>
    <row r="2144" spans="1:16" ht="14.25" customHeight="1" x14ac:dyDescent="0.25">
      <c r="A2144" s="1"/>
      <c r="B2144" s="1">
        <f ca="1"/>
        <v>2132</v>
      </c>
      <c r="C2144" s="1">
        <f ca="1">IFERROR(__xludf.DUMMYFUNCTION("""COMPUTED_VALUE"""),2023)</f>
        <v>2023</v>
      </c>
      <c r="D2144" s="1">
        <f ca="1">IFERROR(__xludf.DUMMYFUNCTION("""COMPUTED_VALUE"""),11236)</f>
        <v>11236</v>
      </c>
      <c r="E2144" s="1" t="str">
        <f ca="1">IFERROR(__xludf.DUMMYFUNCTION("""COMPUTED_VALUE"""),"Theoretical Foundations of Chemical Engineering")</f>
        <v>Theoretical Foundations of Chemical Engineering</v>
      </c>
      <c r="F2144" s="1" t="str">
        <f ca="1">IFERROR(__xludf.DUMMYFUNCTION("""COMPUTED_VALUE"""),"1608-3431")</f>
        <v>1608-3431</v>
      </c>
      <c r="G2144" s="1" t="str">
        <f ca="1">IFERROR(__xludf.DUMMYFUNCTION("""COMPUTED_VALUE"""),"0040-5795")</f>
        <v>0040-5795</v>
      </c>
      <c r="H2144" s="27" t="str">
        <f ca="1">IFERROR(__xludf.DUMMYFUNCTION("""COMPUTED_VALUE"""),"https://link.springer.com/journal/11236")</f>
        <v>https://link.springer.com/journal/11236</v>
      </c>
      <c r="I2144" s="1" t="str">
        <f ca="1">IFERROR(__xludf.DUMMYFUNCTION("""COMPUTED_VALUE"""),"Pleiades Publishing")</f>
        <v>Pleiades Publishing</v>
      </c>
      <c r="J2144" s="1">
        <f ca="1">IFERROR(__xludf.DUMMYFUNCTION("""COMPUTED_VALUE"""),2000)</f>
        <v>2000</v>
      </c>
      <c r="K2144" s="1" t="str">
        <f ca="1">IFERROR(__xludf.DUMMYFUNCTION("""COMPUTED_VALUE"""),"Chemistry and Materials Science")</f>
        <v>Chemistry and Materials Science</v>
      </c>
      <c r="L2144" s="1" t="str">
        <f ca="1">IFERROR(__xludf.DUMMYFUNCTION("""COMPUTED_VALUE"""),"〇")</f>
        <v>〇</v>
      </c>
      <c r="M2144" s="1" t="str">
        <f ca="1">IFERROR(__xludf.DUMMYFUNCTION("""COMPUTED_VALUE"""),"〇")</f>
        <v>〇</v>
      </c>
      <c r="N2144" s="1"/>
      <c r="O2144" s="1"/>
      <c r="P2144" s="1"/>
    </row>
    <row r="2145" spans="1:16" ht="14.25" customHeight="1" x14ac:dyDescent="0.25">
      <c r="A2145" s="1"/>
      <c r="B2145" s="1">
        <f ca="1"/>
        <v>2133</v>
      </c>
      <c r="C2145" s="1">
        <f ca="1">IFERROR(__xludf.DUMMYFUNCTION("""COMPUTED_VALUE"""),2023)</f>
        <v>2023</v>
      </c>
      <c r="D2145" s="1">
        <f ca="1">IFERROR(__xludf.DUMMYFUNCTION("""COMPUTED_VALUE"""),11017)</f>
        <v>11017</v>
      </c>
      <c r="E2145" s="1" t="str">
        <f ca="1">IFERROR(__xludf.DUMMYFUNCTION("""COMPUTED_VALUE"""),"Theoretical Medicine and Bioethics")</f>
        <v>Theoretical Medicine and Bioethics</v>
      </c>
      <c r="F2145" s="1" t="str">
        <f ca="1">IFERROR(__xludf.DUMMYFUNCTION("""COMPUTED_VALUE"""),"1573-1200")</f>
        <v>1573-1200</v>
      </c>
      <c r="G2145" s="1" t="str">
        <f ca="1">IFERROR(__xludf.DUMMYFUNCTION("""COMPUTED_VALUE"""),"1386-7415")</f>
        <v>1386-7415</v>
      </c>
      <c r="H2145" s="27" t="str">
        <f ca="1">IFERROR(__xludf.DUMMYFUNCTION("""COMPUTED_VALUE"""),"https://link.springer.com/journal/11017")</f>
        <v>https://link.springer.com/journal/11017</v>
      </c>
      <c r="I2145" s="1" t="str">
        <f ca="1">IFERROR(__xludf.DUMMYFUNCTION("""COMPUTED_VALUE"""),"Springer")</f>
        <v>Springer</v>
      </c>
      <c r="J2145" s="1">
        <f ca="1">IFERROR(__xludf.DUMMYFUNCTION("""COMPUTED_VALUE"""),2000)</f>
        <v>2000</v>
      </c>
      <c r="K2145" s="1" t="str">
        <f ca="1">IFERROR(__xludf.DUMMYFUNCTION("""COMPUTED_VALUE"""),"Education")</f>
        <v>Education</v>
      </c>
      <c r="L2145" s="1" t="str">
        <f ca="1">IFERROR(__xludf.DUMMYFUNCTION("""COMPUTED_VALUE"""),"〇")</f>
        <v>〇</v>
      </c>
      <c r="M2145" s="1" t="str">
        <f ca="1">IFERROR(__xludf.DUMMYFUNCTION("""COMPUTED_VALUE"""),"〇")</f>
        <v>〇</v>
      </c>
      <c r="N2145" s="1"/>
      <c r="O2145" s="1"/>
      <c r="P2145" s="1"/>
    </row>
    <row r="2146" spans="1:16" ht="14.25" customHeight="1" x14ac:dyDescent="0.25">
      <c r="A2146" s="1"/>
      <c r="B2146" s="1">
        <f ca="1"/>
        <v>2134</v>
      </c>
      <c r="C2146" s="1">
        <f ca="1">IFERROR(__xludf.DUMMYFUNCTION("""COMPUTED_VALUE"""),2023)</f>
        <v>2023</v>
      </c>
      <c r="D2146" s="1">
        <f ca="1">IFERROR(__xludf.DUMMYFUNCTION("""COMPUTED_VALUE"""),11238)</f>
        <v>11238</v>
      </c>
      <c r="E2146" s="1" t="str">
        <f ca="1">IFERROR(__xludf.DUMMYFUNCTION("""COMPUTED_VALUE"""),"Theory and Decision")</f>
        <v>Theory and Decision</v>
      </c>
      <c r="F2146" s="1" t="str">
        <f ca="1">IFERROR(__xludf.DUMMYFUNCTION("""COMPUTED_VALUE"""),"1573-7187")</f>
        <v>1573-7187</v>
      </c>
      <c r="G2146" s="1" t="str">
        <f ca="1">IFERROR(__xludf.DUMMYFUNCTION("""COMPUTED_VALUE"""),"0040-5833")</f>
        <v>0040-5833</v>
      </c>
      <c r="H2146" s="27" t="str">
        <f ca="1">IFERROR(__xludf.DUMMYFUNCTION("""COMPUTED_VALUE"""),"https://link.springer.com/journal/11238")</f>
        <v>https://link.springer.com/journal/11238</v>
      </c>
      <c r="I2146" s="1" t="str">
        <f ca="1">IFERROR(__xludf.DUMMYFUNCTION("""COMPUTED_VALUE"""),"Springer")</f>
        <v>Springer</v>
      </c>
      <c r="J2146" s="1">
        <f ca="1">IFERROR(__xludf.DUMMYFUNCTION("""COMPUTED_VALUE"""),2000)</f>
        <v>2000</v>
      </c>
      <c r="K2146" s="1" t="str">
        <f ca="1">IFERROR(__xludf.DUMMYFUNCTION("""COMPUTED_VALUE"""),"Economics and Finance")</f>
        <v>Economics and Finance</v>
      </c>
      <c r="L2146" s="1" t="str">
        <f ca="1">IFERROR(__xludf.DUMMYFUNCTION("""COMPUTED_VALUE"""),"〇")</f>
        <v>〇</v>
      </c>
      <c r="M2146" s="1" t="str">
        <f ca="1">IFERROR(__xludf.DUMMYFUNCTION("""COMPUTED_VALUE"""),"〇")</f>
        <v>〇</v>
      </c>
      <c r="N2146" s="1"/>
      <c r="O2146" s="1"/>
      <c r="P2146" s="1"/>
    </row>
    <row r="2147" spans="1:16" ht="14.25" customHeight="1" x14ac:dyDescent="0.25">
      <c r="A2147" s="1"/>
      <c r="B2147" s="1">
        <f ca="1"/>
        <v>2135</v>
      </c>
      <c r="C2147" s="1">
        <f ca="1">IFERROR(__xludf.DUMMYFUNCTION("""COMPUTED_VALUE"""),2023)</f>
        <v>2023</v>
      </c>
      <c r="D2147" s="1">
        <f ca="1">IFERROR(__xludf.DUMMYFUNCTION("""COMPUTED_VALUE"""),11186)</f>
        <v>11186</v>
      </c>
      <c r="E2147" s="1" t="str">
        <f ca="1">IFERROR(__xludf.DUMMYFUNCTION("""COMPUTED_VALUE"""),"Theory and Society")</f>
        <v>Theory and Society</v>
      </c>
      <c r="F2147" s="1" t="str">
        <f ca="1">IFERROR(__xludf.DUMMYFUNCTION("""COMPUTED_VALUE"""),"1573-7853")</f>
        <v>1573-7853</v>
      </c>
      <c r="G2147" s="1" t="str">
        <f ca="1">IFERROR(__xludf.DUMMYFUNCTION("""COMPUTED_VALUE"""),"0304-2421")</f>
        <v>0304-2421</v>
      </c>
      <c r="H2147" s="27" t="str">
        <f ca="1">IFERROR(__xludf.DUMMYFUNCTION("""COMPUTED_VALUE"""),"https://link.springer.com/journal/11186")</f>
        <v>https://link.springer.com/journal/11186</v>
      </c>
      <c r="I2147" s="1" t="str">
        <f ca="1">IFERROR(__xludf.DUMMYFUNCTION("""COMPUTED_VALUE"""),"Springer")</f>
        <v>Springer</v>
      </c>
      <c r="J2147" s="1">
        <f ca="1">IFERROR(__xludf.DUMMYFUNCTION("""COMPUTED_VALUE"""),2000)</f>
        <v>2000</v>
      </c>
      <c r="K2147" s="1" t="str">
        <f ca="1">IFERROR(__xludf.DUMMYFUNCTION("""COMPUTED_VALUE"""),"Social Sciences")</f>
        <v>Social Sciences</v>
      </c>
      <c r="L2147" s="1" t="str">
        <f ca="1">IFERROR(__xludf.DUMMYFUNCTION("""COMPUTED_VALUE"""),"〇")</f>
        <v>〇</v>
      </c>
      <c r="M2147" s="1" t="str">
        <f ca="1">IFERROR(__xludf.DUMMYFUNCTION("""COMPUTED_VALUE"""),"〇")</f>
        <v>〇</v>
      </c>
      <c r="N2147" s="1"/>
      <c r="O2147" s="1"/>
      <c r="P2147" s="1"/>
    </row>
    <row r="2148" spans="1:16" ht="14.25" customHeight="1" x14ac:dyDescent="0.25">
      <c r="A2148" s="1"/>
      <c r="B2148" s="1">
        <f ca="1"/>
        <v>2136</v>
      </c>
      <c r="C2148" s="1">
        <f ca="1">IFERROR(__xludf.DUMMYFUNCTION("""COMPUTED_VALUE"""),2023)</f>
        <v>2023</v>
      </c>
      <c r="D2148" s="1">
        <f ca="1">IFERROR(__xludf.DUMMYFUNCTION("""COMPUTED_VALUE"""),12064)</f>
        <v>12064</v>
      </c>
      <c r="E2148" s="1" t="str">
        <f ca="1">IFERROR(__xludf.DUMMYFUNCTION("""COMPUTED_VALUE"""),"Theory in Biosciences")</f>
        <v>Theory in Biosciences</v>
      </c>
      <c r="F2148" s="1" t="str">
        <f ca="1">IFERROR(__xludf.DUMMYFUNCTION("""COMPUTED_VALUE"""),"1611-7530")</f>
        <v>1611-7530</v>
      </c>
      <c r="G2148" s="1" t="str">
        <f ca="1">IFERROR(__xludf.DUMMYFUNCTION("""COMPUTED_VALUE"""),"1431-7613")</f>
        <v>1431-7613</v>
      </c>
      <c r="H2148" s="27" t="str">
        <f ca="1">IFERROR(__xludf.DUMMYFUNCTION("""COMPUTED_VALUE"""),"https://link.springer.com/journal/12064")</f>
        <v>https://link.springer.com/journal/12064</v>
      </c>
      <c r="I2148" s="1" t="str">
        <f ca="1">IFERROR(__xludf.DUMMYFUNCTION("""COMPUTED_VALUE"""),"Springer")</f>
        <v>Springer</v>
      </c>
      <c r="J2148" s="1">
        <f ca="1">IFERROR(__xludf.DUMMYFUNCTION("""COMPUTED_VALUE"""),2000)</f>
        <v>2000</v>
      </c>
      <c r="K2148" s="1" t="str">
        <f ca="1">IFERROR(__xludf.DUMMYFUNCTION("""COMPUTED_VALUE"""),"Biomedical and Life Sciences")</f>
        <v>Biomedical and Life Sciences</v>
      </c>
      <c r="L2148" s="1" t="str">
        <f ca="1">IFERROR(__xludf.DUMMYFUNCTION("""COMPUTED_VALUE"""),"〇")</f>
        <v>〇</v>
      </c>
      <c r="M2148" s="1" t="str">
        <f ca="1">IFERROR(__xludf.DUMMYFUNCTION("""COMPUTED_VALUE"""),"〇")</f>
        <v>〇</v>
      </c>
      <c r="N2148" s="1" t="str">
        <f ca="1">IFERROR(__xludf.DUMMYFUNCTION("""COMPUTED_VALUE"""),"TO7")</f>
        <v>TO7</v>
      </c>
      <c r="O2148" s="1"/>
      <c r="P2148" s="1"/>
    </row>
    <row r="2149" spans="1:16" ht="14.25" customHeight="1" x14ac:dyDescent="0.25">
      <c r="A2149" s="1"/>
      <c r="B2149" s="1">
        <f ca="1"/>
        <v>2137</v>
      </c>
      <c r="C2149" s="1">
        <f ca="1">IFERROR(__xludf.DUMMYFUNCTION("""COMPUTED_VALUE"""),2023)</f>
        <v>2023</v>
      </c>
      <c r="D2149" s="1">
        <f ca="1">IFERROR(__xludf.DUMMYFUNCTION("""COMPUTED_VALUE"""),224)</f>
        <v>224</v>
      </c>
      <c r="E2149" s="1" t="str">
        <f ca="1">IFERROR(__xludf.DUMMYFUNCTION("""COMPUTED_VALUE"""),"Theory of Computing Systems")</f>
        <v>Theory of Computing Systems</v>
      </c>
      <c r="F2149" s="1" t="str">
        <f ca="1">IFERROR(__xludf.DUMMYFUNCTION("""COMPUTED_VALUE"""),"1433-0490")</f>
        <v>1433-0490</v>
      </c>
      <c r="G2149" s="1" t="str">
        <f ca="1">IFERROR(__xludf.DUMMYFUNCTION("""COMPUTED_VALUE"""),"1432-4350")</f>
        <v>1432-4350</v>
      </c>
      <c r="H2149" s="27" t="str">
        <f ca="1">IFERROR(__xludf.DUMMYFUNCTION("""COMPUTED_VALUE"""),"https://link.springer.com/journal/224")</f>
        <v>https://link.springer.com/journal/224</v>
      </c>
      <c r="I2149" s="1" t="str">
        <f ca="1">IFERROR(__xludf.DUMMYFUNCTION("""COMPUTED_VALUE"""),"Springer")</f>
        <v>Springer</v>
      </c>
      <c r="J2149" s="1">
        <f ca="1">IFERROR(__xludf.DUMMYFUNCTION("""COMPUTED_VALUE"""),2000)</f>
        <v>2000</v>
      </c>
      <c r="K2149" s="1" t="str">
        <f ca="1">IFERROR(__xludf.DUMMYFUNCTION("""COMPUTED_VALUE"""),"Computer Science")</f>
        <v>Computer Science</v>
      </c>
      <c r="L2149" s="1" t="str">
        <f ca="1">IFERROR(__xludf.DUMMYFUNCTION("""COMPUTED_VALUE"""),"〇")</f>
        <v>〇</v>
      </c>
      <c r="M2149" s="1" t="str">
        <f ca="1">IFERROR(__xludf.DUMMYFUNCTION("""COMPUTED_VALUE"""),"〇")</f>
        <v>〇</v>
      </c>
      <c r="N2149" s="1"/>
      <c r="O2149" s="1"/>
      <c r="P2149" s="1"/>
    </row>
    <row r="2150" spans="1:16" ht="14.25" customHeight="1" x14ac:dyDescent="0.25">
      <c r="A2150" s="1"/>
      <c r="B2150" s="1">
        <f ca="1"/>
        <v>2138</v>
      </c>
      <c r="C2150" s="1">
        <f ca="1">IFERROR(__xludf.DUMMYFUNCTION("""COMPUTED_VALUE"""),2023)</f>
        <v>2023</v>
      </c>
      <c r="D2150" s="1">
        <f ca="1">IFERROR(__xludf.DUMMYFUNCTION("""COMPUTED_VALUE"""),43441)</f>
        <v>43441</v>
      </c>
      <c r="E2150" s="1" t="str">
        <f ca="1">IFERROR(__xludf.DUMMYFUNCTION("""COMPUTED_VALUE"""),"Therapeutic Innovation &amp; Regulatory Science")</f>
        <v>Therapeutic Innovation &amp; Regulatory Science</v>
      </c>
      <c r="F2150" s="1" t="str">
        <f ca="1">IFERROR(__xludf.DUMMYFUNCTION("""COMPUTED_VALUE"""),"2168-4804")</f>
        <v>2168-4804</v>
      </c>
      <c r="G2150" s="1" t="str">
        <f ca="1">IFERROR(__xludf.DUMMYFUNCTION("""COMPUTED_VALUE"""),"2168-4790")</f>
        <v>2168-4790</v>
      </c>
      <c r="H2150" s="27" t="str">
        <f ca="1">IFERROR(__xludf.DUMMYFUNCTION("""COMPUTED_VALUE"""),"https://link.springer.com/journal/43441")</f>
        <v>https://link.springer.com/journal/43441</v>
      </c>
      <c r="I2150" s="1" t="str">
        <f ca="1">IFERROR(__xludf.DUMMYFUNCTION("""COMPUTED_VALUE"""),"Springer")</f>
        <v>Springer</v>
      </c>
      <c r="J2150" s="1">
        <f ca="1">IFERROR(__xludf.DUMMYFUNCTION("""COMPUTED_VALUE"""),2000)</f>
        <v>2000</v>
      </c>
      <c r="K2150" s="1" t="str">
        <f ca="1">IFERROR(__xludf.DUMMYFUNCTION("""COMPUTED_VALUE"""),"Medicine")</f>
        <v>Medicine</v>
      </c>
      <c r="L2150" s="1" t="str">
        <f ca="1">IFERROR(__xludf.DUMMYFUNCTION("""COMPUTED_VALUE"""),"〇")</f>
        <v>〇</v>
      </c>
      <c r="M2150" s="1"/>
      <c r="N2150" s="1" t="str">
        <f ca="1">IFERROR(__xludf.DUMMYFUNCTION("""COMPUTED_VALUE"""),"TO20")</f>
        <v>TO20</v>
      </c>
      <c r="O2150" s="1"/>
      <c r="P2150" s="1"/>
    </row>
    <row r="2151" spans="1:16" ht="14.25" customHeight="1" x14ac:dyDescent="0.25">
      <c r="A2151" s="1"/>
      <c r="B2151" s="1">
        <f ca="1"/>
        <v>2139</v>
      </c>
      <c r="C2151" s="1">
        <f ca="1">IFERROR(__xludf.DUMMYFUNCTION("""COMPUTED_VALUE"""),2023)</f>
        <v>2023</v>
      </c>
      <c r="D2151" s="1">
        <f ca="1">IFERROR(__xludf.DUMMYFUNCTION("""COMPUTED_VALUE"""),11509)</f>
        <v>11509</v>
      </c>
      <c r="E2151" s="1" t="str">
        <f ca="1">IFERROR(__xludf.DUMMYFUNCTION("""COMPUTED_VALUE"""),"Thermal Engineering")</f>
        <v>Thermal Engineering</v>
      </c>
      <c r="F2151" s="1" t="str">
        <f ca="1">IFERROR(__xludf.DUMMYFUNCTION("""COMPUTED_VALUE"""),"1555-6301")</f>
        <v>1555-6301</v>
      </c>
      <c r="G2151" s="1" t="str">
        <f ca="1">IFERROR(__xludf.DUMMYFUNCTION("""COMPUTED_VALUE"""),"0040-6015")</f>
        <v>0040-6015</v>
      </c>
      <c r="H2151" s="27" t="str">
        <f ca="1">IFERROR(__xludf.DUMMYFUNCTION("""COMPUTED_VALUE"""),"https://link.springer.com/journal/11509")</f>
        <v>https://link.springer.com/journal/11509</v>
      </c>
      <c r="I2151" s="1" t="str">
        <f ca="1">IFERROR(__xludf.DUMMYFUNCTION("""COMPUTED_VALUE"""),"Pleiades Publishing")</f>
        <v>Pleiades Publishing</v>
      </c>
      <c r="J2151" s="1">
        <f ca="1">IFERROR(__xludf.DUMMYFUNCTION("""COMPUTED_VALUE"""),2006)</f>
        <v>2006</v>
      </c>
      <c r="K2151" s="1" t="str">
        <f ca="1">IFERROR(__xludf.DUMMYFUNCTION("""COMPUTED_VALUE"""),"Engineering")</f>
        <v>Engineering</v>
      </c>
      <c r="L2151" s="1" t="str">
        <f ca="1">IFERROR(__xludf.DUMMYFUNCTION("""COMPUTED_VALUE"""),"〇")</f>
        <v>〇</v>
      </c>
      <c r="M2151" s="1" t="str">
        <f ca="1">IFERROR(__xludf.DUMMYFUNCTION("""COMPUTED_VALUE"""),"〇")</f>
        <v>〇</v>
      </c>
      <c r="N2151" s="1"/>
      <c r="O2151" s="1"/>
      <c r="P2151" s="1"/>
    </row>
    <row r="2152" spans="1:16" ht="14.25" customHeight="1" x14ac:dyDescent="0.25">
      <c r="A2152" s="1"/>
      <c r="B2152" s="1">
        <f ca="1"/>
        <v>2140</v>
      </c>
      <c r="C2152" s="1">
        <f ca="1">IFERROR(__xludf.DUMMYFUNCTION("""COMPUTED_VALUE"""),2023)</f>
        <v>2023</v>
      </c>
      <c r="D2152" s="1">
        <f ca="1">IFERROR(__xludf.DUMMYFUNCTION("""COMPUTED_VALUE"""),11510)</f>
        <v>11510</v>
      </c>
      <c r="E2152" s="1" t="str">
        <f ca="1">IFERROR(__xludf.DUMMYFUNCTION("""COMPUTED_VALUE"""),"Thermophysics and Aeromechanics")</f>
        <v>Thermophysics and Aeromechanics</v>
      </c>
      <c r="F2152" s="1" t="str">
        <f ca="1">IFERROR(__xludf.DUMMYFUNCTION("""COMPUTED_VALUE"""),"1531-8699")</f>
        <v>1531-8699</v>
      </c>
      <c r="G2152" s="1"/>
      <c r="H2152" s="27" t="str">
        <f ca="1">IFERROR(__xludf.DUMMYFUNCTION("""COMPUTED_VALUE"""),"https://link.springer.com/journal/11510")</f>
        <v>https://link.springer.com/journal/11510</v>
      </c>
      <c r="I2152" s="1" t="str">
        <f ca="1">IFERROR(__xludf.DUMMYFUNCTION("""COMPUTED_VALUE"""),"Kutateladze Institute of Thermophysics SB RAS")</f>
        <v>Kutateladze Institute of Thermophysics SB RAS</v>
      </c>
      <c r="J2152" s="1">
        <f ca="1">IFERROR(__xludf.DUMMYFUNCTION("""COMPUTED_VALUE"""),2006)</f>
        <v>2006</v>
      </c>
      <c r="K2152" s="1" t="str">
        <f ca="1">IFERROR(__xludf.DUMMYFUNCTION("""COMPUTED_VALUE"""),"Physics and Astronomy")</f>
        <v>Physics and Astronomy</v>
      </c>
      <c r="L2152" s="1"/>
      <c r="M2152" s="1" t="str">
        <f ca="1">IFERROR(__xludf.DUMMYFUNCTION("""COMPUTED_VALUE"""),"〇")</f>
        <v>〇</v>
      </c>
      <c r="N2152" s="1"/>
      <c r="O2152" s="1"/>
      <c r="P2152" s="1"/>
    </row>
    <row r="2153" spans="1:16" ht="14.25" customHeight="1" x14ac:dyDescent="0.25">
      <c r="A2153" s="1"/>
      <c r="B2153" s="1">
        <f ca="1"/>
        <v>2141</v>
      </c>
      <c r="C2153" s="1">
        <f ca="1">IFERROR(__xludf.DUMMYFUNCTION("""COMPUTED_VALUE"""),2023)</f>
        <v>2023</v>
      </c>
      <c r="D2153" s="1">
        <f ca="1">IFERROR(__xludf.DUMMYFUNCTION("""COMPUTED_VALUE"""),13770)</f>
        <v>13770</v>
      </c>
      <c r="E2153" s="1" t="str">
        <f ca="1">IFERROR(__xludf.DUMMYFUNCTION("""COMPUTED_VALUE"""),"Tissue Engineering and Regenerative Medicine")</f>
        <v>Tissue Engineering and Regenerative Medicine</v>
      </c>
      <c r="F2153" s="1" t="str">
        <f ca="1">IFERROR(__xludf.DUMMYFUNCTION("""COMPUTED_VALUE"""),"2212-5469")</f>
        <v>2212-5469</v>
      </c>
      <c r="G2153" s="1"/>
      <c r="H2153" s="27" t="str">
        <f ca="1">IFERROR(__xludf.DUMMYFUNCTION("""COMPUTED_VALUE"""),"https://link.springer.com/journal/13770")</f>
        <v>https://link.springer.com/journal/13770</v>
      </c>
      <c r="I2153" s="1" t="str">
        <f ca="1">IFERROR(__xludf.DUMMYFUNCTION("""COMPUTED_VALUE"""),"Korean Tissue Engineering and Regenerative Medicine Society, co-published with Springer")</f>
        <v>Korean Tissue Engineering and Regenerative Medicine Society, co-published with Springer</v>
      </c>
      <c r="J2153" s="1">
        <f ca="1">IFERROR(__xludf.DUMMYFUNCTION("""COMPUTED_VALUE"""),2012)</f>
        <v>2012</v>
      </c>
      <c r="K2153" s="1" t="str">
        <f ca="1">IFERROR(__xludf.DUMMYFUNCTION("""COMPUTED_VALUE"""),"Biomedical and Life Sciences")</f>
        <v>Biomedical and Life Sciences</v>
      </c>
      <c r="L2153" s="1"/>
      <c r="M2153" s="1"/>
      <c r="N2153" s="1" t="str">
        <f ca="1">IFERROR(__xludf.DUMMYFUNCTION("""COMPUTED_VALUE"""),"TO12")</f>
        <v>TO12</v>
      </c>
      <c r="O2153" s="1"/>
      <c r="P2153" s="1"/>
    </row>
    <row r="2154" spans="1:16" ht="14.25" customHeight="1" x14ac:dyDescent="0.25">
      <c r="A2154" s="1"/>
      <c r="B2154" s="1">
        <f ca="1"/>
        <v>2142</v>
      </c>
      <c r="C2154" s="1">
        <f ca="1">IFERROR(__xludf.DUMMYFUNCTION("""COMPUTED_VALUE"""),2023)</f>
        <v>2023</v>
      </c>
      <c r="D2154" s="1">
        <f ca="1">IFERROR(__xludf.DUMMYFUNCTION("""COMPUTED_VALUE"""),11750)</f>
        <v>11750</v>
      </c>
      <c r="E2154" s="1" t="str">
        <f ca="1">IFERROR(__xludf.DUMMYFUNCTION("""COMPUTED_VALUE"""),"TOP")</f>
        <v>TOP</v>
      </c>
      <c r="F2154" s="1" t="str">
        <f ca="1">IFERROR(__xludf.DUMMYFUNCTION("""COMPUTED_VALUE"""),"1863-8279")</f>
        <v>1863-8279</v>
      </c>
      <c r="G2154" s="1" t="str">
        <f ca="1">IFERROR(__xludf.DUMMYFUNCTION("""COMPUTED_VALUE"""),"1134-5764")</f>
        <v>1134-5764</v>
      </c>
      <c r="H2154" s="27" t="str">
        <f ca="1">IFERROR(__xludf.DUMMYFUNCTION("""COMPUTED_VALUE"""),"https://link.springer.com/journal/11750")</f>
        <v>https://link.springer.com/journal/11750</v>
      </c>
      <c r="I2154" s="1" t="str">
        <f ca="1">IFERROR(__xludf.DUMMYFUNCTION("""COMPUTED_VALUE"""),"Springer")</f>
        <v>Springer</v>
      </c>
      <c r="J2154" s="1">
        <f ca="1">IFERROR(__xludf.DUMMYFUNCTION("""COMPUTED_VALUE"""),2000)</f>
        <v>2000</v>
      </c>
      <c r="K2154" s="1" t="str">
        <f ca="1">IFERROR(__xludf.DUMMYFUNCTION("""COMPUTED_VALUE"""),"Business and Management")</f>
        <v>Business and Management</v>
      </c>
      <c r="L2154" s="1" t="str">
        <f ca="1">IFERROR(__xludf.DUMMYFUNCTION("""COMPUTED_VALUE"""),"〇")</f>
        <v>〇</v>
      </c>
      <c r="M2154" s="1" t="str">
        <f ca="1">IFERROR(__xludf.DUMMYFUNCTION("""COMPUTED_VALUE"""),"〇")</f>
        <v>〇</v>
      </c>
      <c r="N2154" s="1" t="str">
        <f ca="1">IFERROR(__xludf.DUMMYFUNCTION("""COMPUTED_VALUE"""),"TO7")</f>
        <v>TO7</v>
      </c>
      <c r="O2154" s="1"/>
      <c r="P2154" s="1"/>
    </row>
    <row r="2155" spans="1:16" ht="14.25" customHeight="1" x14ac:dyDescent="0.25">
      <c r="A2155" s="1"/>
      <c r="B2155" s="1">
        <f ca="1"/>
        <v>2143</v>
      </c>
      <c r="C2155" s="1">
        <f ca="1">IFERROR(__xludf.DUMMYFUNCTION("""COMPUTED_VALUE"""),2023)</f>
        <v>2023</v>
      </c>
      <c r="D2155" s="1">
        <f ca="1">IFERROR(__xludf.DUMMYFUNCTION("""COMPUTED_VALUE"""),11244)</f>
        <v>11244</v>
      </c>
      <c r="E2155" s="1" t="str">
        <f ca="1">IFERROR(__xludf.DUMMYFUNCTION("""COMPUTED_VALUE"""),"Topics in Catalysis")</f>
        <v>Topics in Catalysis</v>
      </c>
      <c r="F2155" s="1" t="str">
        <f ca="1">IFERROR(__xludf.DUMMYFUNCTION("""COMPUTED_VALUE"""),"1572-9028")</f>
        <v>1572-9028</v>
      </c>
      <c r="G2155" s="1" t="str">
        <f ca="1">IFERROR(__xludf.DUMMYFUNCTION("""COMPUTED_VALUE"""),"1022-5528")</f>
        <v>1022-5528</v>
      </c>
      <c r="H2155" s="27" t="str">
        <f ca="1">IFERROR(__xludf.DUMMYFUNCTION("""COMPUTED_VALUE"""),"https://link.springer.com/journal/11244")</f>
        <v>https://link.springer.com/journal/11244</v>
      </c>
      <c r="I2155" s="1" t="str">
        <f ca="1">IFERROR(__xludf.DUMMYFUNCTION("""COMPUTED_VALUE"""),"Springer")</f>
        <v>Springer</v>
      </c>
      <c r="J2155" s="1">
        <f ca="1">IFERROR(__xludf.DUMMYFUNCTION("""COMPUTED_VALUE"""),2000)</f>
        <v>2000</v>
      </c>
      <c r="K2155" s="1" t="str">
        <f ca="1">IFERROR(__xludf.DUMMYFUNCTION("""COMPUTED_VALUE"""),"Chemistry and Materials Science")</f>
        <v>Chemistry and Materials Science</v>
      </c>
      <c r="L2155" s="1" t="str">
        <f ca="1">IFERROR(__xludf.DUMMYFUNCTION("""COMPUTED_VALUE"""),"〇")</f>
        <v>〇</v>
      </c>
      <c r="M2155" s="1" t="str">
        <f ca="1">IFERROR(__xludf.DUMMYFUNCTION("""COMPUTED_VALUE"""),"〇")</f>
        <v>〇</v>
      </c>
      <c r="N2155" s="1"/>
      <c r="O2155" s="1"/>
      <c r="P2155" s="1"/>
    </row>
    <row r="2156" spans="1:16" ht="14.25" customHeight="1" x14ac:dyDescent="0.25">
      <c r="A2156" s="1"/>
      <c r="B2156" s="1">
        <f ca="1"/>
        <v>2144</v>
      </c>
      <c r="C2156" s="1">
        <f ca="1">IFERROR(__xludf.DUMMYFUNCTION("""COMPUTED_VALUE"""),2023)</f>
        <v>2023</v>
      </c>
      <c r="D2156" s="1">
        <f ca="1">IFERROR(__xludf.DUMMYFUNCTION("""COMPUTED_VALUE"""),41061)</f>
        <v>41061</v>
      </c>
      <c r="E2156" s="1" t="str">
        <f ca="1">IFERROR(__xludf.DUMMYFUNCTION("""COMPUTED_VALUE"""),"Topics in Current Chemistry")</f>
        <v>Topics in Current Chemistry</v>
      </c>
      <c r="F2156" s="1" t="str">
        <f ca="1">IFERROR(__xludf.DUMMYFUNCTION("""COMPUTED_VALUE"""),"2364-8961")</f>
        <v>2364-8961</v>
      </c>
      <c r="G2156" s="1"/>
      <c r="H2156" s="27" t="str">
        <f ca="1">IFERROR(__xludf.DUMMYFUNCTION("""COMPUTED_VALUE"""),"https://link.springer.com/journal/41061")</f>
        <v>https://link.springer.com/journal/41061</v>
      </c>
      <c r="I2156" s="1" t="str">
        <f ca="1">IFERROR(__xludf.DUMMYFUNCTION("""COMPUTED_VALUE"""),"Springer")</f>
        <v>Springer</v>
      </c>
      <c r="J2156" s="1">
        <f ca="1">IFERROR(__xludf.DUMMYFUNCTION("""COMPUTED_VALUE"""),2016)</f>
        <v>2016</v>
      </c>
      <c r="K2156" s="1" t="str">
        <f ca="1">IFERROR(__xludf.DUMMYFUNCTION("""COMPUTED_VALUE"""),"Chemistry and Materials Science")</f>
        <v>Chemistry and Materials Science</v>
      </c>
      <c r="L2156" s="1"/>
      <c r="M2156" s="1"/>
      <c r="N2156" s="1"/>
      <c r="O2156" s="1"/>
      <c r="P2156" s="1"/>
    </row>
    <row r="2157" spans="1:16" ht="14.25" customHeight="1" x14ac:dyDescent="0.25">
      <c r="A2157" s="1"/>
      <c r="B2157" s="1">
        <f ca="1"/>
        <v>2145</v>
      </c>
      <c r="C2157" s="1">
        <f ca="1">IFERROR(__xludf.DUMMYFUNCTION("""COMPUTED_VALUE"""),2023)</f>
        <v>2023</v>
      </c>
      <c r="D2157" s="1">
        <f ca="1">IFERROR(__xludf.DUMMYFUNCTION("""COMPUTED_VALUE"""),11245)</f>
        <v>11245</v>
      </c>
      <c r="E2157" s="1" t="str">
        <f ca="1">IFERROR(__xludf.DUMMYFUNCTION("""COMPUTED_VALUE"""),"Topoi")</f>
        <v>Topoi</v>
      </c>
      <c r="F2157" s="1" t="str">
        <f ca="1">IFERROR(__xludf.DUMMYFUNCTION("""COMPUTED_VALUE"""),"1572-8749")</f>
        <v>1572-8749</v>
      </c>
      <c r="G2157" s="1" t="str">
        <f ca="1">IFERROR(__xludf.DUMMYFUNCTION("""COMPUTED_VALUE"""),"0167-7411")</f>
        <v>0167-7411</v>
      </c>
      <c r="H2157" s="27" t="str">
        <f ca="1">IFERROR(__xludf.DUMMYFUNCTION("""COMPUTED_VALUE"""),"https://link.springer.com/journal/11245")</f>
        <v>https://link.springer.com/journal/11245</v>
      </c>
      <c r="I2157" s="1" t="str">
        <f ca="1">IFERROR(__xludf.DUMMYFUNCTION("""COMPUTED_VALUE"""),"Springer")</f>
        <v>Springer</v>
      </c>
      <c r="J2157" s="1">
        <f ca="1">IFERROR(__xludf.DUMMYFUNCTION("""COMPUTED_VALUE"""),2000)</f>
        <v>2000</v>
      </c>
      <c r="K2157" s="1" t="str">
        <f ca="1">IFERROR(__xludf.DUMMYFUNCTION("""COMPUTED_VALUE"""),"Education")</f>
        <v>Education</v>
      </c>
      <c r="L2157" s="1" t="str">
        <f ca="1">IFERROR(__xludf.DUMMYFUNCTION("""COMPUTED_VALUE"""),"〇")</f>
        <v>〇</v>
      </c>
      <c r="M2157" s="1" t="str">
        <f ca="1">IFERROR(__xludf.DUMMYFUNCTION("""COMPUTED_VALUE"""),"〇")</f>
        <v>〇</v>
      </c>
      <c r="N2157" s="1"/>
      <c r="O2157" s="1"/>
      <c r="P2157" s="1"/>
    </row>
    <row r="2158" spans="1:16" ht="14.25" customHeight="1" x14ac:dyDescent="0.25">
      <c r="A2158" s="1"/>
      <c r="B2158" s="1">
        <f ca="1"/>
        <v>2146</v>
      </c>
      <c r="C2158" s="1">
        <f ca="1">IFERROR(__xludf.DUMMYFUNCTION("""COMPUTED_VALUE"""),2023)</f>
        <v>2023</v>
      </c>
      <c r="D2158" s="1">
        <f ca="1">IFERROR(__xludf.DUMMYFUNCTION("""COMPUTED_VALUE"""),43188)</f>
        <v>43188</v>
      </c>
      <c r="E2158" s="1" t="str">
        <f ca="1">IFERROR(__xludf.DUMMYFUNCTION("""COMPUTED_VALUE"""),"Toxicological Research")</f>
        <v>Toxicological Research</v>
      </c>
      <c r="F2158" s="1" t="str">
        <f ca="1">IFERROR(__xludf.DUMMYFUNCTION("""COMPUTED_VALUE"""),"2234-2753")</f>
        <v>2234-2753</v>
      </c>
      <c r="G2158" s="1" t="str">
        <f ca="1">IFERROR(__xludf.DUMMYFUNCTION("""COMPUTED_VALUE"""),"1976-8257")</f>
        <v>1976-8257</v>
      </c>
      <c r="H2158" s="27" t="str">
        <f ca="1">IFERROR(__xludf.DUMMYFUNCTION("""COMPUTED_VALUE"""),"https://link.springer.com/journal/43188")</f>
        <v>https://link.springer.com/journal/43188</v>
      </c>
      <c r="I2158" s="1" t="str">
        <f ca="1">IFERROR(__xludf.DUMMYFUNCTION("""COMPUTED_VALUE"""),"Springer")</f>
        <v>Springer</v>
      </c>
      <c r="J2158" s="1">
        <f ca="1">IFERROR(__xludf.DUMMYFUNCTION("""COMPUTED_VALUE"""),2008)</f>
        <v>2008</v>
      </c>
      <c r="K2158" s="1" t="str">
        <f ca="1">IFERROR(__xludf.DUMMYFUNCTION("""COMPUTED_VALUE"""),"Biomedical and Life Sciences")</f>
        <v>Biomedical and Life Sciences</v>
      </c>
      <c r="L2158" s="1" t="str">
        <f ca="1">IFERROR(__xludf.DUMMYFUNCTION("""COMPUTED_VALUE"""),"〇")</f>
        <v>〇</v>
      </c>
      <c r="M2158" s="1"/>
      <c r="N2158" s="1" t="str">
        <f ca="1">IFERROR(__xludf.DUMMYFUNCTION("""COMPUTED_VALUE"""),"TO20")</f>
        <v>TO20</v>
      </c>
      <c r="O2158" s="1"/>
      <c r="P2158" s="1"/>
    </row>
    <row r="2159" spans="1:16" ht="14.25" customHeight="1" x14ac:dyDescent="0.25">
      <c r="A2159" s="1"/>
      <c r="B2159" s="1">
        <f ca="1"/>
        <v>2147</v>
      </c>
      <c r="C2159" s="1">
        <f ca="1">IFERROR(__xludf.DUMMYFUNCTION("""COMPUTED_VALUE"""),2023)</f>
        <v>2023</v>
      </c>
      <c r="D2159" s="1">
        <f ca="1">IFERROR(__xludf.DUMMYFUNCTION("""COMPUTED_VALUE"""),13530)</f>
        <v>13530</v>
      </c>
      <c r="E2159" s="1" t="str">
        <f ca="1">IFERROR(__xludf.DUMMYFUNCTION("""COMPUTED_VALUE"""),"Toxicology and Environmental Health Sciences")</f>
        <v>Toxicology and Environmental Health Sciences</v>
      </c>
      <c r="F2159" s="1" t="str">
        <f ca="1">IFERROR(__xludf.DUMMYFUNCTION("""COMPUTED_VALUE"""),"2233-7784")</f>
        <v>2233-7784</v>
      </c>
      <c r="G2159" s="1" t="str">
        <f ca="1">IFERROR(__xludf.DUMMYFUNCTION("""COMPUTED_VALUE"""),"2005-9752")</f>
        <v>2005-9752</v>
      </c>
      <c r="H2159" s="27" t="str">
        <f ca="1">IFERROR(__xludf.DUMMYFUNCTION("""COMPUTED_VALUE"""),"https://link.springer.com/journal/13530")</f>
        <v>https://link.springer.com/journal/13530</v>
      </c>
      <c r="I2159" s="1" t="str">
        <f ca="1">IFERROR(__xludf.DUMMYFUNCTION("""COMPUTED_VALUE"""),"Korean Society of Environmental Risk Assessment and Health Science, co-published with Springer")</f>
        <v>Korean Society of Environmental Risk Assessment and Health Science, co-published with Springer</v>
      </c>
      <c r="J2159" s="1">
        <f ca="1">IFERROR(__xludf.DUMMYFUNCTION("""COMPUTED_VALUE"""),2009)</f>
        <v>2009</v>
      </c>
      <c r="K2159" s="1" t="str">
        <f ca="1">IFERROR(__xludf.DUMMYFUNCTION("""COMPUTED_VALUE"""),"Biomedical and Life Sciences")</f>
        <v>Biomedical and Life Sciences</v>
      </c>
      <c r="L2159" s="1" t="str">
        <f ca="1">IFERROR(__xludf.DUMMYFUNCTION("""COMPUTED_VALUE"""),"〇")</f>
        <v>〇</v>
      </c>
      <c r="M2159" s="1"/>
      <c r="N2159" s="1" t="str">
        <f ca="1">IFERROR(__xludf.DUMMYFUNCTION("""COMPUTED_VALUE"""),"TO11")</f>
        <v>TO11</v>
      </c>
      <c r="O2159" s="1"/>
      <c r="P2159" s="1"/>
    </row>
    <row r="2160" spans="1:16" ht="14.25" customHeight="1" x14ac:dyDescent="0.25">
      <c r="A2160" s="1"/>
      <c r="B2160" s="1">
        <f ca="1"/>
        <v>2148</v>
      </c>
      <c r="C2160" s="1">
        <f ca="1">IFERROR(__xludf.DUMMYFUNCTION("""COMPUTED_VALUE"""),2023)</f>
        <v>2023</v>
      </c>
      <c r="D2160" s="1">
        <f ca="1">IFERROR(__xludf.DUMMYFUNCTION("""COMPUTED_VALUE"""),12666)</f>
        <v>12666</v>
      </c>
      <c r="E2160" s="1" t="str">
        <f ca="1">IFERROR(__xludf.DUMMYFUNCTION("""COMPUTED_VALUE"""),"Transactions of the Indian Institute of Metals")</f>
        <v>Transactions of the Indian Institute of Metals</v>
      </c>
      <c r="F2160" s="1" t="str">
        <f ca="1">IFERROR(__xludf.DUMMYFUNCTION("""COMPUTED_VALUE"""),"0975-1645")</f>
        <v>0975-1645</v>
      </c>
      <c r="G2160" s="1" t="str">
        <f ca="1">IFERROR(__xludf.DUMMYFUNCTION("""COMPUTED_VALUE"""),"0972-2815")</f>
        <v>0972-2815</v>
      </c>
      <c r="H2160" s="27" t="str">
        <f ca="1">IFERROR(__xludf.DUMMYFUNCTION("""COMPUTED_VALUE"""),"https://link.springer.com/journal/12666")</f>
        <v>https://link.springer.com/journal/12666</v>
      </c>
      <c r="I2160" s="1" t="str">
        <f ca="1">IFERROR(__xludf.DUMMYFUNCTION("""COMPUTED_VALUE"""),"Springer")</f>
        <v>Springer</v>
      </c>
      <c r="J2160" s="1">
        <f ca="1">IFERROR(__xludf.DUMMYFUNCTION("""COMPUTED_VALUE"""),2008)</f>
        <v>2008</v>
      </c>
      <c r="K2160" s="1" t="str">
        <f ca="1">IFERROR(__xludf.DUMMYFUNCTION("""COMPUTED_VALUE"""),"Chemistry and Materials Science")</f>
        <v>Chemistry and Materials Science</v>
      </c>
      <c r="L2160" s="1" t="str">
        <f ca="1">IFERROR(__xludf.DUMMYFUNCTION("""COMPUTED_VALUE"""),"〇")</f>
        <v>〇</v>
      </c>
      <c r="M2160" s="1"/>
      <c r="N2160" s="1" t="str">
        <f ca="1">IFERROR(__xludf.DUMMYFUNCTION("""COMPUTED_VALUE"""),"TO9")</f>
        <v>TO9</v>
      </c>
      <c r="O2160" s="1"/>
      <c r="P2160" s="1"/>
    </row>
    <row r="2161" spans="1:16" ht="14.25" customHeight="1" x14ac:dyDescent="0.25">
      <c r="A2161" s="1"/>
      <c r="B2161" s="1">
        <f ca="1"/>
        <v>2149</v>
      </c>
      <c r="C2161" s="1">
        <f ca="1">IFERROR(__xludf.DUMMYFUNCTION("""COMPUTED_VALUE"""),2023)</f>
        <v>2023</v>
      </c>
      <c r="D2161" s="1">
        <f ca="1">IFERROR(__xludf.DUMMYFUNCTION("""COMPUTED_VALUE"""),41403)</f>
        <v>41403</v>
      </c>
      <c r="E2161" s="1" t="str">
        <f ca="1">IFERROR(__xludf.DUMMYFUNCTION("""COMPUTED_VALUE"""),"Transactions of the Indian National Academy of Engineering")</f>
        <v>Transactions of the Indian National Academy of Engineering</v>
      </c>
      <c r="F2161" s="1" t="str">
        <f ca="1">IFERROR(__xludf.DUMMYFUNCTION("""COMPUTED_VALUE"""),"2662-5423")</f>
        <v>2662-5423</v>
      </c>
      <c r="G2161" s="1" t="str">
        <f ca="1">IFERROR(__xludf.DUMMYFUNCTION("""COMPUTED_VALUE"""),"2662-5415")</f>
        <v>2662-5415</v>
      </c>
      <c r="H2161" s="27" t="str">
        <f ca="1">IFERROR(__xludf.DUMMYFUNCTION("""COMPUTED_VALUE"""),"https://link.springer.com/journal/41403")</f>
        <v>https://link.springer.com/journal/41403</v>
      </c>
      <c r="I2161" s="1" t="str">
        <f ca="1">IFERROR(__xludf.DUMMYFUNCTION("""COMPUTED_VALUE"""),"Springer")</f>
        <v>Springer</v>
      </c>
      <c r="J2161" s="1">
        <f ca="1">IFERROR(__xludf.DUMMYFUNCTION("""COMPUTED_VALUE"""),2016)</f>
        <v>2016</v>
      </c>
      <c r="K2161" s="1" t="str">
        <f ca="1">IFERROR(__xludf.DUMMYFUNCTION("""COMPUTED_VALUE"""),"Engineering")</f>
        <v>Engineering</v>
      </c>
      <c r="L2161" s="1" t="str">
        <f ca="1">IFERROR(__xludf.DUMMYFUNCTION("""COMPUTED_VALUE"""),"〇")</f>
        <v>〇</v>
      </c>
      <c r="M2161" s="1"/>
      <c r="N2161" s="1" t="str">
        <f ca="1">IFERROR(__xludf.DUMMYFUNCTION("""COMPUTED_VALUE"""),"SNS16")</f>
        <v>SNS16</v>
      </c>
      <c r="O2161" s="1"/>
      <c r="P2161" s="1"/>
    </row>
    <row r="2162" spans="1:16" ht="14.25" customHeight="1" x14ac:dyDescent="0.25">
      <c r="A2162" s="1"/>
      <c r="B2162" s="1">
        <f ca="1"/>
        <v>2150</v>
      </c>
      <c r="C2162" s="1">
        <f ca="1">IFERROR(__xludf.DUMMYFUNCTION("""COMPUTED_VALUE"""),2023)</f>
        <v>2023</v>
      </c>
      <c r="D2162" s="1">
        <f ca="1">IFERROR(__xludf.DUMMYFUNCTION("""COMPUTED_VALUE"""),12209)</f>
        <v>12209</v>
      </c>
      <c r="E2162" s="1" t="str">
        <f ca="1">IFERROR(__xludf.DUMMYFUNCTION("""COMPUTED_VALUE"""),"Transactions of Tianjin University")</f>
        <v>Transactions of Tianjin University</v>
      </c>
      <c r="F2162" s="1" t="str">
        <f ca="1">IFERROR(__xludf.DUMMYFUNCTION("""COMPUTED_VALUE"""),"1995-8196")</f>
        <v>1995-8196</v>
      </c>
      <c r="G2162" s="1" t="str">
        <f ca="1">IFERROR(__xludf.DUMMYFUNCTION("""COMPUTED_VALUE"""),"1006-4982")</f>
        <v>1006-4982</v>
      </c>
      <c r="H2162" s="27" t="str">
        <f ca="1">IFERROR(__xludf.DUMMYFUNCTION("""COMPUTED_VALUE"""),"https://link.springer.com/journal/12209")</f>
        <v>https://link.springer.com/journal/12209</v>
      </c>
      <c r="I2162" s="1" t="str">
        <f ca="1">IFERROR(__xludf.DUMMYFUNCTION("""COMPUTED_VALUE"""),"Springer")</f>
        <v>Springer</v>
      </c>
      <c r="J2162" s="1">
        <f ca="1">IFERROR(__xludf.DUMMYFUNCTION("""COMPUTED_VALUE"""),2008)</f>
        <v>2008</v>
      </c>
      <c r="K2162" s="1" t="str">
        <f ca="1">IFERROR(__xludf.DUMMYFUNCTION("""COMPUTED_VALUE"""),"Engineering")</f>
        <v>Engineering</v>
      </c>
      <c r="L2162" s="1" t="str">
        <f ca="1">IFERROR(__xludf.DUMMYFUNCTION("""COMPUTED_VALUE"""),"〇")</f>
        <v>〇</v>
      </c>
      <c r="M2162" s="1" t="str">
        <f ca="1">IFERROR(__xludf.DUMMYFUNCTION("""COMPUTED_VALUE"""),"〇")</f>
        <v>〇</v>
      </c>
      <c r="N2162" s="1" t="str">
        <f ca="1">IFERROR(__xludf.DUMMYFUNCTION("""COMPUTED_VALUE"""),"TO8")</f>
        <v>TO8</v>
      </c>
      <c r="O2162" s="1"/>
      <c r="P2162" s="1"/>
    </row>
    <row r="2163" spans="1:16" ht="14.25" customHeight="1" x14ac:dyDescent="0.25">
      <c r="A2163" s="1"/>
      <c r="B2163" s="1">
        <f ca="1"/>
        <v>2151</v>
      </c>
      <c r="C2163" s="1">
        <f ca="1">IFERROR(__xludf.DUMMYFUNCTION("""COMPUTED_VALUE"""),2023)</f>
        <v>2023</v>
      </c>
      <c r="D2163" s="1">
        <f ca="1">IFERROR(__xludf.DUMMYFUNCTION("""COMPUTED_VALUE"""),42341)</f>
        <v>42341</v>
      </c>
      <c r="E2163" s="1" t="str">
        <f ca="1">IFERROR(__xludf.DUMMYFUNCTION("""COMPUTED_VALUE"""),"Transactions on Electrical and Electronic Materials")</f>
        <v>Transactions on Electrical and Electronic Materials</v>
      </c>
      <c r="F2163" s="1" t="str">
        <f ca="1">IFERROR(__xludf.DUMMYFUNCTION("""COMPUTED_VALUE"""),"2092-7592")</f>
        <v>2092-7592</v>
      </c>
      <c r="G2163" s="1" t="str">
        <f ca="1">IFERROR(__xludf.DUMMYFUNCTION("""COMPUTED_VALUE"""),"1229-7607")</f>
        <v>1229-7607</v>
      </c>
      <c r="H2163" s="27" t="str">
        <f ca="1">IFERROR(__xludf.DUMMYFUNCTION("""COMPUTED_VALUE"""),"https://link.springer.com/journal/42341")</f>
        <v>https://link.springer.com/journal/42341</v>
      </c>
      <c r="I2163" s="1" t="str">
        <f ca="1">IFERROR(__xludf.DUMMYFUNCTION("""COMPUTED_VALUE"""),"Korean Institute of Electrical and Electronic Material Engineers, co-published with Springer")</f>
        <v>Korean Institute of Electrical and Electronic Material Engineers, co-published with Springer</v>
      </c>
      <c r="J2163" s="1">
        <f ca="1">IFERROR(__xludf.DUMMYFUNCTION("""COMPUTED_VALUE"""),2018)</f>
        <v>2018</v>
      </c>
      <c r="K2163" s="1" t="str">
        <f ca="1">IFERROR(__xludf.DUMMYFUNCTION("""COMPUTED_VALUE"""),"Chemistry and Materials Science")</f>
        <v>Chemistry and Materials Science</v>
      </c>
      <c r="L2163" s="1" t="str">
        <f ca="1">IFERROR(__xludf.DUMMYFUNCTION("""COMPUTED_VALUE"""),"〇")</f>
        <v>〇</v>
      </c>
      <c r="M2163" s="1"/>
      <c r="N2163" s="1" t="str">
        <f ca="1">IFERROR(__xludf.DUMMYFUNCTION("""COMPUTED_VALUE"""),"TO18")</f>
        <v>TO18</v>
      </c>
      <c r="O2163" s="1"/>
      <c r="P2163" s="1"/>
    </row>
    <row r="2164" spans="1:16" ht="14.25" customHeight="1" x14ac:dyDescent="0.25">
      <c r="A2164" s="1"/>
      <c r="B2164" s="1">
        <f ca="1"/>
        <v>2152</v>
      </c>
      <c r="C2164" s="1">
        <f ca="1">IFERROR(__xludf.DUMMYFUNCTION("""COMPUTED_VALUE"""),2023)</f>
        <v>2023</v>
      </c>
      <c r="D2164" s="1">
        <f ca="1">IFERROR(__xludf.DUMMYFUNCTION("""COMPUTED_VALUE"""),31)</f>
        <v>31</v>
      </c>
      <c r="E2164" s="1" t="str">
        <f ca="1">IFERROR(__xludf.DUMMYFUNCTION("""COMPUTED_VALUE"""),"Transformation Groups")</f>
        <v>Transformation Groups</v>
      </c>
      <c r="F2164" s="1" t="str">
        <f ca="1">IFERROR(__xludf.DUMMYFUNCTION("""COMPUTED_VALUE"""),"1531-586X")</f>
        <v>1531-586X</v>
      </c>
      <c r="G2164" s="1" t="str">
        <f ca="1">IFERROR(__xludf.DUMMYFUNCTION("""COMPUTED_VALUE"""),"1083-4362")</f>
        <v>1083-4362</v>
      </c>
      <c r="H2164" s="27" t="str">
        <f ca="1">IFERROR(__xludf.DUMMYFUNCTION("""COMPUTED_VALUE"""),"https://link.springer.com/journal/31")</f>
        <v>https://link.springer.com/journal/31</v>
      </c>
      <c r="I2164" s="1" t="str">
        <f ca="1">IFERROR(__xludf.DUMMYFUNCTION("""COMPUTED_VALUE"""),"Birkhäuser")</f>
        <v>Birkhäuser</v>
      </c>
      <c r="J2164" s="1">
        <f ca="1">IFERROR(__xludf.DUMMYFUNCTION("""COMPUTED_VALUE"""),2000)</f>
        <v>2000</v>
      </c>
      <c r="K2164" s="1" t="str">
        <f ca="1">IFERROR(__xludf.DUMMYFUNCTION("""COMPUTED_VALUE"""),"Mathematics and Statistics")</f>
        <v>Mathematics and Statistics</v>
      </c>
      <c r="L2164" s="1" t="str">
        <f ca="1">IFERROR(__xludf.DUMMYFUNCTION("""COMPUTED_VALUE"""),"〇")</f>
        <v>〇</v>
      </c>
      <c r="M2164" s="1" t="str">
        <f ca="1">IFERROR(__xludf.DUMMYFUNCTION("""COMPUTED_VALUE"""),"〇")</f>
        <v>〇</v>
      </c>
      <c r="N2164" s="1"/>
      <c r="O2164" s="1"/>
      <c r="P2164" s="1"/>
    </row>
    <row r="2165" spans="1:16" ht="14.25" customHeight="1" x14ac:dyDescent="0.25">
      <c r="A2165" s="1"/>
      <c r="B2165" s="1">
        <f ca="1"/>
        <v>2153</v>
      </c>
      <c r="C2165" s="1">
        <f ca="1">IFERROR(__xludf.DUMMYFUNCTION("""COMPUTED_VALUE"""),2023)</f>
        <v>2023</v>
      </c>
      <c r="D2165" s="1">
        <f ca="1">IFERROR(__xludf.DUMMYFUNCTION("""COMPUTED_VALUE"""),11248)</f>
        <v>11248</v>
      </c>
      <c r="E2165" s="1" t="str">
        <f ca="1">IFERROR(__xludf.DUMMYFUNCTION("""COMPUTED_VALUE"""),"Transgenic Research")</f>
        <v>Transgenic Research</v>
      </c>
      <c r="F2165" s="1" t="str">
        <f ca="1">IFERROR(__xludf.DUMMYFUNCTION("""COMPUTED_VALUE"""),"1573-9368")</f>
        <v>1573-9368</v>
      </c>
      <c r="G2165" s="1" t="str">
        <f ca="1">IFERROR(__xludf.DUMMYFUNCTION("""COMPUTED_VALUE"""),"0962-8819")</f>
        <v>0962-8819</v>
      </c>
      <c r="H2165" s="27" t="str">
        <f ca="1">IFERROR(__xludf.DUMMYFUNCTION("""COMPUTED_VALUE"""),"https://link.springer.com/journal/11248")</f>
        <v>https://link.springer.com/journal/11248</v>
      </c>
      <c r="I2165" s="1" t="str">
        <f ca="1">IFERROR(__xludf.DUMMYFUNCTION("""COMPUTED_VALUE"""),"Springer")</f>
        <v>Springer</v>
      </c>
      <c r="J2165" s="1">
        <f ca="1">IFERROR(__xludf.DUMMYFUNCTION("""COMPUTED_VALUE"""),2000)</f>
        <v>2000</v>
      </c>
      <c r="K2165" s="1" t="str">
        <f ca="1">IFERROR(__xludf.DUMMYFUNCTION("""COMPUTED_VALUE"""),"Biomedical and Life Sciences")</f>
        <v>Biomedical and Life Sciences</v>
      </c>
      <c r="L2165" s="1" t="str">
        <f ca="1">IFERROR(__xludf.DUMMYFUNCTION("""COMPUTED_VALUE"""),"〇")</f>
        <v>〇</v>
      </c>
      <c r="M2165" s="1" t="str">
        <f ca="1">IFERROR(__xludf.DUMMYFUNCTION("""COMPUTED_VALUE"""),"〇")</f>
        <v>〇</v>
      </c>
      <c r="N2165" s="1"/>
      <c r="O2165" s="1"/>
      <c r="P2165" s="1"/>
    </row>
    <row r="2166" spans="1:16" ht="14.25" customHeight="1" x14ac:dyDescent="0.25">
      <c r="A2166" s="1"/>
      <c r="B2166" s="1">
        <f ca="1"/>
        <v>2154</v>
      </c>
      <c r="C2166" s="1">
        <f ca="1">IFERROR(__xludf.DUMMYFUNCTION("""COMPUTED_VALUE"""),2023)</f>
        <v>2023</v>
      </c>
      <c r="D2166" s="1">
        <f ca="1">IFERROR(__xludf.DUMMYFUNCTION("""COMPUTED_VALUE"""),11243)</f>
        <v>11243</v>
      </c>
      <c r="E2166" s="1" t="str">
        <f ca="1">IFERROR(__xludf.DUMMYFUNCTION("""COMPUTED_VALUE"""),"Transition Metal Chemistry")</f>
        <v>Transition Metal Chemistry</v>
      </c>
      <c r="F2166" s="1" t="str">
        <f ca="1">IFERROR(__xludf.DUMMYFUNCTION("""COMPUTED_VALUE"""),"1572-901X")</f>
        <v>1572-901X</v>
      </c>
      <c r="G2166" s="1" t="str">
        <f ca="1">IFERROR(__xludf.DUMMYFUNCTION("""COMPUTED_VALUE"""),"0340-4285")</f>
        <v>0340-4285</v>
      </c>
      <c r="H2166" s="27" t="str">
        <f ca="1">IFERROR(__xludf.DUMMYFUNCTION("""COMPUTED_VALUE"""),"https://link.springer.com/journal/11243")</f>
        <v>https://link.springer.com/journal/11243</v>
      </c>
      <c r="I2166" s="1" t="str">
        <f ca="1">IFERROR(__xludf.DUMMYFUNCTION("""COMPUTED_VALUE"""),"Springer")</f>
        <v>Springer</v>
      </c>
      <c r="J2166" s="1">
        <f ca="1">IFERROR(__xludf.DUMMYFUNCTION("""COMPUTED_VALUE"""),2000)</f>
        <v>2000</v>
      </c>
      <c r="K2166" s="1" t="str">
        <f ca="1">IFERROR(__xludf.DUMMYFUNCTION("""COMPUTED_VALUE"""),"Chemistry and Materials Science")</f>
        <v>Chemistry and Materials Science</v>
      </c>
      <c r="L2166" s="1" t="str">
        <f ca="1">IFERROR(__xludf.DUMMYFUNCTION("""COMPUTED_VALUE"""),"〇")</f>
        <v>〇</v>
      </c>
      <c r="M2166" s="1" t="str">
        <f ca="1">IFERROR(__xludf.DUMMYFUNCTION("""COMPUTED_VALUE"""),"〇")</f>
        <v>〇</v>
      </c>
      <c r="N2166" s="1"/>
      <c r="O2166" s="1"/>
      <c r="P2166" s="1"/>
    </row>
    <row r="2167" spans="1:16" ht="14.25" customHeight="1" x14ac:dyDescent="0.25">
      <c r="A2167" s="1"/>
      <c r="B2167" s="1">
        <f ca="1"/>
        <v>2155</v>
      </c>
      <c r="C2167" s="1">
        <f ca="1">IFERROR(__xludf.DUMMYFUNCTION("""COMPUTED_VALUE"""),2023)</f>
        <v>2023</v>
      </c>
      <c r="D2167" s="1">
        <f ca="1">IFERROR(__xludf.DUMMYFUNCTION("""COMPUTED_VALUE"""),12975)</f>
        <v>12975</v>
      </c>
      <c r="E2167" s="1" t="str">
        <f ca="1">IFERROR(__xludf.DUMMYFUNCTION("""COMPUTED_VALUE"""),"Translational Stroke Research")</f>
        <v>Translational Stroke Research</v>
      </c>
      <c r="F2167" s="1" t="str">
        <f ca="1">IFERROR(__xludf.DUMMYFUNCTION("""COMPUTED_VALUE"""),"1868-601X")</f>
        <v>1868-601X</v>
      </c>
      <c r="G2167" s="1"/>
      <c r="H2167" s="27" t="str">
        <f ca="1">IFERROR(__xludf.DUMMYFUNCTION("""COMPUTED_VALUE"""),"https://link.springer.com/journal/12975")</f>
        <v>https://link.springer.com/journal/12975</v>
      </c>
      <c r="I2167" s="1" t="str">
        <f ca="1">IFERROR(__xludf.DUMMYFUNCTION("""COMPUTED_VALUE"""),"Springer")</f>
        <v>Springer</v>
      </c>
      <c r="J2167" s="1">
        <f ca="1">IFERROR(__xludf.DUMMYFUNCTION("""COMPUTED_VALUE"""),2010)</f>
        <v>2010</v>
      </c>
      <c r="K2167" s="1" t="str">
        <f ca="1">IFERROR(__xludf.DUMMYFUNCTION("""COMPUTED_VALUE"""),"Biomedical and Life Sciences")</f>
        <v>Biomedical and Life Sciences</v>
      </c>
      <c r="L2167" s="1"/>
      <c r="M2167" s="1" t="str">
        <f ca="1">IFERROR(__xludf.DUMMYFUNCTION("""COMPUTED_VALUE"""),"〇")</f>
        <v>〇</v>
      </c>
      <c r="N2167" s="1" t="str">
        <f ca="1">IFERROR(__xludf.DUMMYFUNCTION("""COMPUTED_VALUE"""),"SNS10")</f>
        <v>SNS10</v>
      </c>
      <c r="O2167" s="1"/>
      <c r="P2167" s="1"/>
    </row>
    <row r="2168" spans="1:16" ht="14.25" customHeight="1" x14ac:dyDescent="0.25">
      <c r="A2168" s="1"/>
      <c r="B2168" s="1">
        <f ca="1"/>
        <v>2156</v>
      </c>
      <c r="C2168" s="1">
        <f ca="1">IFERROR(__xludf.DUMMYFUNCTION("""COMPUTED_VALUE"""),2023)</f>
        <v>2023</v>
      </c>
      <c r="D2168" s="1">
        <f ca="1">IFERROR(__xludf.DUMMYFUNCTION("""COMPUTED_VALUE"""),11242)</f>
        <v>11242</v>
      </c>
      <c r="E2168" s="1" t="str">
        <f ca="1">IFERROR(__xludf.DUMMYFUNCTION("""COMPUTED_VALUE"""),"Transport in Porous Media")</f>
        <v>Transport in Porous Media</v>
      </c>
      <c r="F2168" s="1" t="str">
        <f ca="1">IFERROR(__xludf.DUMMYFUNCTION("""COMPUTED_VALUE"""),"1573-1634")</f>
        <v>1573-1634</v>
      </c>
      <c r="G2168" s="1" t="str">
        <f ca="1">IFERROR(__xludf.DUMMYFUNCTION("""COMPUTED_VALUE"""),"0169-3913")</f>
        <v>0169-3913</v>
      </c>
      <c r="H2168" s="27" t="str">
        <f ca="1">IFERROR(__xludf.DUMMYFUNCTION("""COMPUTED_VALUE"""),"https://link.springer.com/journal/11242")</f>
        <v>https://link.springer.com/journal/11242</v>
      </c>
      <c r="I2168" s="1" t="str">
        <f ca="1">IFERROR(__xludf.DUMMYFUNCTION("""COMPUTED_VALUE"""),"Springer")</f>
        <v>Springer</v>
      </c>
      <c r="J2168" s="1">
        <f ca="1">IFERROR(__xludf.DUMMYFUNCTION("""COMPUTED_VALUE"""),2000)</f>
        <v>2000</v>
      </c>
      <c r="K2168" s="1" t="str">
        <f ca="1">IFERROR(__xludf.DUMMYFUNCTION("""COMPUTED_VALUE"""),"Earth and Environmental Science")</f>
        <v>Earth and Environmental Science</v>
      </c>
      <c r="L2168" s="1" t="str">
        <f ca="1">IFERROR(__xludf.DUMMYFUNCTION("""COMPUTED_VALUE"""),"〇")</f>
        <v>〇</v>
      </c>
      <c r="M2168" s="1" t="str">
        <f ca="1">IFERROR(__xludf.DUMMYFUNCTION("""COMPUTED_VALUE"""),"〇")</f>
        <v>〇</v>
      </c>
      <c r="N2168" s="1"/>
      <c r="O2168" s="1"/>
      <c r="P2168" s="1"/>
    </row>
    <row r="2169" spans="1:16" ht="14.25" customHeight="1" x14ac:dyDescent="0.25">
      <c r="A2169" s="1"/>
      <c r="B2169" s="1">
        <f ca="1"/>
        <v>2157</v>
      </c>
      <c r="C2169" s="1">
        <f ca="1">IFERROR(__xludf.DUMMYFUNCTION("""COMPUTED_VALUE"""),2023)</f>
        <v>2023</v>
      </c>
      <c r="D2169" s="1">
        <f ca="1">IFERROR(__xludf.DUMMYFUNCTION("""COMPUTED_VALUE"""),11116)</f>
        <v>11116</v>
      </c>
      <c r="E2169" s="1" t="str">
        <f ca="1">IFERROR(__xludf.DUMMYFUNCTION("""COMPUTED_VALUE"""),"Transportation")</f>
        <v>Transportation</v>
      </c>
      <c r="F2169" s="1" t="str">
        <f ca="1">IFERROR(__xludf.DUMMYFUNCTION("""COMPUTED_VALUE"""),"1572-9435")</f>
        <v>1572-9435</v>
      </c>
      <c r="G2169" s="1" t="str">
        <f ca="1">IFERROR(__xludf.DUMMYFUNCTION("""COMPUTED_VALUE"""),"0049-4488")</f>
        <v>0049-4488</v>
      </c>
      <c r="H2169" s="27" t="str">
        <f ca="1">IFERROR(__xludf.DUMMYFUNCTION("""COMPUTED_VALUE"""),"https://link.springer.com/journal/11116")</f>
        <v>https://link.springer.com/journal/11116</v>
      </c>
      <c r="I2169" s="1" t="str">
        <f ca="1">IFERROR(__xludf.DUMMYFUNCTION("""COMPUTED_VALUE"""),"Springer")</f>
        <v>Springer</v>
      </c>
      <c r="J2169" s="1">
        <f ca="1">IFERROR(__xludf.DUMMYFUNCTION("""COMPUTED_VALUE"""),2000)</f>
        <v>2000</v>
      </c>
      <c r="K2169" s="1" t="str">
        <f ca="1">IFERROR(__xludf.DUMMYFUNCTION("""COMPUTED_VALUE"""),"Economics and Finance")</f>
        <v>Economics and Finance</v>
      </c>
      <c r="L2169" s="1" t="str">
        <f ca="1">IFERROR(__xludf.DUMMYFUNCTION("""COMPUTED_VALUE"""),"〇")</f>
        <v>〇</v>
      </c>
      <c r="M2169" s="1" t="str">
        <f ca="1">IFERROR(__xludf.DUMMYFUNCTION("""COMPUTED_VALUE"""),"〇")</f>
        <v>〇</v>
      </c>
      <c r="N2169" s="1"/>
      <c r="O2169" s="1"/>
      <c r="P2169" s="1"/>
    </row>
    <row r="2170" spans="1:16" ht="14.25" customHeight="1" x14ac:dyDescent="0.25">
      <c r="A2170" s="1"/>
      <c r="B2170" s="1">
        <f ca="1"/>
        <v>2158</v>
      </c>
      <c r="C2170" s="1">
        <f ca="1">IFERROR(__xludf.DUMMYFUNCTION("""COMPUTED_VALUE"""),2023)</f>
        <v>2023</v>
      </c>
      <c r="D2170" s="1">
        <f ca="1">IFERROR(__xludf.DUMMYFUNCTION("""COMPUTED_VALUE"""),40890)</f>
        <v>40890</v>
      </c>
      <c r="E2170" s="1" t="str">
        <f ca="1">IFERROR(__xludf.DUMMYFUNCTION("""COMPUTED_VALUE"""),"Transportation in Developing Economies")</f>
        <v>Transportation in Developing Economies</v>
      </c>
      <c r="F2170" s="1" t="str">
        <f ca="1">IFERROR(__xludf.DUMMYFUNCTION("""COMPUTED_VALUE"""),"2199-9295")</f>
        <v>2199-9295</v>
      </c>
      <c r="G2170" s="1" t="str">
        <f ca="1">IFERROR(__xludf.DUMMYFUNCTION("""COMPUTED_VALUE"""),"2199-9287")</f>
        <v>2199-9287</v>
      </c>
      <c r="H2170" s="27" t="str">
        <f ca="1">IFERROR(__xludf.DUMMYFUNCTION("""COMPUTED_VALUE"""),"https://link.springer.com/journal/40890")</f>
        <v>https://link.springer.com/journal/40890</v>
      </c>
      <c r="I2170" s="1" t="str">
        <f ca="1">IFERROR(__xludf.DUMMYFUNCTION("""COMPUTED_VALUE"""),"Springer")</f>
        <v>Springer</v>
      </c>
      <c r="J2170" s="1">
        <f ca="1">IFERROR(__xludf.DUMMYFUNCTION("""COMPUTED_VALUE"""),2015)</f>
        <v>2015</v>
      </c>
      <c r="K2170" s="1" t="str">
        <f ca="1">IFERROR(__xludf.DUMMYFUNCTION("""COMPUTED_VALUE"""),"Engineering")</f>
        <v>Engineering</v>
      </c>
      <c r="L2170" s="1" t="str">
        <f ca="1">IFERROR(__xludf.DUMMYFUNCTION("""COMPUTED_VALUE"""),"〇")</f>
        <v>〇</v>
      </c>
      <c r="M2170" s="1"/>
      <c r="N2170" s="1" t="str">
        <f ca="1">IFERROR(__xludf.DUMMYFUNCTION("""COMPUTED_VALUE"""),"SNS15")</f>
        <v>SNS15</v>
      </c>
      <c r="O2170" s="1"/>
      <c r="P2170" s="1"/>
    </row>
    <row r="2171" spans="1:16" ht="14.25" customHeight="1" x14ac:dyDescent="0.25">
      <c r="A2171" s="1"/>
      <c r="B2171" s="1">
        <f ca="1"/>
        <v>2159</v>
      </c>
      <c r="C2171" s="1">
        <f ca="1">IFERROR(__xludf.DUMMYFUNCTION("""COMPUTED_VALUE"""),2023)</f>
        <v>2023</v>
      </c>
      <c r="D2171" s="1">
        <f ca="1">IFERROR(__xludf.DUMMYFUNCTION("""COMPUTED_VALUE"""),40515)</f>
        <v>40515</v>
      </c>
      <c r="E2171" s="1" t="str">
        <f ca="1">IFERROR(__xludf.DUMMYFUNCTION("""COMPUTED_VALUE"""),"Transportation Infrastructure Geotechnology")</f>
        <v>Transportation Infrastructure Geotechnology</v>
      </c>
      <c r="F2171" s="1" t="str">
        <f ca="1">IFERROR(__xludf.DUMMYFUNCTION("""COMPUTED_VALUE"""),"2196-7210")</f>
        <v>2196-7210</v>
      </c>
      <c r="G2171" s="1" t="str">
        <f ca="1">IFERROR(__xludf.DUMMYFUNCTION("""COMPUTED_VALUE"""),"2196-7202")</f>
        <v>2196-7202</v>
      </c>
      <c r="H2171" s="27" t="str">
        <f ca="1">IFERROR(__xludf.DUMMYFUNCTION("""COMPUTED_VALUE"""),"https://link.springer.com/journal/40515")</f>
        <v>https://link.springer.com/journal/40515</v>
      </c>
      <c r="I2171" s="1" t="str">
        <f ca="1">IFERROR(__xludf.DUMMYFUNCTION("""COMPUTED_VALUE"""),"Springer")</f>
        <v>Springer</v>
      </c>
      <c r="J2171" s="1">
        <f ca="1">IFERROR(__xludf.DUMMYFUNCTION("""COMPUTED_VALUE"""),2014)</f>
        <v>2014</v>
      </c>
      <c r="K2171" s="1" t="str">
        <f ca="1">IFERROR(__xludf.DUMMYFUNCTION("""COMPUTED_VALUE"""),"Engineering")</f>
        <v>Engineering</v>
      </c>
      <c r="L2171" s="1" t="str">
        <f ca="1">IFERROR(__xludf.DUMMYFUNCTION("""COMPUTED_VALUE"""),"〇")</f>
        <v>〇</v>
      </c>
      <c r="M2171" s="1"/>
      <c r="N2171" s="1" t="str">
        <f ca="1">IFERROR(__xludf.DUMMYFUNCTION("""COMPUTED_VALUE"""),"SNS14")</f>
        <v>SNS14</v>
      </c>
      <c r="O2171" s="1"/>
      <c r="P2171" s="1"/>
    </row>
    <row r="2172" spans="1:16" ht="14.25" customHeight="1" x14ac:dyDescent="0.25">
      <c r="A2172" s="1"/>
      <c r="B2172" s="1">
        <f ca="1"/>
        <v>2160</v>
      </c>
      <c r="C2172" s="1">
        <f ca="1">IFERROR(__xludf.DUMMYFUNCTION("""COMPUTED_VALUE"""),2023)</f>
        <v>2023</v>
      </c>
      <c r="D2172" s="1">
        <f ca="1">IFERROR(__xludf.DUMMYFUNCTION("""COMPUTED_VALUE"""),11295)</f>
        <v>11295</v>
      </c>
      <c r="E2172" s="1" t="str">
        <f ca="1">IFERROR(__xludf.DUMMYFUNCTION("""COMPUTED_VALUE"""),"Tree Genetics &amp; Genomes")</f>
        <v>Tree Genetics &amp; Genomes</v>
      </c>
      <c r="F2172" s="1" t="str">
        <f ca="1">IFERROR(__xludf.DUMMYFUNCTION("""COMPUTED_VALUE"""),"1614-2950")</f>
        <v>1614-2950</v>
      </c>
      <c r="G2172" s="1"/>
      <c r="H2172" s="27" t="str">
        <f ca="1">IFERROR(__xludf.DUMMYFUNCTION("""COMPUTED_VALUE"""),"https://link.springer.com/journal/11295")</f>
        <v>https://link.springer.com/journal/11295</v>
      </c>
      <c r="I2172" s="1" t="str">
        <f ca="1">IFERROR(__xludf.DUMMYFUNCTION("""COMPUTED_VALUE"""),"Springer")</f>
        <v>Springer</v>
      </c>
      <c r="J2172" s="1">
        <f ca="1">IFERROR(__xludf.DUMMYFUNCTION("""COMPUTED_VALUE"""),2005)</f>
        <v>2005</v>
      </c>
      <c r="K2172" s="1" t="str">
        <f ca="1">IFERROR(__xludf.DUMMYFUNCTION("""COMPUTED_VALUE"""),"Biomedical and Life Sciences")</f>
        <v>Biomedical and Life Sciences</v>
      </c>
      <c r="L2172" s="1"/>
      <c r="M2172" s="1" t="str">
        <f ca="1">IFERROR(__xludf.DUMMYFUNCTION("""COMPUTED_VALUE"""),"〇")</f>
        <v>〇</v>
      </c>
      <c r="N2172" s="1"/>
      <c r="O2172" s="1"/>
      <c r="P2172" s="1"/>
    </row>
    <row r="2173" spans="1:16" ht="14.25" customHeight="1" x14ac:dyDescent="0.25">
      <c r="A2173" s="1"/>
      <c r="B2173" s="1">
        <f ca="1"/>
        <v>2161</v>
      </c>
      <c r="C2173" s="1">
        <f ca="1">IFERROR(__xludf.DUMMYFUNCTION("""COMPUTED_VALUE"""),2023)</f>
        <v>2023</v>
      </c>
      <c r="D2173" s="1">
        <f ca="1">IFERROR(__xludf.DUMMYFUNCTION("""COMPUTED_VALUE"""),468)</f>
        <v>468</v>
      </c>
      <c r="E2173" s="1" t="str">
        <f ca="1">IFERROR(__xludf.DUMMYFUNCTION("""COMPUTED_VALUE"""),"Trees")</f>
        <v>Trees</v>
      </c>
      <c r="F2173" s="1" t="str">
        <f ca="1">IFERROR(__xludf.DUMMYFUNCTION("""COMPUTED_VALUE"""),"1432-2285")</f>
        <v>1432-2285</v>
      </c>
      <c r="G2173" s="1" t="str">
        <f ca="1">IFERROR(__xludf.DUMMYFUNCTION("""COMPUTED_VALUE"""),"0931-1890")</f>
        <v>0931-1890</v>
      </c>
      <c r="H2173" s="27" t="str">
        <f ca="1">IFERROR(__xludf.DUMMYFUNCTION("""COMPUTED_VALUE"""),"https://link.springer.com/journal/468")</f>
        <v>https://link.springer.com/journal/468</v>
      </c>
      <c r="I2173" s="1" t="str">
        <f ca="1">IFERROR(__xludf.DUMMYFUNCTION("""COMPUTED_VALUE"""),"Springer")</f>
        <v>Springer</v>
      </c>
      <c r="J2173" s="1">
        <f ca="1">IFERROR(__xludf.DUMMYFUNCTION("""COMPUTED_VALUE"""),2000)</f>
        <v>2000</v>
      </c>
      <c r="K2173" s="1" t="str">
        <f ca="1">IFERROR(__xludf.DUMMYFUNCTION("""COMPUTED_VALUE"""),"Biomedical and Life Sciences")</f>
        <v>Biomedical and Life Sciences</v>
      </c>
      <c r="L2173" s="1" t="str">
        <f ca="1">IFERROR(__xludf.DUMMYFUNCTION("""COMPUTED_VALUE"""),"〇")</f>
        <v>〇</v>
      </c>
      <c r="M2173" s="1" t="str">
        <f ca="1">IFERROR(__xludf.DUMMYFUNCTION("""COMPUTED_VALUE"""),"〇")</f>
        <v>〇</v>
      </c>
      <c r="N2173" s="1"/>
      <c r="O2173" s="1"/>
      <c r="P2173" s="1"/>
    </row>
    <row r="2174" spans="1:16" ht="14.25" customHeight="1" x14ac:dyDescent="0.25">
      <c r="A2174" s="1"/>
      <c r="B2174" s="1">
        <f ca="1"/>
        <v>2162</v>
      </c>
      <c r="C2174" s="1">
        <f ca="1">IFERROR(__xludf.DUMMYFUNCTION("""COMPUTED_VALUE"""),2023)</f>
        <v>2023</v>
      </c>
      <c r="D2174" s="1">
        <f ca="1">IFERROR(__xludf.DUMMYFUNCTION("""COMPUTED_VALUE"""),12117)</f>
        <v>12117</v>
      </c>
      <c r="E2174" s="1" t="str">
        <f ca="1">IFERROR(__xludf.DUMMYFUNCTION("""COMPUTED_VALUE"""),"Trends in Organized Crime")</f>
        <v>Trends in Organized Crime</v>
      </c>
      <c r="F2174" s="1" t="str">
        <f ca="1">IFERROR(__xludf.DUMMYFUNCTION("""COMPUTED_VALUE"""),"1936-4830")</f>
        <v>1936-4830</v>
      </c>
      <c r="G2174" s="1" t="str">
        <f ca="1">IFERROR(__xludf.DUMMYFUNCTION("""COMPUTED_VALUE"""),"1084-4791")</f>
        <v>1084-4791</v>
      </c>
      <c r="H2174" s="27" t="str">
        <f ca="1">IFERROR(__xludf.DUMMYFUNCTION("""COMPUTED_VALUE"""),"https://link.springer.com/journal/12117")</f>
        <v>https://link.springer.com/journal/12117</v>
      </c>
      <c r="I2174" s="1" t="str">
        <f ca="1">IFERROR(__xludf.DUMMYFUNCTION("""COMPUTED_VALUE"""),"Springer")</f>
        <v>Springer</v>
      </c>
      <c r="J2174" s="1">
        <f ca="1">IFERROR(__xludf.DUMMYFUNCTION("""COMPUTED_VALUE"""),2000)</f>
        <v>2000</v>
      </c>
      <c r="K2174" s="1" t="str">
        <f ca="1">IFERROR(__xludf.DUMMYFUNCTION("""COMPUTED_VALUE"""),"Law and Criminology")</f>
        <v>Law and Criminology</v>
      </c>
      <c r="L2174" s="1" t="str">
        <f ca="1">IFERROR(__xludf.DUMMYFUNCTION("""COMPUTED_VALUE"""),"〇")</f>
        <v>〇</v>
      </c>
      <c r="M2174" s="1" t="str">
        <f ca="1">IFERROR(__xludf.DUMMYFUNCTION("""COMPUTED_VALUE"""),"〇")</f>
        <v>〇</v>
      </c>
      <c r="N2174" s="1" t="str">
        <f ca="1">IFERROR(__xludf.DUMMYFUNCTION("""COMPUTED_VALUE"""),"TO7")</f>
        <v>TO7</v>
      </c>
      <c r="O2174" s="1"/>
      <c r="P2174" s="1"/>
    </row>
    <row r="2175" spans="1:16" ht="14.25" customHeight="1" x14ac:dyDescent="0.25">
      <c r="A2175" s="1"/>
      <c r="B2175" s="1">
        <f ca="1"/>
        <v>2163</v>
      </c>
      <c r="C2175" s="1">
        <f ca="1">IFERROR(__xludf.DUMMYFUNCTION("""COMPUTED_VALUE"""),2023)</f>
        <v>2023</v>
      </c>
      <c r="D2175" s="1">
        <f ca="1">IFERROR(__xludf.DUMMYFUNCTION("""COMPUTED_VALUE"""),43076)</f>
        <v>43076</v>
      </c>
      <c r="E2175" s="1" t="str">
        <f ca="1">IFERROR(__xludf.DUMMYFUNCTION("""COMPUTED_VALUE"""),"Trends in Psychology")</f>
        <v>Trends in Psychology</v>
      </c>
      <c r="F2175" s="1" t="str">
        <f ca="1">IFERROR(__xludf.DUMMYFUNCTION("""COMPUTED_VALUE"""),"2358-1883")</f>
        <v>2358-1883</v>
      </c>
      <c r="G2175" s="1"/>
      <c r="H2175" s="27" t="str">
        <f ca="1">IFERROR(__xludf.DUMMYFUNCTION("""COMPUTED_VALUE"""),"https://link.springer.com/journal/43076")</f>
        <v>https://link.springer.com/journal/43076</v>
      </c>
      <c r="I2175" s="1" t="str">
        <f ca="1">IFERROR(__xludf.DUMMYFUNCTION("""COMPUTED_VALUE"""),"Springer")</f>
        <v>Springer</v>
      </c>
      <c r="J2175" s="1">
        <f ca="1">IFERROR(__xludf.DUMMYFUNCTION("""COMPUTED_VALUE"""),2020)</f>
        <v>2020</v>
      </c>
      <c r="K2175" s="1" t="str">
        <f ca="1">IFERROR(__xludf.DUMMYFUNCTION("""COMPUTED_VALUE"""),"Behavioral Science and Psychology")</f>
        <v>Behavioral Science and Psychology</v>
      </c>
      <c r="L2175" s="1"/>
      <c r="M2175" s="1"/>
      <c r="N2175" s="1" t="str">
        <f ca="1">IFERROR(__xludf.DUMMYFUNCTION("""COMPUTED_VALUE"""),"TO20")</f>
        <v>TO20</v>
      </c>
      <c r="O2175" s="1"/>
      <c r="P2175" s="1"/>
    </row>
    <row r="2176" spans="1:16" ht="14.25" customHeight="1" x14ac:dyDescent="0.25">
      <c r="A2176" s="1"/>
      <c r="B2176" s="1">
        <f ca="1"/>
        <v>2164</v>
      </c>
      <c r="C2176" s="1">
        <f ca="1">IFERROR(__xludf.DUMMYFUNCTION("""COMPUTED_VALUE"""),2023)</f>
        <v>2023</v>
      </c>
      <c r="D2176" s="1">
        <f ca="1">IFERROR(__xludf.DUMMYFUNCTION("""COMPUTED_VALUE"""),11249)</f>
        <v>11249</v>
      </c>
      <c r="E2176" s="1" t="str">
        <f ca="1">IFERROR(__xludf.DUMMYFUNCTION("""COMPUTED_VALUE"""),"Tribology Letters")</f>
        <v>Tribology Letters</v>
      </c>
      <c r="F2176" s="1" t="str">
        <f ca="1">IFERROR(__xludf.DUMMYFUNCTION("""COMPUTED_VALUE"""),"1573-2711")</f>
        <v>1573-2711</v>
      </c>
      <c r="G2176" s="1" t="str">
        <f ca="1">IFERROR(__xludf.DUMMYFUNCTION("""COMPUTED_VALUE"""),"1023-8883")</f>
        <v>1023-8883</v>
      </c>
      <c r="H2176" s="27" t="str">
        <f ca="1">IFERROR(__xludf.DUMMYFUNCTION("""COMPUTED_VALUE"""),"https://link.springer.com/journal/11249")</f>
        <v>https://link.springer.com/journal/11249</v>
      </c>
      <c r="I2176" s="1" t="str">
        <f ca="1">IFERROR(__xludf.DUMMYFUNCTION("""COMPUTED_VALUE"""),"Springer")</f>
        <v>Springer</v>
      </c>
      <c r="J2176" s="1">
        <f ca="1">IFERROR(__xludf.DUMMYFUNCTION("""COMPUTED_VALUE"""),2000)</f>
        <v>2000</v>
      </c>
      <c r="K2176" s="1" t="str">
        <f ca="1">IFERROR(__xludf.DUMMYFUNCTION("""COMPUTED_VALUE"""),"Chemistry and Materials Science")</f>
        <v>Chemistry and Materials Science</v>
      </c>
      <c r="L2176" s="1" t="str">
        <f ca="1">IFERROR(__xludf.DUMMYFUNCTION("""COMPUTED_VALUE"""),"〇")</f>
        <v>〇</v>
      </c>
      <c r="M2176" s="1" t="str">
        <f ca="1">IFERROR(__xludf.DUMMYFUNCTION("""COMPUTED_VALUE"""),"〇")</f>
        <v>〇</v>
      </c>
      <c r="N2176" s="1"/>
      <c r="O2176" s="1"/>
      <c r="P2176" s="1"/>
    </row>
    <row r="2177" spans="1:16" ht="14.25" customHeight="1" x14ac:dyDescent="0.25">
      <c r="A2177" s="1"/>
      <c r="B2177" s="1">
        <f ca="1"/>
        <v>2165</v>
      </c>
      <c r="C2177" s="1">
        <f ca="1">IFERROR(__xludf.DUMMYFUNCTION("""COMPUTED_VALUE"""),2023)</f>
        <v>2023</v>
      </c>
      <c r="D2177" s="1">
        <f ca="1">IFERROR(__xludf.DUMMYFUNCTION("""COMPUTED_VALUE"""),11250)</f>
        <v>11250</v>
      </c>
      <c r="E2177" s="1" t="str">
        <f ca="1">IFERROR(__xludf.DUMMYFUNCTION("""COMPUTED_VALUE"""),"Tropical Animal Health and Production")</f>
        <v>Tropical Animal Health and Production</v>
      </c>
      <c r="F2177" s="1" t="str">
        <f ca="1">IFERROR(__xludf.DUMMYFUNCTION("""COMPUTED_VALUE"""),"1573-7438")</f>
        <v>1573-7438</v>
      </c>
      <c r="G2177" s="1" t="str">
        <f ca="1">IFERROR(__xludf.DUMMYFUNCTION("""COMPUTED_VALUE"""),"0049-4747")</f>
        <v>0049-4747</v>
      </c>
      <c r="H2177" s="27" t="str">
        <f ca="1">IFERROR(__xludf.DUMMYFUNCTION("""COMPUTED_VALUE"""),"https://link.springer.com/journal/11250")</f>
        <v>https://link.springer.com/journal/11250</v>
      </c>
      <c r="I2177" s="1" t="str">
        <f ca="1">IFERROR(__xludf.DUMMYFUNCTION("""COMPUTED_VALUE"""),"Springer")</f>
        <v>Springer</v>
      </c>
      <c r="J2177" s="1">
        <f ca="1">IFERROR(__xludf.DUMMYFUNCTION("""COMPUTED_VALUE"""),2000)</f>
        <v>2000</v>
      </c>
      <c r="K2177" s="1" t="str">
        <f ca="1">IFERROR(__xludf.DUMMYFUNCTION("""COMPUTED_VALUE"""),"Biomedical and Life Sciences")</f>
        <v>Biomedical and Life Sciences</v>
      </c>
      <c r="L2177" s="1" t="str">
        <f ca="1">IFERROR(__xludf.DUMMYFUNCTION("""COMPUTED_VALUE"""),"〇")</f>
        <v>〇</v>
      </c>
      <c r="M2177" s="1" t="str">
        <f ca="1">IFERROR(__xludf.DUMMYFUNCTION("""COMPUTED_VALUE"""),"〇")</f>
        <v>〇</v>
      </c>
      <c r="N2177" s="1"/>
      <c r="O2177" s="1"/>
      <c r="P2177" s="1"/>
    </row>
    <row r="2178" spans="1:16" ht="14.25" customHeight="1" x14ac:dyDescent="0.25">
      <c r="A2178" s="1"/>
      <c r="B2178" s="1">
        <f ca="1"/>
        <v>2166</v>
      </c>
      <c r="C2178" s="1">
        <f ca="1">IFERROR(__xludf.DUMMYFUNCTION("""COMPUTED_VALUE"""),2023)</f>
        <v>2023</v>
      </c>
      <c r="D2178" s="1">
        <f ca="1">IFERROR(__xludf.DUMMYFUNCTION("""COMPUTED_VALUE"""),42965)</f>
        <v>42965</v>
      </c>
      <c r="E2178" s="1" t="str">
        <f ca="1">IFERROR(__xludf.DUMMYFUNCTION("""COMPUTED_VALUE"""),"Tropical Ecology")</f>
        <v>Tropical Ecology</v>
      </c>
      <c r="F2178" s="1" t="str">
        <f ca="1">IFERROR(__xludf.DUMMYFUNCTION("""COMPUTED_VALUE"""),"2661-8982")</f>
        <v>2661-8982</v>
      </c>
      <c r="G2178" s="1" t="str">
        <f ca="1">IFERROR(__xludf.DUMMYFUNCTION("""COMPUTED_VALUE"""),"0564-3295")</f>
        <v>0564-3295</v>
      </c>
      <c r="H2178" s="27" t="str">
        <f ca="1">IFERROR(__xludf.DUMMYFUNCTION("""COMPUTED_VALUE"""),"https://link.springer.com/journal/42965")</f>
        <v>https://link.springer.com/journal/42965</v>
      </c>
      <c r="I2178" s="1" t="str">
        <f ca="1">IFERROR(__xludf.DUMMYFUNCTION("""COMPUTED_VALUE"""),"Springer")</f>
        <v>Springer</v>
      </c>
      <c r="J2178" s="1">
        <f ca="1">IFERROR(__xludf.DUMMYFUNCTION("""COMPUTED_VALUE"""),2019)</f>
        <v>2019</v>
      </c>
      <c r="K2178" s="1" t="str">
        <f ca="1">IFERROR(__xludf.DUMMYFUNCTION("""COMPUTED_VALUE"""),"Biomedical and Life Sciences")</f>
        <v>Biomedical and Life Sciences</v>
      </c>
      <c r="L2178" s="1" t="str">
        <f ca="1">IFERROR(__xludf.DUMMYFUNCTION("""COMPUTED_VALUE"""),"〇")</f>
        <v>〇</v>
      </c>
      <c r="M2178" s="1"/>
      <c r="N2178" s="1" t="str">
        <f ca="1">IFERROR(__xludf.DUMMYFUNCTION("""COMPUTED_VALUE"""),"TO19")</f>
        <v>TO19</v>
      </c>
      <c r="O2178" s="1"/>
      <c r="P2178" s="1"/>
    </row>
    <row r="2179" spans="1:16" ht="14.25" customHeight="1" x14ac:dyDescent="0.25">
      <c r="A2179" s="1"/>
      <c r="B2179" s="1">
        <f ca="1"/>
        <v>2167</v>
      </c>
      <c r="C2179" s="1">
        <f ca="1">IFERROR(__xludf.DUMMYFUNCTION("""COMPUTED_VALUE"""),2023)</f>
        <v>2023</v>
      </c>
      <c r="D2179" s="1">
        <f ca="1">IFERROR(__xludf.DUMMYFUNCTION("""COMPUTED_VALUE"""),12042)</f>
        <v>12042</v>
      </c>
      <c r="E2179" s="1" t="str">
        <f ca="1">IFERROR(__xludf.DUMMYFUNCTION("""COMPUTED_VALUE"""),"Tropical Plant Biology")</f>
        <v>Tropical Plant Biology</v>
      </c>
      <c r="F2179" s="1" t="str">
        <f ca="1">IFERROR(__xludf.DUMMYFUNCTION("""COMPUTED_VALUE"""),"1935-9764")</f>
        <v>1935-9764</v>
      </c>
      <c r="G2179" s="1"/>
      <c r="H2179" s="27" t="str">
        <f ca="1">IFERROR(__xludf.DUMMYFUNCTION("""COMPUTED_VALUE"""),"https://link.springer.com/journal/12042")</f>
        <v>https://link.springer.com/journal/12042</v>
      </c>
      <c r="I2179" s="1" t="str">
        <f ca="1">IFERROR(__xludf.DUMMYFUNCTION("""COMPUTED_VALUE"""),"Springer")</f>
        <v>Springer</v>
      </c>
      <c r="J2179" s="1">
        <f ca="1">IFERROR(__xludf.DUMMYFUNCTION("""COMPUTED_VALUE"""),2008)</f>
        <v>2008</v>
      </c>
      <c r="K2179" s="1" t="str">
        <f ca="1">IFERROR(__xludf.DUMMYFUNCTION("""COMPUTED_VALUE"""),"Biomedical and Life Sciences")</f>
        <v>Biomedical and Life Sciences</v>
      </c>
      <c r="L2179" s="1"/>
      <c r="M2179" s="1" t="str">
        <f ca="1">IFERROR(__xludf.DUMMYFUNCTION("""COMPUTED_VALUE"""),"〇")</f>
        <v>〇</v>
      </c>
      <c r="N2179" s="1" t="str">
        <f ca="1">IFERROR(__xludf.DUMMYFUNCTION("""COMPUTED_VALUE"""),"SNS8")</f>
        <v>SNS8</v>
      </c>
      <c r="O2179" s="1"/>
      <c r="P2179" s="1"/>
    </row>
    <row r="2180" spans="1:16" ht="14.25" customHeight="1" x14ac:dyDescent="0.25">
      <c r="A2180" s="1"/>
      <c r="B2180" s="1">
        <f ca="1"/>
        <v>2168</v>
      </c>
      <c r="C2180" s="1">
        <f ca="1">IFERROR(__xludf.DUMMYFUNCTION("""COMPUTED_VALUE"""),2023)</f>
        <v>2023</v>
      </c>
      <c r="D2180" s="1">
        <f ca="1">IFERROR(__xludf.DUMMYFUNCTION("""COMPUTED_VALUE"""),40858)</f>
        <v>40858</v>
      </c>
      <c r="E2180" s="1" t="str">
        <f ca="1">IFERROR(__xludf.DUMMYFUNCTION("""COMPUTED_VALUE"""),"Tropical Plant Pathology")</f>
        <v>Tropical Plant Pathology</v>
      </c>
      <c r="F2180" s="1" t="str">
        <f ca="1">IFERROR(__xludf.DUMMYFUNCTION("""COMPUTED_VALUE"""),"1983-2052")</f>
        <v>1983-2052</v>
      </c>
      <c r="G2180" s="1"/>
      <c r="H2180" s="27" t="str">
        <f ca="1">IFERROR(__xludf.DUMMYFUNCTION("""COMPUTED_VALUE"""),"https://link.springer.com/journal/40858")</f>
        <v>https://link.springer.com/journal/40858</v>
      </c>
      <c r="I2180" s="1" t="str">
        <f ca="1">IFERROR(__xludf.DUMMYFUNCTION("""COMPUTED_VALUE"""),"Springer")</f>
        <v>Springer</v>
      </c>
      <c r="J2180" s="1">
        <f ca="1">IFERROR(__xludf.DUMMYFUNCTION("""COMPUTED_VALUE"""),2015)</f>
        <v>2015</v>
      </c>
      <c r="K2180" s="1" t="str">
        <f ca="1">IFERROR(__xludf.DUMMYFUNCTION("""COMPUTED_VALUE"""),"Biomedical and Life Sciences")</f>
        <v>Biomedical and Life Sciences</v>
      </c>
      <c r="L2180" s="1"/>
      <c r="M2180" s="1"/>
      <c r="N2180" s="1" t="str">
        <f ca="1">IFERROR(__xludf.DUMMYFUNCTION("""COMPUTED_VALUE"""),"TO15")</f>
        <v>TO15</v>
      </c>
      <c r="O2180" s="1"/>
      <c r="P2180" s="1"/>
    </row>
    <row r="2181" spans="1:16" ht="14.25" customHeight="1" x14ac:dyDescent="0.25">
      <c r="A2181" s="1"/>
      <c r="B2181" s="1">
        <f ca="1"/>
        <v>2169</v>
      </c>
      <c r="C2181" s="1">
        <f ca="1">IFERROR(__xludf.DUMMYFUNCTION("""COMPUTED_VALUE"""),2023)</f>
        <v>2023</v>
      </c>
      <c r="D2181" s="1">
        <f ca="1">IFERROR(__xludf.DUMMYFUNCTION("""COMPUTED_VALUE"""),42864)</f>
        <v>42864</v>
      </c>
      <c r="E2181" s="1" t="str">
        <f ca="1">IFERROR(__xludf.DUMMYFUNCTION("""COMPUTED_VALUE"""),"Tungsten")</f>
        <v>Tungsten</v>
      </c>
      <c r="F2181" s="1" t="str">
        <f ca="1">IFERROR(__xludf.DUMMYFUNCTION("""COMPUTED_VALUE"""),"2661-8036")</f>
        <v>2661-8036</v>
      </c>
      <c r="G2181" s="1" t="str">
        <f ca="1">IFERROR(__xludf.DUMMYFUNCTION("""COMPUTED_VALUE"""),"2661-8028")</f>
        <v>2661-8028</v>
      </c>
      <c r="H2181" s="27" t="str">
        <f ca="1">IFERROR(__xludf.DUMMYFUNCTION("""COMPUTED_VALUE"""),"https://link.springer.com/journal/42864")</f>
        <v>https://link.springer.com/journal/42864</v>
      </c>
      <c r="I2181" s="1" t="str">
        <f ca="1">IFERROR(__xludf.DUMMYFUNCTION("""COMPUTED_VALUE"""),"Springer")</f>
        <v>Springer</v>
      </c>
      <c r="J2181" s="1">
        <f ca="1">IFERROR(__xludf.DUMMYFUNCTION("""COMPUTED_VALUE"""),2019)</f>
        <v>2019</v>
      </c>
      <c r="K2181" s="1" t="str">
        <f ca="1">IFERROR(__xludf.DUMMYFUNCTION("""COMPUTED_VALUE"""),"Chemistry and Materials Science")</f>
        <v>Chemistry and Materials Science</v>
      </c>
      <c r="L2181" s="1" t="str">
        <f ca="1">IFERROR(__xludf.DUMMYFUNCTION("""COMPUTED_VALUE"""),"〇")</f>
        <v>〇</v>
      </c>
      <c r="M2181" s="1"/>
      <c r="N2181" s="1" t="str">
        <f ca="1">IFERROR(__xludf.DUMMYFUNCTION("""COMPUTED_VALUE"""),"SNS19")</f>
        <v>SNS19</v>
      </c>
      <c r="O2181" s="1"/>
      <c r="P2181" s="1"/>
    </row>
    <row r="2182" spans="1:16" ht="14.25" customHeight="1" x14ac:dyDescent="0.25">
      <c r="A2182" s="1"/>
      <c r="B2182" s="1">
        <f ca="1"/>
        <v>2170</v>
      </c>
      <c r="C2182" s="1">
        <f ca="1">IFERROR(__xludf.DUMMYFUNCTION("""COMPUTED_VALUE"""),2023)</f>
        <v>2023</v>
      </c>
      <c r="D2182" s="1">
        <f ca="1">IFERROR(__xludf.DUMMYFUNCTION("""COMPUTED_VALUE"""),11253)</f>
        <v>11253</v>
      </c>
      <c r="E2182" s="1" t="str">
        <f ca="1">IFERROR(__xludf.DUMMYFUNCTION("""COMPUTED_VALUE"""),"Ukrainian Mathematical Journal")</f>
        <v>Ukrainian Mathematical Journal</v>
      </c>
      <c r="F2182" s="1" t="str">
        <f ca="1">IFERROR(__xludf.DUMMYFUNCTION("""COMPUTED_VALUE"""),"1573-9376")</f>
        <v>1573-9376</v>
      </c>
      <c r="G2182" s="1" t="str">
        <f ca="1">IFERROR(__xludf.DUMMYFUNCTION("""COMPUTED_VALUE"""),"0041-5995")</f>
        <v>0041-5995</v>
      </c>
      <c r="H2182" s="27" t="str">
        <f ca="1">IFERROR(__xludf.DUMMYFUNCTION("""COMPUTED_VALUE"""),"https://link.springer.com/journal/11253")</f>
        <v>https://link.springer.com/journal/11253</v>
      </c>
      <c r="I2182" s="1" t="str">
        <f ca="1">IFERROR(__xludf.DUMMYFUNCTION("""COMPUTED_VALUE"""),"Springer")</f>
        <v>Springer</v>
      </c>
      <c r="J2182" s="1">
        <f ca="1">IFERROR(__xludf.DUMMYFUNCTION("""COMPUTED_VALUE"""),2000)</f>
        <v>2000</v>
      </c>
      <c r="K2182" s="1" t="str">
        <f ca="1">IFERROR(__xludf.DUMMYFUNCTION("""COMPUTED_VALUE"""),"Mathematics and Statistics")</f>
        <v>Mathematics and Statistics</v>
      </c>
      <c r="L2182" s="1" t="str">
        <f ca="1">IFERROR(__xludf.DUMMYFUNCTION("""COMPUTED_VALUE"""),"〇")</f>
        <v>〇</v>
      </c>
      <c r="M2182" s="1" t="str">
        <f ca="1">IFERROR(__xludf.DUMMYFUNCTION("""COMPUTED_VALUE"""),"〇")</f>
        <v>〇</v>
      </c>
      <c r="N2182" s="1"/>
      <c r="O2182" s="1"/>
      <c r="P2182" s="1"/>
    </row>
    <row r="2183" spans="1:16" ht="14.25" customHeight="1" x14ac:dyDescent="0.25">
      <c r="A2183" s="1"/>
      <c r="B2183" s="1">
        <f ca="1"/>
        <v>2171</v>
      </c>
      <c r="C2183" s="1">
        <f ca="1">IFERROR(__xludf.DUMMYFUNCTION("""COMPUTED_VALUE"""),2023)</f>
        <v>2023</v>
      </c>
      <c r="D2183" s="1">
        <f ca="1">IFERROR(__xludf.DUMMYFUNCTION("""COMPUTED_VALUE"""),10209)</f>
        <v>10209</v>
      </c>
      <c r="E2183" s="1" t="str">
        <f ca="1">IFERROR(__xludf.DUMMYFUNCTION("""COMPUTED_VALUE"""),"Universal Access in the Information Society")</f>
        <v>Universal Access in the Information Society</v>
      </c>
      <c r="F2183" s="1" t="str">
        <f ca="1">IFERROR(__xludf.DUMMYFUNCTION("""COMPUTED_VALUE"""),"1615-5297")</f>
        <v>1615-5297</v>
      </c>
      <c r="G2183" s="1" t="str">
        <f ca="1">IFERROR(__xludf.DUMMYFUNCTION("""COMPUTED_VALUE"""),"1615-5289")</f>
        <v>1615-5289</v>
      </c>
      <c r="H2183" s="27" t="str">
        <f ca="1">IFERROR(__xludf.DUMMYFUNCTION("""COMPUTED_VALUE"""),"https://link.springer.com/journal/10209")</f>
        <v>https://link.springer.com/journal/10209</v>
      </c>
      <c r="I2183" s="1" t="str">
        <f ca="1">IFERROR(__xludf.DUMMYFUNCTION("""COMPUTED_VALUE"""),"Springer")</f>
        <v>Springer</v>
      </c>
      <c r="J2183" s="1">
        <f ca="1">IFERROR(__xludf.DUMMYFUNCTION("""COMPUTED_VALUE"""),2001)</f>
        <v>2001</v>
      </c>
      <c r="K2183" s="1" t="str">
        <f ca="1">IFERROR(__xludf.DUMMYFUNCTION("""COMPUTED_VALUE"""),"Computer Science")</f>
        <v>Computer Science</v>
      </c>
      <c r="L2183" s="1" t="str">
        <f ca="1">IFERROR(__xludf.DUMMYFUNCTION("""COMPUTED_VALUE"""),"〇")</f>
        <v>〇</v>
      </c>
      <c r="M2183" s="1" t="str">
        <f ca="1">IFERROR(__xludf.DUMMYFUNCTION("""COMPUTED_VALUE"""),"〇")</f>
        <v>〇</v>
      </c>
      <c r="N2183" s="1"/>
      <c r="O2183" s="1"/>
      <c r="P2183" s="1"/>
    </row>
    <row r="2184" spans="1:16" ht="14.25" customHeight="1" x14ac:dyDescent="0.25">
      <c r="A2184" s="1"/>
      <c r="B2184" s="1">
        <f ca="1"/>
        <v>2172</v>
      </c>
      <c r="C2184" s="1">
        <f ca="1">IFERROR(__xludf.DUMMYFUNCTION("""COMPUTED_VALUE"""),2023)</f>
        <v>2023</v>
      </c>
      <c r="D2184" s="1">
        <f ca="1">IFERROR(__xludf.DUMMYFUNCTION("""COMPUTED_VALUE"""),42010)</f>
        <v>42010</v>
      </c>
      <c r="E2184" s="1" t="str">
        <f ca="1">IFERROR(__xludf.DUMMYFUNCTION("""COMPUTED_VALUE"""),"Unterrichtswissenschaft")</f>
        <v>Unterrichtswissenschaft</v>
      </c>
      <c r="F2184" s="1" t="str">
        <f ca="1">IFERROR(__xludf.DUMMYFUNCTION("""COMPUTED_VALUE"""),"2520-873X")</f>
        <v>2520-873X</v>
      </c>
      <c r="G2184" s="1" t="str">
        <f ca="1">IFERROR(__xludf.DUMMYFUNCTION("""COMPUTED_VALUE"""),"0340-4099")</f>
        <v>0340-4099</v>
      </c>
      <c r="H2184" s="27" t="str">
        <f ca="1">IFERROR(__xludf.DUMMYFUNCTION("""COMPUTED_VALUE"""),"https://link.springer.com/journal/42010")</f>
        <v>https://link.springer.com/journal/42010</v>
      </c>
      <c r="I2184" s="1" t="str">
        <f ca="1">IFERROR(__xludf.DUMMYFUNCTION("""COMPUTED_VALUE"""),"Springer VS")</f>
        <v>Springer VS</v>
      </c>
      <c r="J2184" s="1">
        <f ca="1">IFERROR(__xludf.DUMMYFUNCTION("""COMPUTED_VALUE"""),2018)</f>
        <v>2018</v>
      </c>
      <c r="K2184" s="1" t="str">
        <f ca="1">IFERROR(__xludf.DUMMYFUNCTION("""COMPUTED_VALUE"""),"Education")</f>
        <v>Education</v>
      </c>
      <c r="L2184" s="1" t="str">
        <f ca="1">IFERROR(__xludf.DUMMYFUNCTION("""COMPUTED_VALUE"""),"〇")</f>
        <v>〇</v>
      </c>
      <c r="M2184" s="1"/>
      <c r="N2184" s="1" t="str">
        <f ca="1">IFERROR(__xludf.DUMMYFUNCTION("""COMPUTED_VALUE"""),"TO18")</f>
        <v>TO18</v>
      </c>
      <c r="O2184" s="1"/>
      <c r="P2184" s="1"/>
    </row>
    <row r="2185" spans="1:16" ht="14.25" customHeight="1" x14ac:dyDescent="0.25">
      <c r="A2185" s="1"/>
      <c r="B2185" s="1">
        <f ca="1"/>
        <v>2173</v>
      </c>
      <c r="C2185" s="1">
        <f ca="1">IFERROR(__xludf.DUMMYFUNCTION("""COMPUTED_VALUE"""),2023)</f>
        <v>2023</v>
      </c>
      <c r="D2185" s="1">
        <f ca="1">IFERROR(__xludf.DUMMYFUNCTION("""COMPUTED_VALUE"""),13304)</f>
        <v>13304</v>
      </c>
      <c r="E2185" s="1" t="str">
        <f ca="1">IFERROR(__xludf.DUMMYFUNCTION("""COMPUTED_VALUE"""),"Updates in Surgery")</f>
        <v>Updates in Surgery</v>
      </c>
      <c r="F2185" s="1" t="str">
        <f ca="1">IFERROR(__xludf.DUMMYFUNCTION("""COMPUTED_VALUE"""),"2038-3312")</f>
        <v>2038-3312</v>
      </c>
      <c r="G2185" s="1"/>
      <c r="H2185" s="27" t="str">
        <f ca="1">IFERROR(__xludf.DUMMYFUNCTION("""COMPUTED_VALUE"""),"https://link.springer.com/journal/13304")</f>
        <v>https://link.springer.com/journal/13304</v>
      </c>
      <c r="I2185" s="1" t="str">
        <f ca="1">IFERROR(__xludf.DUMMYFUNCTION("""COMPUTED_VALUE"""),"Springer")</f>
        <v>Springer</v>
      </c>
      <c r="J2185" s="1">
        <f ca="1">IFERROR(__xludf.DUMMYFUNCTION("""COMPUTED_VALUE"""),2010)</f>
        <v>2010</v>
      </c>
      <c r="K2185" s="1" t="str">
        <f ca="1">IFERROR(__xludf.DUMMYFUNCTION("""COMPUTED_VALUE"""),"Medicine")</f>
        <v>Medicine</v>
      </c>
      <c r="L2185" s="1"/>
      <c r="M2185" s="1"/>
      <c r="N2185" s="1" t="str">
        <f ca="1">IFERROR(__xludf.DUMMYFUNCTION("""COMPUTED_VALUE"""),"TO10")</f>
        <v>TO10</v>
      </c>
      <c r="O2185" s="1"/>
      <c r="P2185" s="1"/>
    </row>
    <row r="2186" spans="1:16" ht="14.25" customHeight="1" x14ac:dyDescent="0.25">
      <c r="A2186" s="1"/>
      <c r="B2186" s="1">
        <f ca="1"/>
        <v>2174</v>
      </c>
      <c r="C2186" s="1">
        <f ca="1">IFERROR(__xludf.DUMMYFUNCTION("""COMPUTED_VALUE"""),2023)</f>
        <v>2023</v>
      </c>
      <c r="D2186" s="1">
        <f ca="1">IFERROR(__xludf.DUMMYFUNCTION("""COMPUTED_VALUE"""),11252)</f>
        <v>11252</v>
      </c>
      <c r="E2186" s="1" t="str">
        <f ca="1">IFERROR(__xludf.DUMMYFUNCTION("""COMPUTED_VALUE"""),"Urban Ecosystems")</f>
        <v>Urban Ecosystems</v>
      </c>
      <c r="F2186" s="1" t="str">
        <f ca="1">IFERROR(__xludf.DUMMYFUNCTION("""COMPUTED_VALUE"""),"1573-1642")</f>
        <v>1573-1642</v>
      </c>
      <c r="G2186" s="1" t="str">
        <f ca="1">IFERROR(__xludf.DUMMYFUNCTION("""COMPUTED_VALUE"""),"1083-8155")</f>
        <v>1083-8155</v>
      </c>
      <c r="H2186" s="27" t="str">
        <f ca="1">IFERROR(__xludf.DUMMYFUNCTION("""COMPUTED_VALUE"""),"https://link.springer.com/journal/11252")</f>
        <v>https://link.springer.com/journal/11252</v>
      </c>
      <c r="I2186" s="1" t="str">
        <f ca="1">IFERROR(__xludf.DUMMYFUNCTION("""COMPUTED_VALUE"""),"Springer")</f>
        <v>Springer</v>
      </c>
      <c r="J2186" s="1">
        <f ca="1">IFERROR(__xludf.DUMMYFUNCTION("""COMPUTED_VALUE"""),2000)</f>
        <v>2000</v>
      </c>
      <c r="K2186" s="1" t="str">
        <f ca="1">IFERROR(__xludf.DUMMYFUNCTION("""COMPUTED_VALUE"""),"Biomedical and Life Sciences")</f>
        <v>Biomedical and Life Sciences</v>
      </c>
      <c r="L2186" s="1" t="str">
        <f ca="1">IFERROR(__xludf.DUMMYFUNCTION("""COMPUTED_VALUE"""),"〇")</f>
        <v>〇</v>
      </c>
      <c r="M2186" s="1" t="str">
        <f ca="1">IFERROR(__xludf.DUMMYFUNCTION("""COMPUTED_VALUE"""),"〇")</f>
        <v>〇</v>
      </c>
      <c r="N2186" s="1"/>
      <c r="O2186" s="1"/>
      <c r="P2186" s="1"/>
    </row>
    <row r="2187" spans="1:16" ht="14.25" customHeight="1" x14ac:dyDescent="0.25">
      <c r="A2187" s="1"/>
      <c r="B2187" s="1">
        <f ca="1"/>
        <v>2175</v>
      </c>
      <c r="C2187" s="1">
        <f ca="1">IFERROR(__xludf.DUMMYFUNCTION("""COMPUTED_VALUE"""),2023)</f>
        <v>2023</v>
      </c>
      <c r="D2187" s="1">
        <f ca="1">IFERROR(__xludf.DUMMYFUNCTION("""COMPUTED_VALUE"""),12132)</f>
        <v>12132</v>
      </c>
      <c r="E2187" s="1" t="str">
        <f ca="1">IFERROR(__xludf.DUMMYFUNCTION("""COMPUTED_VALUE"""),"Urban Forum")</f>
        <v>Urban Forum</v>
      </c>
      <c r="F2187" s="1" t="str">
        <f ca="1">IFERROR(__xludf.DUMMYFUNCTION("""COMPUTED_VALUE"""),"1874-6330")</f>
        <v>1874-6330</v>
      </c>
      <c r="G2187" s="1" t="str">
        <f ca="1">IFERROR(__xludf.DUMMYFUNCTION("""COMPUTED_VALUE"""),"1015-3802")</f>
        <v>1015-3802</v>
      </c>
      <c r="H2187" s="27" t="str">
        <f ca="1">IFERROR(__xludf.DUMMYFUNCTION("""COMPUTED_VALUE"""),"https://link.springer.com/journal/12132")</f>
        <v>https://link.springer.com/journal/12132</v>
      </c>
      <c r="I2187" s="1" t="str">
        <f ca="1">IFERROR(__xludf.DUMMYFUNCTION("""COMPUTED_VALUE"""),"Springer")</f>
        <v>Springer</v>
      </c>
      <c r="J2187" s="1">
        <f ca="1">IFERROR(__xludf.DUMMYFUNCTION("""COMPUTED_VALUE"""),2000)</f>
        <v>2000</v>
      </c>
      <c r="K2187" s="1" t="str">
        <f ca="1">IFERROR(__xludf.DUMMYFUNCTION("""COMPUTED_VALUE"""),"Social Sciences")</f>
        <v>Social Sciences</v>
      </c>
      <c r="L2187" s="1" t="str">
        <f ca="1">IFERROR(__xludf.DUMMYFUNCTION("""COMPUTED_VALUE"""),"〇")</f>
        <v>〇</v>
      </c>
      <c r="M2187" s="1" t="str">
        <f ca="1">IFERROR(__xludf.DUMMYFUNCTION("""COMPUTED_VALUE"""),"〇")</f>
        <v>〇</v>
      </c>
      <c r="N2187" s="1" t="str">
        <f ca="1">IFERROR(__xludf.DUMMYFUNCTION("""COMPUTED_VALUE"""),"TO7")</f>
        <v>TO7</v>
      </c>
      <c r="O2187" s="1"/>
      <c r="P2187" s="1"/>
    </row>
    <row r="2188" spans="1:16" ht="14.25" customHeight="1" x14ac:dyDescent="0.25">
      <c r="A2188" s="1"/>
      <c r="B2188" s="1">
        <f ca="1"/>
        <v>2176</v>
      </c>
      <c r="C2188" s="1">
        <f ca="1">IFERROR(__xludf.DUMMYFUNCTION("""COMPUTED_VALUE"""),2023)</f>
        <v>2023</v>
      </c>
      <c r="D2188" s="1">
        <f ca="1">IFERROR(__xludf.DUMMYFUNCTION("""COMPUTED_VALUE"""),240)</f>
        <v>240</v>
      </c>
      <c r="E2188" s="1" t="str">
        <f ca="1">IFERROR(__xludf.DUMMYFUNCTION("""COMPUTED_VALUE"""),"Urolithiasis")</f>
        <v>Urolithiasis</v>
      </c>
      <c r="F2188" s="1" t="str">
        <f ca="1">IFERROR(__xludf.DUMMYFUNCTION("""COMPUTED_VALUE"""),"2194-7236")</f>
        <v>2194-7236</v>
      </c>
      <c r="G2188" s="1"/>
      <c r="H2188" s="27" t="str">
        <f ca="1">IFERROR(__xludf.DUMMYFUNCTION("""COMPUTED_VALUE"""),"https://link.springer.com/journal/240")</f>
        <v>https://link.springer.com/journal/240</v>
      </c>
      <c r="I2188" s="1" t="str">
        <f ca="1">IFERROR(__xludf.DUMMYFUNCTION("""COMPUTED_VALUE"""),"Springer")</f>
        <v>Springer</v>
      </c>
      <c r="J2188" s="1">
        <f ca="1">IFERROR(__xludf.DUMMYFUNCTION("""COMPUTED_VALUE"""),2000)</f>
        <v>2000</v>
      </c>
      <c r="K2188" s="1" t="str">
        <f ca="1">IFERROR(__xludf.DUMMYFUNCTION("""COMPUTED_VALUE"""),"Medicine")</f>
        <v>Medicine</v>
      </c>
      <c r="L2188" s="1"/>
      <c r="M2188" s="1" t="str">
        <f ca="1">IFERROR(__xludf.DUMMYFUNCTION("""COMPUTED_VALUE"""),"〇")</f>
        <v>〇</v>
      </c>
      <c r="N2188" s="1"/>
      <c r="O2188" s="1"/>
      <c r="P2188" s="1"/>
    </row>
    <row r="2189" spans="1:16" ht="14.25" customHeight="1" x14ac:dyDescent="0.25">
      <c r="A2189" s="1"/>
      <c r="B2189" s="1">
        <f ca="1"/>
        <v>2177</v>
      </c>
      <c r="C2189" s="1">
        <f ca="1">IFERROR(__xludf.DUMMYFUNCTION("""COMPUTED_VALUE"""),2023)</f>
        <v>2023</v>
      </c>
      <c r="D2189" s="1">
        <f ca="1">IFERROR(__xludf.DUMMYFUNCTION("""COMPUTED_VALUE"""),41973)</f>
        <v>41973</v>
      </c>
      <c r="E2189" s="1" t="str">
        <f ca="1">IFERROR(__xludf.DUMMYFUNCTION("""COMPUTED_VALUE"""),"Urologie in der Praxis")</f>
        <v>Urologie in der Praxis</v>
      </c>
      <c r="F2189" s="1" t="str">
        <f ca="1">IFERROR(__xludf.DUMMYFUNCTION("""COMPUTED_VALUE"""),"2661-8745")</f>
        <v>2661-8745</v>
      </c>
      <c r="G2189" s="1" t="str">
        <f ca="1">IFERROR(__xludf.DUMMYFUNCTION("""COMPUTED_VALUE"""),"2661-8737")</f>
        <v>2661-8737</v>
      </c>
      <c r="H2189" s="27" t="str">
        <f ca="1">IFERROR(__xludf.DUMMYFUNCTION("""COMPUTED_VALUE"""),"https://link.springer.com/journal/41973")</f>
        <v>https://link.springer.com/journal/41973</v>
      </c>
      <c r="I2189" s="1" t="str">
        <f ca="1">IFERROR(__xludf.DUMMYFUNCTION("""COMPUTED_VALUE"""),"SpringerMedizin")</f>
        <v>SpringerMedizin</v>
      </c>
      <c r="J2189" s="1">
        <f ca="1">IFERROR(__xludf.DUMMYFUNCTION("""COMPUTED_VALUE"""),2017)</f>
        <v>2017</v>
      </c>
      <c r="K2189" s="1" t="str">
        <f ca="1">IFERROR(__xludf.DUMMYFUNCTION("""COMPUTED_VALUE"""),"Medicine")</f>
        <v>Medicine</v>
      </c>
      <c r="L2189" s="1" t="str">
        <f ca="1">IFERROR(__xludf.DUMMYFUNCTION("""COMPUTED_VALUE"""),"〇")</f>
        <v>〇</v>
      </c>
      <c r="M2189" s="1"/>
      <c r="N2189" s="1" t="str">
        <f ca="1">IFERROR(__xludf.DUMMYFUNCTION("""COMPUTED_VALUE"""),"TO17")</f>
        <v>TO17</v>
      </c>
      <c r="O2189" s="1"/>
      <c r="P2189" s="1"/>
    </row>
    <row r="2190" spans="1:16" ht="14.25" customHeight="1" x14ac:dyDescent="0.25">
      <c r="A2190" s="1"/>
      <c r="B2190" s="1">
        <f ca="1"/>
        <v>2178</v>
      </c>
      <c r="C2190" s="1">
        <f ca="1">IFERROR(__xludf.DUMMYFUNCTION("""COMPUTED_VALUE"""),2023)</f>
        <v>2023</v>
      </c>
      <c r="D2190" s="1">
        <f ca="1">IFERROR(__xludf.DUMMYFUNCTION("""COMPUTED_VALUE"""),92)</f>
        <v>92</v>
      </c>
      <c r="E2190" s="1" t="str">
        <f ca="1">IFERROR(__xludf.DUMMYFUNCTION("""COMPUTED_VALUE"""),"Uro-News")</f>
        <v>Uro-News</v>
      </c>
      <c r="F2190" s="1" t="str">
        <f ca="1">IFERROR(__xludf.DUMMYFUNCTION("""COMPUTED_VALUE"""),"2196-5676")</f>
        <v>2196-5676</v>
      </c>
      <c r="G2190" s="1" t="str">
        <f ca="1">IFERROR(__xludf.DUMMYFUNCTION("""COMPUTED_VALUE"""),"1432-9026")</f>
        <v>1432-9026</v>
      </c>
      <c r="H2190" s="27" t="str">
        <f ca="1">IFERROR(__xludf.DUMMYFUNCTION("""COMPUTED_VALUE"""),"https://link.springer.com/journal/92")</f>
        <v>https://link.springer.com/journal/92</v>
      </c>
      <c r="I2190" s="1" t="str">
        <f ca="1">IFERROR(__xludf.DUMMYFUNCTION("""COMPUTED_VALUE"""),"SpringerMedizin")</f>
        <v>SpringerMedizin</v>
      </c>
      <c r="J2190" s="1">
        <f ca="1">IFERROR(__xludf.DUMMYFUNCTION("""COMPUTED_VALUE"""),2009)</f>
        <v>2009</v>
      </c>
      <c r="K2190" s="1" t="str">
        <f ca="1">IFERROR(__xludf.DUMMYFUNCTION("""COMPUTED_VALUE"""),"Medicine")</f>
        <v>Medicine</v>
      </c>
      <c r="L2190" s="1" t="str">
        <f ca="1">IFERROR(__xludf.DUMMYFUNCTION("""COMPUTED_VALUE"""),"〇")</f>
        <v>〇</v>
      </c>
      <c r="M2190" s="1"/>
      <c r="N2190" s="1"/>
      <c r="O2190" s="1"/>
      <c r="P2190" s="1"/>
    </row>
    <row r="2191" spans="1:16" ht="14.25" customHeight="1" x14ac:dyDescent="0.25">
      <c r="A2191" s="1"/>
      <c r="B2191" s="1">
        <f ca="1"/>
        <v>2179</v>
      </c>
      <c r="C2191" s="1">
        <f ca="1">IFERROR(__xludf.DUMMYFUNCTION("""COMPUTED_VALUE"""),2023)</f>
        <v>2023</v>
      </c>
      <c r="D2191" s="1">
        <f ca="1">IFERROR(__xludf.DUMMYFUNCTION("""COMPUTED_VALUE"""),11257)</f>
        <v>11257</v>
      </c>
      <c r="E2191" s="1" t="str">
        <f ca="1">IFERROR(__xludf.DUMMYFUNCTION("""COMPUTED_VALUE"""),"User Modeling and User-Adapted Interaction")</f>
        <v>User Modeling and User-Adapted Interaction</v>
      </c>
      <c r="F2191" s="1" t="str">
        <f ca="1">IFERROR(__xludf.DUMMYFUNCTION("""COMPUTED_VALUE"""),"1573-1391")</f>
        <v>1573-1391</v>
      </c>
      <c r="G2191" s="1" t="str">
        <f ca="1">IFERROR(__xludf.DUMMYFUNCTION("""COMPUTED_VALUE"""),"0924-1868")</f>
        <v>0924-1868</v>
      </c>
      <c r="H2191" s="27" t="str">
        <f ca="1">IFERROR(__xludf.DUMMYFUNCTION("""COMPUTED_VALUE"""),"https://link.springer.com/journal/11257")</f>
        <v>https://link.springer.com/journal/11257</v>
      </c>
      <c r="I2191" s="1" t="str">
        <f ca="1">IFERROR(__xludf.DUMMYFUNCTION("""COMPUTED_VALUE"""),"Springer")</f>
        <v>Springer</v>
      </c>
      <c r="J2191" s="1">
        <f ca="1">IFERROR(__xludf.DUMMYFUNCTION("""COMPUTED_VALUE"""),2000)</f>
        <v>2000</v>
      </c>
      <c r="K2191" s="1" t="str">
        <f ca="1">IFERROR(__xludf.DUMMYFUNCTION("""COMPUTED_VALUE"""),"Computer Science")</f>
        <v>Computer Science</v>
      </c>
      <c r="L2191" s="1" t="str">
        <f ca="1">IFERROR(__xludf.DUMMYFUNCTION("""COMPUTED_VALUE"""),"〇")</f>
        <v>〇</v>
      </c>
      <c r="M2191" s="1" t="str">
        <f ca="1">IFERROR(__xludf.DUMMYFUNCTION("""COMPUTED_VALUE"""),"〇")</f>
        <v>〇</v>
      </c>
      <c r="N2191" s="1"/>
      <c r="O2191" s="1"/>
      <c r="P2191" s="1"/>
    </row>
    <row r="2192" spans="1:16" ht="14.25" customHeight="1" x14ac:dyDescent="0.25">
      <c r="A2192" s="1"/>
      <c r="B2192" s="1">
        <f ca="1"/>
        <v>2180</v>
      </c>
      <c r="C2192" s="1">
        <f ca="1">IFERROR(__xludf.DUMMYFUNCTION("""COMPUTED_VALUE"""),2023)</f>
        <v>2023</v>
      </c>
      <c r="D2192" s="1">
        <f ca="1">IFERROR(__xludf.DUMMYFUNCTION("""COMPUTED_VALUE"""),334)</f>
        <v>334</v>
      </c>
      <c r="E2192" s="1" t="str">
        <f ca="1">IFERROR(__xludf.DUMMYFUNCTION("""COMPUTED_VALUE"""),"Vegetation History and Archaeobotany")</f>
        <v>Vegetation History and Archaeobotany</v>
      </c>
      <c r="F2192" s="1" t="str">
        <f ca="1">IFERROR(__xludf.DUMMYFUNCTION("""COMPUTED_VALUE"""),"1617-6278")</f>
        <v>1617-6278</v>
      </c>
      <c r="G2192" s="1" t="str">
        <f ca="1">IFERROR(__xludf.DUMMYFUNCTION("""COMPUTED_VALUE"""),"0939-6314")</f>
        <v>0939-6314</v>
      </c>
      <c r="H2192" s="27" t="str">
        <f ca="1">IFERROR(__xludf.DUMMYFUNCTION("""COMPUTED_VALUE"""),"https://link.springer.com/journal/334")</f>
        <v>https://link.springer.com/journal/334</v>
      </c>
      <c r="I2192" s="1" t="str">
        <f ca="1">IFERROR(__xludf.DUMMYFUNCTION("""COMPUTED_VALUE"""),"Springer")</f>
        <v>Springer</v>
      </c>
      <c r="J2192" s="1">
        <f ca="1">IFERROR(__xludf.DUMMYFUNCTION("""COMPUTED_VALUE"""),2000)</f>
        <v>2000</v>
      </c>
      <c r="K2192" s="1" t="str">
        <f ca="1">IFERROR(__xludf.DUMMYFUNCTION("""COMPUTED_VALUE"""),"Earth and Environmental Science")</f>
        <v>Earth and Environmental Science</v>
      </c>
      <c r="L2192" s="1" t="str">
        <f ca="1">IFERROR(__xludf.DUMMYFUNCTION("""COMPUTED_VALUE"""),"〇")</f>
        <v>〇</v>
      </c>
      <c r="M2192" s="1" t="str">
        <f ca="1">IFERROR(__xludf.DUMMYFUNCTION("""COMPUTED_VALUE"""),"〇")</f>
        <v>〇</v>
      </c>
      <c r="N2192" s="1"/>
      <c r="O2192" s="1"/>
      <c r="P2192" s="1"/>
    </row>
    <row r="2193" spans="1:16" ht="14.25" customHeight="1" x14ac:dyDescent="0.25">
      <c r="A2193" s="1"/>
      <c r="B2193" s="1">
        <f ca="1"/>
        <v>2181</v>
      </c>
      <c r="C2193" s="1">
        <f ca="1">IFERROR(__xludf.DUMMYFUNCTION("""COMPUTED_VALUE"""),2023)</f>
        <v>2023</v>
      </c>
      <c r="D2193" s="1">
        <f ca="1">IFERROR(__xludf.DUMMYFUNCTION("""COMPUTED_VALUE"""),42535)</f>
        <v>42535</v>
      </c>
      <c r="E2193" s="1" t="str">
        <f ca="1">IFERROR(__xludf.DUMMYFUNCTION("""COMPUTED_VALUE"""),"Vegetos")</f>
        <v>Vegetos</v>
      </c>
      <c r="F2193" s="1" t="str">
        <f ca="1">IFERROR(__xludf.DUMMYFUNCTION("""COMPUTED_VALUE"""),"2229-4473")</f>
        <v>2229-4473</v>
      </c>
      <c r="G2193" s="1"/>
      <c r="H2193" s="27" t="str">
        <f ca="1">IFERROR(__xludf.DUMMYFUNCTION("""COMPUTED_VALUE"""),"https://link.springer.com/journal/42535")</f>
        <v>https://link.springer.com/journal/42535</v>
      </c>
      <c r="I2193" s="1" t="str">
        <f ca="1">IFERROR(__xludf.DUMMYFUNCTION("""COMPUTED_VALUE"""),"Springer")</f>
        <v>Springer</v>
      </c>
      <c r="J2193" s="1">
        <f ca="1">IFERROR(__xludf.DUMMYFUNCTION("""COMPUTED_VALUE"""),2019)</f>
        <v>2019</v>
      </c>
      <c r="K2193" s="1" t="str">
        <f ca="1">IFERROR(__xludf.DUMMYFUNCTION("""COMPUTED_VALUE"""),"Biomedical and Life Sciences")</f>
        <v>Biomedical and Life Sciences</v>
      </c>
      <c r="L2193" s="1"/>
      <c r="M2193" s="1"/>
      <c r="N2193" s="1" t="str">
        <f ca="1">IFERROR(__xludf.DUMMYFUNCTION("""COMPUTED_VALUE"""),"TO19")</f>
        <v>TO19</v>
      </c>
      <c r="O2193" s="1"/>
      <c r="P2193" s="1"/>
    </row>
    <row r="2194" spans="1:16" ht="14.25" customHeight="1" x14ac:dyDescent="0.25">
      <c r="A2194" s="1"/>
      <c r="B2194" s="1">
        <f ca="1"/>
        <v>2182</v>
      </c>
      <c r="C2194" s="1">
        <f ca="1">IFERROR(__xludf.DUMMYFUNCTION("""COMPUTED_VALUE"""),2023)</f>
        <v>2023</v>
      </c>
      <c r="D2194" s="1">
        <f ca="1">IFERROR(__xludf.DUMMYFUNCTION("""COMPUTED_VALUE"""),11988)</f>
        <v>11988</v>
      </c>
      <c r="E2194" s="1" t="str">
        <f ca="1">IFERROR(__xludf.DUMMYFUNCTION("""COMPUTED_VALUE"""),"Vestnik St. Petersburg University, Mathematics")</f>
        <v>Vestnik St. Petersburg University, Mathematics</v>
      </c>
      <c r="F2194" s="1" t="str">
        <f ca="1">IFERROR(__xludf.DUMMYFUNCTION("""COMPUTED_VALUE"""),"1934-7855")</f>
        <v>1934-7855</v>
      </c>
      <c r="G2194" s="1" t="str">
        <f ca="1">IFERROR(__xludf.DUMMYFUNCTION("""COMPUTED_VALUE"""),"1063-4541")</f>
        <v>1063-4541</v>
      </c>
      <c r="H2194" s="27" t="str">
        <f ca="1">IFERROR(__xludf.DUMMYFUNCTION("""COMPUTED_VALUE"""),"https://link.springer.com/journal/11988")</f>
        <v>https://link.springer.com/journal/11988</v>
      </c>
      <c r="I2194" s="1" t="str">
        <f ca="1">IFERROR(__xludf.DUMMYFUNCTION("""COMPUTED_VALUE"""),"Pleiades Publishing")</f>
        <v>Pleiades Publishing</v>
      </c>
      <c r="J2194" s="1">
        <f ca="1">IFERROR(__xludf.DUMMYFUNCTION("""COMPUTED_VALUE"""),2007)</f>
        <v>2007</v>
      </c>
      <c r="K2194" s="1" t="str">
        <f ca="1">IFERROR(__xludf.DUMMYFUNCTION("""COMPUTED_VALUE"""),"Mathematics and Statistics")</f>
        <v>Mathematics and Statistics</v>
      </c>
      <c r="L2194" s="1" t="str">
        <f ca="1">IFERROR(__xludf.DUMMYFUNCTION("""COMPUTED_VALUE"""),"〇")</f>
        <v>〇</v>
      </c>
      <c r="M2194" s="1" t="str">
        <f ca="1">IFERROR(__xludf.DUMMYFUNCTION("""COMPUTED_VALUE"""),"〇")</f>
        <v>〇</v>
      </c>
      <c r="N2194" s="1" t="str">
        <f ca="1">IFERROR(__xludf.DUMMYFUNCTION("""COMPUTED_VALUE"""),"TO7")</f>
        <v>TO7</v>
      </c>
      <c r="O2194" s="1"/>
      <c r="P2194" s="1"/>
    </row>
    <row r="2195" spans="1:16" ht="14.25" customHeight="1" x14ac:dyDescent="0.25">
      <c r="A2195" s="1"/>
      <c r="B2195" s="1">
        <f ca="1"/>
        <v>2183</v>
      </c>
      <c r="C2195" s="1">
        <f ca="1">IFERROR(__xludf.DUMMYFUNCTION("""COMPUTED_VALUE"""),2023)</f>
        <v>2023</v>
      </c>
      <c r="D2195" s="1">
        <f ca="1">IFERROR(__xludf.DUMMYFUNCTION("""COMPUTED_VALUE"""),11259)</f>
        <v>11259</v>
      </c>
      <c r="E2195" s="1" t="str">
        <f ca="1">IFERROR(__xludf.DUMMYFUNCTION("""COMPUTED_VALUE"""),"Veterinary Research Communications")</f>
        <v>Veterinary Research Communications</v>
      </c>
      <c r="F2195" s="1" t="str">
        <f ca="1">IFERROR(__xludf.DUMMYFUNCTION("""COMPUTED_VALUE"""),"1573-7446")</f>
        <v>1573-7446</v>
      </c>
      <c r="G2195" s="1" t="str">
        <f ca="1">IFERROR(__xludf.DUMMYFUNCTION("""COMPUTED_VALUE"""),"0165-7380")</f>
        <v>0165-7380</v>
      </c>
      <c r="H2195" s="27" t="str">
        <f ca="1">IFERROR(__xludf.DUMMYFUNCTION("""COMPUTED_VALUE"""),"https://link.springer.com/journal/11259")</f>
        <v>https://link.springer.com/journal/11259</v>
      </c>
      <c r="I2195" s="1" t="str">
        <f ca="1">IFERROR(__xludf.DUMMYFUNCTION("""COMPUTED_VALUE"""),"Springer")</f>
        <v>Springer</v>
      </c>
      <c r="J2195" s="1">
        <f ca="1">IFERROR(__xludf.DUMMYFUNCTION("""COMPUTED_VALUE"""),2000)</f>
        <v>2000</v>
      </c>
      <c r="K2195" s="1" t="str">
        <f ca="1">IFERROR(__xludf.DUMMYFUNCTION("""COMPUTED_VALUE"""),"Biomedical and Life Sciences")</f>
        <v>Biomedical and Life Sciences</v>
      </c>
      <c r="L2195" s="1" t="str">
        <f ca="1">IFERROR(__xludf.DUMMYFUNCTION("""COMPUTED_VALUE"""),"〇")</f>
        <v>〇</v>
      </c>
      <c r="M2195" s="1" t="str">
        <f ca="1">IFERROR(__xludf.DUMMYFUNCTION("""COMPUTED_VALUE"""),"〇")</f>
        <v>〇</v>
      </c>
      <c r="N2195" s="1"/>
      <c r="O2195" s="1"/>
      <c r="P2195" s="1"/>
    </row>
    <row r="2196" spans="1:16" ht="14.25" customHeight="1" x14ac:dyDescent="0.25">
      <c r="A2196" s="1"/>
      <c r="B2196" s="1">
        <f ca="1"/>
        <v>2184</v>
      </c>
      <c r="C2196" s="1">
        <f ca="1">IFERROR(__xludf.DUMMYFUNCTION("""COMPUTED_VALUE"""),2023)</f>
        <v>2023</v>
      </c>
      <c r="D2196" s="1">
        <f ca="1">IFERROR(__xludf.DUMMYFUNCTION("""COMPUTED_VALUE"""),10013)</f>
        <v>10013</v>
      </c>
      <c r="E2196" s="1" t="str">
        <f ca="1">IFERROR(__xludf.DUMMYFUNCTION("""COMPUTED_VALUE"""),"Vietnam Journal of Mathematics")</f>
        <v>Vietnam Journal of Mathematics</v>
      </c>
      <c r="F2196" s="1" t="str">
        <f ca="1">IFERROR(__xludf.DUMMYFUNCTION("""COMPUTED_VALUE"""),"2305-2228")</f>
        <v>2305-2228</v>
      </c>
      <c r="G2196" s="1" t="str">
        <f ca="1">IFERROR(__xludf.DUMMYFUNCTION("""COMPUTED_VALUE"""),"2305-221X")</f>
        <v>2305-221X</v>
      </c>
      <c r="H2196" s="27" t="str">
        <f ca="1">IFERROR(__xludf.DUMMYFUNCTION("""COMPUTED_VALUE"""),"https://link.springer.com/journal/10013")</f>
        <v>https://link.springer.com/journal/10013</v>
      </c>
      <c r="I2196" s="1" t="str">
        <f ca="1">IFERROR(__xludf.DUMMYFUNCTION("""COMPUTED_VALUE"""),"Springer")</f>
        <v>Springer</v>
      </c>
      <c r="J2196" s="1">
        <f ca="1">IFERROR(__xludf.DUMMYFUNCTION("""COMPUTED_VALUE"""),2013)</f>
        <v>2013</v>
      </c>
      <c r="K2196" s="1" t="str">
        <f ca="1">IFERROR(__xludf.DUMMYFUNCTION("""COMPUTED_VALUE"""),"Mathematics and Statistics")</f>
        <v>Mathematics and Statistics</v>
      </c>
      <c r="L2196" s="1" t="str">
        <f ca="1">IFERROR(__xludf.DUMMYFUNCTION("""COMPUTED_VALUE"""),"〇")</f>
        <v>〇</v>
      </c>
      <c r="M2196" s="1"/>
      <c r="N2196" s="1" t="str">
        <f ca="1">IFERROR(__xludf.DUMMYFUNCTION("""COMPUTED_VALUE"""),"TO13")</f>
        <v>TO13</v>
      </c>
      <c r="O2196" s="1"/>
      <c r="P2196" s="1"/>
    </row>
    <row r="2197" spans="1:16" ht="14.25" customHeight="1" x14ac:dyDescent="0.25">
      <c r="A2197" s="1"/>
      <c r="B2197" s="1">
        <f ca="1"/>
        <v>2185</v>
      </c>
      <c r="C2197" s="1">
        <f ca="1">IFERROR(__xludf.DUMMYFUNCTION("""COMPUTED_VALUE"""),2023)</f>
        <v>2023</v>
      </c>
      <c r="D2197" s="1">
        <f ca="1">IFERROR(__xludf.DUMMYFUNCTION("""COMPUTED_VALUE"""),428)</f>
        <v>428</v>
      </c>
      <c r="E2197" s="1" t="str">
        <f ca="1">IFERROR(__xludf.DUMMYFUNCTION("""COMPUTED_VALUE"""),"Virchows Archiv")</f>
        <v>Virchows Archiv</v>
      </c>
      <c r="F2197" s="1" t="str">
        <f ca="1">IFERROR(__xludf.DUMMYFUNCTION("""COMPUTED_VALUE"""),"1432-2307")</f>
        <v>1432-2307</v>
      </c>
      <c r="G2197" s="1" t="str">
        <f ca="1">IFERROR(__xludf.DUMMYFUNCTION("""COMPUTED_VALUE"""),"0945-6317")</f>
        <v>0945-6317</v>
      </c>
      <c r="H2197" s="27" t="str">
        <f ca="1">IFERROR(__xludf.DUMMYFUNCTION("""COMPUTED_VALUE"""),"https://link.springer.com/journal/428")</f>
        <v>https://link.springer.com/journal/428</v>
      </c>
      <c r="I2197" s="1" t="str">
        <f ca="1">IFERROR(__xludf.DUMMYFUNCTION("""COMPUTED_VALUE"""),"Springer")</f>
        <v>Springer</v>
      </c>
      <c r="J2197" s="1">
        <f ca="1">IFERROR(__xludf.DUMMYFUNCTION("""COMPUTED_VALUE"""),2000)</f>
        <v>2000</v>
      </c>
      <c r="K2197" s="1" t="str">
        <f ca="1">IFERROR(__xludf.DUMMYFUNCTION("""COMPUTED_VALUE"""),"Medicine")</f>
        <v>Medicine</v>
      </c>
      <c r="L2197" s="1" t="str">
        <f ca="1">IFERROR(__xludf.DUMMYFUNCTION("""COMPUTED_VALUE"""),"〇")</f>
        <v>〇</v>
      </c>
      <c r="M2197" s="1" t="str">
        <f ca="1">IFERROR(__xludf.DUMMYFUNCTION("""COMPUTED_VALUE"""),"〇")</f>
        <v>〇</v>
      </c>
      <c r="N2197" s="1"/>
      <c r="O2197" s="1"/>
      <c r="P2197" s="1"/>
    </row>
    <row r="2198" spans="1:16" ht="14.25" customHeight="1" x14ac:dyDescent="0.25">
      <c r="A2198" s="1"/>
      <c r="B2198" s="1">
        <f ca="1"/>
        <v>2186</v>
      </c>
      <c r="C2198" s="1">
        <f ca="1">IFERROR(__xludf.DUMMYFUNCTION("""COMPUTED_VALUE"""),2023)</f>
        <v>2023</v>
      </c>
      <c r="D2198" s="1">
        <f ca="1">IFERROR(__xludf.DUMMYFUNCTION("""COMPUTED_VALUE"""),10055)</f>
        <v>10055</v>
      </c>
      <c r="E2198" s="1" t="str">
        <f ca="1">IFERROR(__xludf.DUMMYFUNCTION("""COMPUTED_VALUE"""),"Virtual Reality")</f>
        <v>Virtual Reality</v>
      </c>
      <c r="F2198" s="1" t="str">
        <f ca="1">IFERROR(__xludf.DUMMYFUNCTION("""COMPUTED_VALUE"""),"1434-9957")</f>
        <v>1434-9957</v>
      </c>
      <c r="G2198" s="1" t="str">
        <f ca="1">IFERROR(__xludf.DUMMYFUNCTION("""COMPUTED_VALUE"""),"1359-4338")</f>
        <v>1359-4338</v>
      </c>
      <c r="H2198" s="27" t="str">
        <f ca="1">IFERROR(__xludf.DUMMYFUNCTION("""COMPUTED_VALUE"""),"https://link.springer.com/journal/10055")</f>
        <v>https://link.springer.com/journal/10055</v>
      </c>
      <c r="I2198" s="1" t="str">
        <f ca="1">IFERROR(__xludf.DUMMYFUNCTION("""COMPUTED_VALUE"""),"Springer")</f>
        <v>Springer</v>
      </c>
      <c r="J2198" s="1">
        <f ca="1">IFERROR(__xludf.DUMMYFUNCTION("""COMPUTED_VALUE"""),2000)</f>
        <v>2000</v>
      </c>
      <c r="K2198" s="1" t="str">
        <f ca="1">IFERROR(__xludf.DUMMYFUNCTION("""COMPUTED_VALUE"""),"Computer Science")</f>
        <v>Computer Science</v>
      </c>
      <c r="L2198" s="1" t="str">
        <f ca="1">IFERROR(__xludf.DUMMYFUNCTION("""COMPUTED_VALUE"""),"〇")</f>
        <v>〇</v>
      </c>
      <c r="M2198" s="1" t="str">
        <f ca="1">IFERROR(__xludf.DUMMYFUNCTION("""COMPUTED_VALUE"""),"〇")</f>
        <v>〇</v>
      </c>
      <c r="N2198" s="1"/>
      <c r="O2198" s="1"/>
      <c r="P2198" s="1"/>
    </row>
    <row r="2199" spans="1:16" ht="14.25" customHeight="1" x14ac:dyDescent="0.25">
      <c r="A2199" s="1"/>
      <c r="B2199" s="1">
        <f ca="1"/>
        <v>2187</v>
      </c>
      <c r="C2199" s="1">
        <f ca="1">IFERROR(__xludf.DUMMYFUNCTION("""COMPUTED_VALUE"""),2023)</f>
        <v>2023</v>
      </c>
      <c r="D2199" s="1">
        <f ca="1">IFERROR(__xludf.DUMMYFUNCTION("""COMPUTED_VALUE"""),11262)</f>
        <v>11262</v>
      </c>
      <c r="E2199" s="1" t="str">
        <f ca="1">IFERROR(__xludf.DUMMYFUNCTION("""COMPUTED_VALUE"""),"Virus Genes")</f>
        <v>Virus Genes</v>
      </c>
      <c r="F2199" s="1" t="str">
        <f ca="1">IFERROR(__xludf.DUMMYFUNCTION("""COMPUTED_VALUE"""),"1572-994X")</f>
        <v>1572-994X</v>
      </c>
      <c r="G2199" s="1" t="str">
        <f ca="1">IFERROR(__xludf.DUMMYFUNCTION("""COMPUTED_VALUE"""),"0920-8569")</f>
        <v>0920-8569</v>
      </c>
      <c r="H2199" s="27" t="str">
        <f ca="1">IFERROR(__xludf.DUMMYFUNCTION("""COMPUTED_VALUE"""),"https://link.springer.com/journal/11262")</f>
        <v>https://link.springer.com/journal/11262</v>
      </c>
      <c r="I2199" s="1" t="str">
        <f ca="1">IFERROR(__xludf.DUMMYFUNCTION("""COMPUTED_VALUE"""),"Springer")</f>
        <v>Springer</v>
      </c>
      <c r="J2199" s="1">
        <f ca="1">IFERROR(__xludf.DUMMYFUNCTION("""COMPUTED_VALUE"""),2000)</f>
        <v>2000</v>
      </c>
      <c r="K2199" s="1" t="str">
        <f ca="1">IFERROR(__xludf.DUMMYFUNCTION("""COMPUTED_VALUE"""),"Biomedical and Life Sciences")</f>
        <v>Biomedical and Life Sciences</v>
      </c>
      <c r="L2199" s="1" t="str">
        <f ca="1">IFERROR(__xludf.DUMMYFUNCTION("""COMPUTED_VALUE"""),"〇")</f>
        <v>〇</v>
      </c>
      <c r="M2199" s="1" t="str">
        <f ca="1">IFERROR(__xludf.DUMMYFUNCTION("""COMPUTED_VALUE"""),"〇")</f>
        <v>〇</v>
      </c>
      <c r="N2199" s="1"/>
      <c r="O2199" s="1"/>
      <c r="P2199" s="1"/>
    </row>
    <row r="2200" spans="1:16" ht="14.25" customHeight="1" x14ac:dyDescent="0.25">
      <c r="A2200" s="1"/>
      <c r="B2200" s="1">
        <f ca="1"/>
        <v>2188</v>
      </c>
      <c r="C2200" s="1">
        <f ca="1">IFERROR(__xludf.DUMMYFUNCTION("""COMPUTED_VALUE"""),2023)</f>
        <v>2023</v>
      </c>
      <c r="D2200" s="1">
        <f ca="1">IFERROR(__xludf.DUMMYFUNCTION("""COMPUTED_VALUE"""),13337)</f>
        <v>13337</v>
      </c>
      <c r="E2200" s="1" t="str">
        <f ca="1">IFERROR(__xludf.DUMMYFUNCTION("""COMPUTED_VALUE"""),"VirusDisease")</f>
        <v>VirusDisease</v>
      </c>
      <c r="F2200" s="1" t="str">
        <f ca="1">IFERROR(__xludf.DUMMYFUNCTION("""COMPUTED_VALUE"""),"2347-3517")</f>
        <v>2347-3517</v>
      </c>
      <c r="G2200" s="1" t="str">
        <f ca="1">IFERROR(__xludf.DUMMYFUNCTION("""COMPUTED_VALUE"""),"2347-3584")</f>
        <v>2347-3584</v>
      </c>
      <c r="H2200" s="27" t="str">
        <f ca="1">IFERROR(__xludf.DUMMYFUNCTION("""COMPUTED_VALUE"""),"https://link.springer.com/journal/13337")</f>
        <v>https://link.springer.com/journal/13337</v>
      </c>
      <c r="I2200" s="1" t="str">
        <f ca="1">IFERROR(__xludf.DUMMYFUNCTION("""COMPUTED_VALUE"""),"Springer")</f>
        <v>Springer</v>
      </c>
      <c r="J2200" s="1">
        <f ca="1">IFERROR(__xludf.DUMMYFUNCTION("""COMPUTED_VALUE"""),2010)</f>
        <v>2010</v>
      </c>
      <c r="K2200" s="1" t="str">
        <f ca="1">IFERROR(__xludf.DUMMYFUNCTION("""COMPUTED_VALUE"""),"Biomedical and Life Sciences")</f>
        <v>Biomedical and Life Sciences</v>
      </c>
      <c r="L2200" s="1" t="str">
        <f ca="1">IFERROR(__xludf.DUMMYFUNCTION("""COMPUTED_VALUE"""),"〇")</f>
        <v>〇</v>
      </c>
      <c r="M2200" s="1"/>
      <c r="N2200" s="1" t="str">
        <f ca="1">IFERROR(__xludf.DUMMYFUNCTION("""COMPUTED_VALUE"""),"TO10")</f>
        <v>TO10</v>
      </c>
      <c r="O2200" s="1"/>
      <c r="P2200" s="1"/>
    </row>
    <row r="2201" spans="1:16" ht="14.25" customHeight="1" x14ac:dyDescent="0.25">
      <c r="A2201" s="1"/>
      <c r="B2201" s="1">
        <f ca="1"/>
        <v>2189</v>
      </c>
      <c r="C2201" s="1">
        <f ca="1">IFERROR(__xludf.DUMMYFUNCTION("""COMPUTED_VALUE"""),2023)</f>
        <v>2023</v>
      </c>
      <c r="D2201" s="1">
        <f ca="1">IFERROR(__xludf.DUMMYFUNCTION("""COMPUTED_VALUE"""),11266)</f>
        <v>11266</v>
      </c>
      <c r="E2201" s="1" t="str">
        <f ca="1">IFERROR(__xludf.DUMMYFUNCTION("""COMPUTED_VALUE"""),"VOLUNTAS: International Journal of Voluntary and Nonprofit Organizations")</f>
        <v>VOLUNTAS: International Journal of Voluntary and Nonprofit Organizations</v>
      </c>
      <c r="F2201" s="1" t="str">
        <f ca="1">IFERROR(__xludf.DUMMYFUNCTION("""COMPUTED_VALUE"""),"1573-7888")</f>
        <v>1573-7888</v>
      </c>
      <c r="G2201" s="1" t="str">
        <f ca="1">IFERROR(__xludf.DUMMYFUNCTION("""COMPUTED_VALUE"""),"0957-8765")</f>
        <v>0957-8765</v>
      </c>
      <c r="H2201" s="27" t="str">
        <f ca="1">IFERROR(__xludf.DUMMYFUNCTION("""COMPUTED_VALUE"""),"https://link.springer.com/journal/11266")</f>
        <v>https://link.springer.com/journal/11266</v>
      </c>
      <c r="I2201" s="1" t="str">
        <f ca="1">IFERROR(__xludf.DUMMYFUNCTION("""COMPUTED_VALUE"""),"Springer")</f>
        <v>Springer</v>
      </c>
      <c r="J2201" s="1">
        <f ca="1">IFERROR(__xludf.DUMMYFUNCTION("""COMPUTED_VALUE"""),2000)</f>
        <v>2000</v>
      </c>
      <c r="K2201" s="1" t="str">
        <f ca="1">IFERROR(__xludf.DUMMYFUNCTION("""COMPUTED_VALUE"""),"Social Sciences")</f>
        <v>Social Sciences</v>
      </c>
      <c r="L2201" s="1" t="str">
        <f ca="1">IFERROR(__xludf.DUMMYFUNCTION("""COMPUTED_VALUE"""),"〇")</f>
        <v>〇</v>
      </c>
      <c r="M2201" s="1" t="str">
        <f ca="1">IFERROR(__xludf.DUMMYFUNCTION("""COMPUTED_VALUE"""),"〇")</f>
        <v>〇</v>
      </c>
      <c r="N2201" s="1"/>
      <c r="O2201" s="1"/>
      <c r="P2201" s="1"/>
    </row>
    <row r="2202" spans="1:16" ht="14.25" customHeight="1" x14ac:dyDescent="0.25">
      <c r="A2202" s="1"/>
      <c r="B2202" s="1">
        <f ca="1"/>
        <v>2190</v>
      </c>
      <c r="C2202" s="1">
        <f ca="1">IFERROR(__xludf.DUMMYFUNCTION("""COMPUTED_VALUE"""),2023)</f>
        <v>2023</v>
      </c>
      <c r="D2202" s="1">
        <f ca="1">IFERROR(__xludf.DUMMYFUNCTION("""COMPUTED_VALUE"""),12649)</f>
        <v>12649</v>
      </c>
      <c r="E2202" s="1" t="str">
        <f ca="1">IFERROR(__xludf.DUMMYFUNCTION("""COMPUTED_VALUE"""),"Waste and Biomass Valorization")</f>
        <v>Waste and Biomass Valorization</v>
      </c>
      <c r="F2202" s="1" t="str">
        <f ca="1">IFERROR(__xludf.DUMMYFUNCTION("""COMPUTED_VALUE"""),"1877-265X")</f>
        <v>1877-265X</v>
      </c>
      <c r="G2202" s="1" t="str">
        <f ca="1">IFERROR(__xludf.DUMMYFUNCTION("""COMPUTED_VALUE"""),"1877-2641")</f>
        <v>1877-2641</v>
      </c>
      <c r="H2202" s="27" t="str">
        <f ca="1">IFERROR(__xludf.DUMMYFUNCTION("""COMPUTED_VALUE"""),"https://link.springer.com/journal/12649")</f>
        <v>https://link.springer.com/journal/12649</v>
      </c>
      <c r="I2202" s="1" t="str">
        <f ca="1">IFERROR(__xludf.DUMMYFUNCTION("""COMPUTED_VALUE"""),"Springer")</f>
        <v>Springer</v>
      </c>
      <c r="J2202" s="1">
        <f ca="1">IFERROR(__xludf.DUMMYFUNCTION("""COMPUTED_VALUE"""),2010)</f>
        <v>2010</v>
      </c>
      <c r="K2202" s="1" t="str">
        <f ca="1">IFERROR(__xludf.DUMMYFUNCTION("""COMPUTED_VALUE"""),"Engineering")</f>
        <v>Engineering</v>
      </c>
      <c r="L2202" s="1" t="str">
        <f ca="1">IFERROR(__xludf.DUMMYFUNCTION("""COMPUTED_VALUE"""),"〇")</f>
        <v>〇</v>
      </c>
      <c r="M2202" s="1" t="str">
        <f ca="1">IFERROR(__xludf.DUMMYFUNCTION("""COMPUTED_VALUE"""),"〇")</f>
        <v>〇</v>
      </c>
      <c r="N2202" s="1" t="str">
        <f ca="1">IFERROR(__xludf.DUMMYFUNCTION("""COMPUTED_VALUE"""),"SNS10")</f>
        <v>SNS10</v>
      </c>
      <c r="O2202" s="1"/>
      <c r="P2202" s="1"/>
    </row>
    <row r="2203" spans="1:16" ht="14.25" customHeight="1" x14ac:dyDescent="0.25">
      <c r="A2203" s="1"/>
      <c r="B2203" s="1">
        <f ca="1"/>
        <v>2191</v>
      </c>
      <c r="C2203" s="1">
        <f ca="1">IFERROR(__xludf.DUMMYFUNCTION("""COMPUTED_VALUE"""),2023)</f>
        <v>2023</v>
      </c>
      <c r="D2203" s="1">
        <f ca="1">IFERROR(__xludf.DUMMYFUNCTION("""COMPUTED_VALUE"""),42768)</f>
        <v>42768</v>
      </c>
      <c r="E2203" s="1" t="str">
        <f ca="1">IFERROR(__xludf.DUMMYFUNCTION("""COMPUTED_VALUE"""),"Waste Disposal &amp; Sustainable Energy")</f>
        <v>Waste Disposal &amp; Sustainable Energy</v>
      </c>
      <c r="F2203" s="1" t="str">
        <f ca="1">IFERROR(__xludf.DUMMYFUNCTION("""COMPUTED_VALUE"""),"2524-7891")</f>
        <v>2524-7891</v>
      </c>
      <c r="G2203" s="1" t="str">
        <f ca="1">IFERROR(__xludf.DUMMYFUNCTION("""COMPUTED_VALUE"""),"2524-7980")</f>
        <v>2524-7980</v>
      </c>
      <c r="H2203" s="27" t="str">
        <f ca="1">IFERROR(__xludf.DUMMYFUNCTION("""COMPUTED_VALUE"""),"https://link.springer.com/journal/42768")</f>
        <v>https://link.springer.com/journal/42768</v>
      </c>
      <c r="I2203" s="1" t="str">
        <f ca="1">IFERROR(__xludf.DUMMYFUNCTION("""COMPUTED_VALUE"""),"Springer")</f>
        <v>Springer</v>
      </c>
      <c r="J2203" s="1">
        <f ca="1">IFERROR(__xludf.DUMMYFUNCTION("""COMPUTED_VALUE"""),2019)</f>
        <v>2019</v>
      </c>
      <c r="K2203" s="1" t="str">
        <f ca="1">IFERROR(__xludf.DUMMYFUNCTION("""COMPUTED_VALUE"""),"Earth and Environmental Science")</f>
        <v>Earth and Environmental Science</v>
      </c>
      <c r="L2203" s="1" t="str">
        <f ca="1">IFERROR(__xludf.DUMMYFUNCTION("""COMPUTED_VALUE"""),"〇")</f>
        <v>〇</v>
      </c>
      <c r="M2203" s="1"/>
      <c r="N2203" s="1" t="str">
        <f ca="1">IFERROR(__xludf.DUMMYFUNCTION("""COMPUTED_VALUE"""),"SNS19")</f>
        <v>SNS19</v>
      </c>
      <c r="O2203" s="1"/>
      <c r="P2203" s="1"/>
    </row>
    <row r="2204" spans="1:16" ht="14.25" customHeight="1" x14ac:dyDescent="0.25">
      <c r="A2204" s="1"/>
      <c r="B2204" s="1">
        <f ca="1"/>
        <v>2192</v>
      </c>
      <c r="C2204" s="1">
        <f ca="1">IFERROR(__xludf.DUMMYFUNCTION("""COMPUTED_VALUE"""),2023)</f>
        <v>2023</v>
      </c>
      <c r="D2204" s="1">
        <f ca="1">IFERROR(__xludf.DUMMYFUNCTION("""COMPUTED_VALUE"""),41101)</f>
        <v>41101</v>
      </c>
      <c r="E2204" s="1" t="str">
        <f ca="1">IFERROR(__xludf.DUMMYFUNCTION("""COMPUTED_VALUE"""),"Water Conservation Science and Engineering")</f>
        <v>Water Conservation Science and Engineering</v>
      </c>
      <c r="F2204" s="1" t="str">
        <f ca="1">IFERROR(__xludf.DUMMYFUNCTION("""COMPUTED_VALUE"""),"2364-5687")</f>
        <v>2364-5687</v>
      </c>
      <c r="G2204" s="1"/>
      <c r="H2204" s="27" t="str">
        <f ca="1">IFERROR(__xludf.DUMMYFUNCTION("""COMPUTED_VALUE"""),"https://link.springer.com/journal/41101")</f>
        <v>https://link.springer.com/journal/41101</v>
      </c>
      <c r="I2204" s="1" t="str">
        <f ca="1">IFERROR(__xludf.DUMMYFUNCTION("""COMPUTED_VALUE"""),"Springer")</f>
        <v>Springer</v>
      </c>
      <c r="J2204" s="1">
        <f ca="1">IFERROR(__xludf.DUMMYFUNCTION("""COMPUTED_VALUE"""),2016)</f>
        <v>2016</v>
      </c>
      <c r="K2204" s="1" t="str">
        <f ca="1">IFERROR(__xludf.DUMMYFUNCTION("""COMPUTED_VALUE"""),"Earth and Environmental Science")</f>
        <v>Earth and Environmental Science</v>
      </c>
      <c r="L2204" s="1"/>
      <c r="M2204" s="1"/>
      <c r="N2204" s="1" t="str">
        <f ca="1">IFERROR(__xludf.DUMMYFUNCTION("""COMPUTED_VALUE"""),"SNS16")</f>
        <v>SNS16</v>
      </c>
      <c r="O2204" s="1"/>
      <c r="P2204" s="1"/>
    </row>
    <row r="2205" spans="1:16" ht="14.25" customHeight="1" x14ac:dyDescent="0.25">
      <c r="A2205" s="1"/>
      <c r="B2205" s="1">
        <f ca="1"/>
        <v>2193</v>
      </c>
      <c r="C2205" s="1">
        <f ca="1">IFERROR(__xludf.DUMMYFUNCTION("""COMPUTED_VALUE"""),2023)</f>
        <v>2023</v>
      </c>
      <c r="D2205" s="1">
        <f ca="1">IFERROR(__xludf.DUMMYFUNCTION("""COMPUTED_VALUE"""),12685)</f>
        <v>12685</v>
      </c>
      <c r="E2205" s="1" t="str">
        <f ca="1">IFERROR(__xludf.DUMMYFUNCTION("""COMPUTED_VALUE"""),"Water History")</f>
        <v>Water History</v>
      </c>
      <c r="F2205" s="1" t="str">
        <f ca="1">IFERROR(__xludf.DUMMYFUNCTION("""COMPUTED_VALUE"""),"1877-7244")</f>
        <v>1877-7244</v>
      </c>
      <c r="G2205" s="1" t="str">
        <f ca="1">IFERROR(__xludf.DUMMYFUNCTION("""COMPUTED_VALUE"""),"1877-7236")</f>
        <v>1877-7236</v>
      </c>
      <c r="H2205" s="27" t="str">
        <f ca="1">IFERROR(__xludf.DUMMYFUNCTION("""COMPUTED_VALUE"""),"https://link.springer.com/journal/12685")</f>
        <v>https://link.springer.com/journal/12685</v>
      </c>
      <c r="I2205" s="1" t="str">
        <f ca="1">IFERROR(__xludf.DUMMYFUNCTION("""COMPUTED_VALUE"""),"Springer")</f>
        <v>Springer</v>
      </c>
      <c r="J2205" s="1">
        <f ca="1">IFERROR(__xludf.DUMMYFUNCTION("""COMPUTED_VALUE"""),2009)</f>
        <v>2009</v>
      </c>
      <c r="K2205" s="1" t="str">
        <f ca="1">IFERROR(__xludf.DUMMYFUNCTION("""COMPUTED_VALUE"""),"Earth and Environmental Science")</f>
        <v>Earth and Environmental Science</v>
      </c>
      <c r="L2205" s="1" t="str">
        <f ca="1">IFERROR(__xludf.DUMMYFUNCTION("""COMPUTED_VALUE"""),"〇")</f>
        <v>〇</v>
      </c>
      <c r="M2205" s="1" t="str">
        <f ca="1">IFERROR(__xludf.DUMMYFUNCTION("""COMPUTED_VALUE"""),"〇")</f>
        <v>〇</v>
      </c>
      <c r="N2205" s="1" t="str">
        <f ca="1">IFERROR(__xludf.DUMMYFUNCTION("""COMPUTED_VALUE"""),"SNS9")</f>
        <v>SNS9</v>
      </c>
      <c r="O2205" s="1"/>
      <c r="P2205" s="1"/>
    </row>
    <row r="2206" spans="1:16" ht="14.25" customHeight="1" x14ac:dyDescent="0.25">
      <c r="A2206" s="1"/>
      <c r="B2206" s="1">
        <f ca="1"/>
        <v>2194</v>
      </c>
      <c r="C2206" s="1">
        <f ca="1">IFERROR(__xludf.DUMMYFUNCTION("""COMPUTED_VALUE"""),2023)</f>
        <v>2023</v>
      </c>
      <c r="D2206" s="1">
        <f ca="1">IFERROR(__xludf.DUMMYFUNCTION("""COMPUTED_VALUE"""),11268)</f>
        <v>11268</v>
      </c>
      <c r="E2206" s="1" t="str">
        <f ca="1">IFERROR(__xludf.DUMMYFUNCTION("""COMPUTED_VALUE"""),"Water Resources")</f>
        <v>Water Resources</v>
      </c>
      <c r="F2206" s="1" t="str">
        <f ca="1">IFERROR(__xludf.DUMMYFUNCTION("""COMPUTED_VALUE"""),"1608-344X")</f>
        <v>1608-344X</v>
      </c>
      <c r="G2206" s="1" t="str">
        <f ca="1">IFERROR(__xludf.DUMMYFUNCTION("""COMPUTED_VALUE"""),"0097-8078")</f>
        <v>0097-8078</v>
      </c>
      <c r="H2206" s="27" t="str">
        <f ca="1">IFERROR(__xludf.DUMMYFUNCTION("""COMPUTED_VALUE"""),"https://link.springer.com/journal/11268")</f>
        <v>https://link.springer.com/journal/11268</v>
      </c>
      <c r="I2206" s="1" t="str">
        <f ca="1">IFERROR(__xludf.DUMMYFUNCTION("""COMPUTED_VALUE"""),"Pleiades Publishing")</f>
        <v>Pleiades Publishing</v>
      </c>
      <c r="J2206" s="1">
        <f ca="1">IFERROR(__xludf.DUMMYFUNCTION("""COMPUTED_VALUE"""),2000)</f>
        <v>2000</v>
      </c>
      <c r="K2206" s="1" t="str">
        <f ca="1">IFERROR(__xludf.DUMMYFUNCTION("""COMPUTED_VALUE"""),"Earth and Environmental Science")</f>
        <v>Earth and Environmental Science</v>
      </c>
      <c r="L2206" s="1" t="str">
        <f ca="1">IFERROR(__xludf.DUMMYFUNCTION("""COMPUTED_VALUE"""),"〇")</f>
        <v>〇</v>
      </c>
      <c r="M2206" s="1" t="str">
        <f ca="1">IFERROR(__xludf.DUMMYFUNCTION("""COMPUTED_VALUE"""),"〇")</f>
        <v>〇</v>
      </c>
      <c r="N2206" s="1"/>
      <c r="O2206" s="1"/>
      <c r="P2206" s="1"/>
    </row>
    <row r="2207" spans="1:16" ht="14.25" customHeight="1" x14ac:dyDescent="0.25">
      <c r="A2207" s="1"/>
      <c r="B2207" s="1">
        <f ca="1"/>
        <v>2195</v>
      </c>
      <c r="C2207" s="1">
        <f ca="1">IFERROR(__xludf.DUMMYFUNCTION("""COMPUTED_VALUE"""),2023)</f>
        <v>2023</v>
      </c>
      <c r="D2207" s="1">
        <f ca="1">IFERROR(__xludf.DUMMYFUNCTION("""COMPUTED_VALUE"""),11269)</f>
        <v>11269</v>
      </c>
      <c r="E2207" s="1" t="str">
        <f ca="1">IFERROR(__xludf.DUMMYFUNCTION("""COMPUTED_VALUE"""),"Water Resources Management")</f>
        <v>Water Resources Management</v>
      </c>
      <c r="F2207" s="1" t="str">
        <f ca="1">IFERROR(__xludf.DUMMYFUNCTION("""COMPUTED_VALUE"""),"1573-1650")</f>
        <v>1573-1650</v>
      </c>
      <c r="G2207" s="1" t="str">
        <f ca="1">IFERROR(__xludf.DUMMYFUNCTION("""COMPUTED_VALUE"""),"0920-4741")</f>
        <v>0920-4741</v>
      </c>
      <c r="H2207" s="27" t="str">
        <f ca="1">IFERROR(__xludf.DUMMYFUNCTION("""COMPUTED_VALUE"""),"https://link.springer.com/journal/11269")</f>
        <v>https://link.springer.com/journal/11269</v>
      </c>
      <c r="I2207" s="1" t="str">
        <f ca="1">IFERROR(__xludf.DUMMYFUNCTION("""COMPUTED_VALUE"""),"Springer")</f>
        <v>Springer</v>
      </c>
      <c r="J2207" s="1">
        <f ca="1">IFERROR(__xludf.DUMMYFUNCTION("""COMPUTED_VALUE"""),2000)</f>
        <v>2000</v>
      </c>
      <c r="K2207" s="1" t="str">
        <f ca="1">IFERROR(__xludf.DUMMYFUNCTION("""COMPUTED_VALUE"""),"Earth and Environmental Science")</f>
        <v>Earth and Environmental Science</v>
      </c>
      <c r="L2207" s="1" t="str">
        <f ca="1">IFERROR(__xludf.DUMMYFUNCTION("""COMPUTED_VALUE"""),"〇")</f>
        <v>〇</v>
      </c>
      <c r="M2207" s="1" t="str">
        <f ca="1">IFERROR(__xludf.DUMMYFUNCTION("""COMPUTED_VALUE"""),"〇")</f>
        <v>〇</v>
      </c>
      <c r="N2207" s="1"/>
      <c r="O2207" s="1"/>
      <c r="P2207" s="1"/>
    </row>
    <row r="2208" spans="1:16" ht="14.25" customHeight="1" x14ac:dyDescent="0.25">
      <c r="A2208" s="1"/>
      <c r="B2208" s="1">
        <f ca="1"/>
        <v>2196</v>
      </c>
      <c r="C2208" s="1">
        <f ca="1">IFERROR(__xludf.DUMMYFUNCTION("""COMPUTED_VALUE"""),2023)</f>
        <v>2023</v>
      </c>
      <c r="D2208" s="1">
        <f ca="1">IFERROR(__xludf.DUMMYFUNCTION("""COMPUTED_VALUE"""),42286)</f>
        <v>42286</v>
      </c>
      <c r="E2208" s="1" t="str">
        <f ca="1">IFERROR(__xludf.DUMMYFUNCTION("""COMPUTED_VALUE"""),"Water Waves")</f>
        <v>Water Waves</v>
      </c>
      <c r="F2208" s="1" t="str">
        <f ca="1">IFERROR(__xludf.DUMMYFUNCTION("""COMPUTED_VALUE"""),"2523-3688")</f>
        <v>2523-3688</v>
      </c>
      <c r="G2208" s="1" t="str">
        <f ca="1">IFERROR(__xludf.DUMMYFUNCTION("""COMPUTED_VALUE"""),"2523-367X")</f>
        <v>2523-367X</v>
      </c>
      <c r="H2208" s="27" t="str">
        <f ca="1">IFERROR(__xludf.DUMMYFUNCTION("""COMPUTED_VALUE"""),"https://link.springer.com/journal/42286")</f>
        <v>https://link.springer.com/journal/42286</v>
      </c>
      <c r="I2208" s="1" t="str">
        <f ca="1">IFERROR(__xludf.DUMMYFUNCTION("""COMPUTED_VALUE"""),"Birkhäuser")</f>
        <v>Birkhäuser</v>
      </c>
      <c r="J2208" s="1">
        <f ca="1">IFERROR(__xludf.DUMMYFUNCTION("""COMPUTED_VALUE"""),2019)</f>
        <v>2019</v>
      </c>
      <c r="K2208" s="1" t="str">
        <f ca="1">IFERROR(__xludf.DUMMYFUNCTION("""COMPUTED_VALUE"""),"Mathematics and Statistics")</f>
        <v>Mathematics and Statistics</v>
      </c>
      <c r="L2208" s="1" t="str">
        <f ca="1">IFERROR(__xludf.DUMMYFUNCTION("""COMPUTED_VALUE"""),"〇")</f>
        <v>〇</v>
      </c>
      <c r="M2208" s="1"/>
      <c r="N2208" s="1" t="str">
        <f ca="1">IFERROR(__xludf.DUMMYFUNCTION("""COMPUTED_VALUE"""),"SNS19")</f>
        <v>SNS19</v>
      </c>
      <c r="O2208" s="1"/>
      <c r="P2208" s="1"/>
    </row>
    <row r="2209" spans="1:16" ht="14.25" customHeight="1" x14ac:dyDescent="0.25">
      <c r="A2209" s="1"/>
      <c r="B2209" s="1">
        <f ca="1"/>
        <v>2197</v>
      </c>
      <c r="C2209" s="1">
        <f ca="1">IFERROR(__xludf.DUMMYFUNCTION("""COMPUTED_VALUE"""),2023)</f>
        <v>2023</v>
      </c>
      <c r="D2209" s="1">
        <f ca="1">IFERROR(__xludf.DUMMYFUNCTION("""COMPUTED_VALUE"""),11270)</f>
        <v>11270</v>
      </c>
      <c r="E2209" s="1" t="str">
        <f ca="1">IFERROR(__xludf.DUMMYFUNCTION("""COMPUTED_VALUE"""),"Water, Air, &amp; Soil Pollution")</f>
        <v>Water, Air, &amp; Soil Pollution</v>
      </c>
      <c r="F2209" s="1" t="str">
        <f ca="1">IFERROR(__xludf.DUMMYFUNCTION("""COMPUTED_VALUE"""),"1573-2932")</f>
        <v>1573-2932</v>
      </c>
      <c r="G2209" s="1" t="str">
        <f ca="1">IFERROR(__xludf.DUMMYFUNCTION("""COMPUTED_VALUE"""),"0049-6979")</f>
        <v>0049-6979</v>
      </c>
      <c r="H2209" s="27" t="str">
        <f ca="1">IFERROR(__xludf.DUMMYFUNCTION("""COMPUTED_VALUE"""),"https://link.springer.com/journal/11270")</f>
        <v>https://link.springer.com/journal/11270</v>
      </c>
      <c r="I2209" s="1" t="str">
        <f ca="1">IFERROR(__xludf.DUMMYFUNCTION("""COMPUTED_VALUE"""),"Springer")</f>
        <v>Springer</v>
      </c>
      <c r="J2209" s="1">
        <f ca="1">IFERROR(__xludf.DUMMYFUNCTION("""COMPUTED_VALUE"""),2000)</f>
        <v>2000</v>
      </c>
      <c r="K2209" s="1" t="str">
        <f ca="1">IFERROR(__xludf.DUMMYFUNCTION("""COMPUTED_VALUE"""),"Earth and Environmental Science")</f>
        <v>Earth and Environmental Science</v>
      </c>
      <c r="L2209" s="1" t="str">
        <f ca="1">IFERROR(__xludf.DUMMYFUNCTION("""COMPUTED_VALUE"""),"〇")</f>
        <v>〇</v>
      </c>
      <c r="M2209" s="1" t="str">
        <f ca="1">IFERROR(__xludf.DUMMYFUNCTION("""COMPUTED_VALUE"""),"〇")</f>
        <v>〇</v>
      </c>
      <c r="N2209" s="1"/>
      <c r="O2209" s="1"/>
      <c r="P2209" s="1"/>
    </row>
    <row r="2210" spans="1:16" ht="14.25" customHeight="1" x14ac:dyDescent="0.25">
      <c r="A2210" s="1"/>
      <c r="B2210" s="1">
        <f ca="1"/>
        <v>2198</v>
      </c>
      <c r="C2210" s="1">
        <f ca="1">IFERROR(__xludf.DUMMYFUNCTION("""COMPUTED_VALUE"""),2023)</f>
        <v>2023</v>
      </c>
      <c r="D2210" s="1">
        <f ca="1">IFERROR(__xludf.DUMMYFUNCTION("""COMPUTED_VALUE"""),40194)</f>
        <v>40194</v>
      </c>
      <c r="E2210" s="1" t="str">
        <f ca="1">IFERROR(__xludf.DUMMYFUNCTION("""COMPUTED_VALUE"""),"Welding in the World")</f>
        <v>Welding in the World</v>
      </c>
      <c r="F2210" s="1" t="str">
        <f ca="1">IFERROR(__xludf.DUMMYFUNCTION("""COMPUTED_VALUE"""),"1878-6669")</f>
        <v>1878-6669</v>
      </c>
      <c r="G2210" s="1" t="str">
        <f ca="1">IFERROR(__xludf.DUMMYFUNCTION("""COMPUTED_VALUE"""),"0043-2288")</f>
        <v>0043-2288</v>
      </c>
      <c r="H2210" s="27" t="str">
        <f ca="1">IFERROR(__xludf.DUMMYFUNCTION("""COMPUTED_VALUE"""),"https://link.springer.com/journal/40194")</f>
        <v>https://link.springer.com/journal/40194</v>
      </c>
      <c r="I2210" s="1" t="str">
        <f ca="1">IFERROR(__xludf.DUMMYFUNCTION("""COMPUTED_VALUE"""),"Springer")</f>
        <v>Springer</v>
      </c>
      <c r="J2210" s="1">
        <f ca="1">IFERROR(__xludf.DUMMYFUNCTION("""COMPUTED_VALUE"""),2002)</f>
        <v>2002</v>
      </c>
      <c r="K2210" s="1" t="str">
        <f ca="1">IFERROR(__xludf.DUMMYFUNCTION("""COMPUTED_VALUE"""),"Chemistry and Materials Science")</f>
        <v>Chemistry and Materials Science</v>
      </c>
      <c r="L2210" s="1" t="str">
        <f ca="1">IFERROR(__xludf.DUMMYFUNCTION("""COMPUTED_VALUE"""),"〇")</f>
        <v>〇</v>
      </c>
      <c r="M2210" s="1"/>
      <c r="N2210" s="1" t="str">
        <f ca="1">IFERROR(__xludf.DUMMYFUNCTION("""COMPUTED_VALUE"""),"TO13")</f>
        <v>TO13</v>
      </c>
      <c r="O2210" s="1"/>
      <c r="P2210" s="1"/>
    </row>
    <row r="2211" spans="1:16" ht="14.25" customHeight="1" x14ac:dyDescent="0.25">
      <c r="A2211" s="1"/>
      <c r="B2211" s="1">
        <f ca="1"/>
        <v>2199</v>
      </c>
      <c r="C2211" s="1">
        <f ca="1">IFERROR(__xludf.DUMMYFUNCTION("""COMPUTED_VALUE"""),2023)</f>
        <v>2023</v>
      </c>
      <c r="D2211" s="1">
        <f ca="1">IFERROR(__xludf.DUMMYFUNCTION("""COMPUTED_VALUE"""),13157)</f>
        <v>13157</v>
      </c>
      <c r="E2211" s="1" t="str">
        <f ca="1">IFERROR(__xludf.DUMMYFUNCTION("""COMPUTED_VALUE"""),"Wetlands")</f>
        <v>Wetlands</v>
      </c>
      <c r="F2211" s="1" t="str">
        <f ca="1">IFERROR(__xludf.DUMMYFUNCTION("""COMPUTED_VALUE"""),"1943-6246")</f>
        <v>1943-6246</v>
      </c>
      <c r="G2211" s="1" t="str">
        <f ca="1">IFERROR(__xludf.DUMMYFUNCTION("""COMPUTED_VALUE"""),"0277-5212")</f>
        <v>0277-5212</v>
      </c>
      <c r="H2211" s="27" t="str">
        <f ca="1">IFERROR(__xludf.DUMMYFUNCTION("""COMPUTED_VALUE"""),"https://link.springer.com/journal/13157")</f>
        <v>https://link.springer.com/journal/13157</v>
      </c>
      <c r="I2211" s="1" t="str">
        <f ca="1">IFERROR(__xludf.DUMMYFUNCTION("""COMPUTED_VALUE"""),"Springer")</f>
        <v>Springer</v>
      </c>
      <c r="J2211" s="1">
        <f ca="1">IFERROR(__xludf.DUMMYFUNCTION("""COMPUTED_VALUE"""),2000)</f>
        <v>2000</v>
      </c>
      <c r="K2211" s="1" t="str">
        <f ca="1">IFERROR(__xludf.DUMMYFUNCTION("""COMPUTED_VALUE"""),"Biomedical and Life Sciences")</f>
        <v>Biomedical and Life Sciences</v>
      </c>
      <c r="L2211" s="1" t="str">
        <f ca="1">IFERROR(__xludf.DUMMYFUNCTION("""COMPUTED_VALUE"""),"〇")</f>
        <v>〇</v>
      </c>
      <c r="M2211" s="1"/>
      <c r="N2211" s="1" t="str">
        <f ca="1">IFERROR(__xludf.DUMMYFUNCTION("""COMPUTED_VALUE"""),"TO10")</f>
        <v>TO10</v>
      </c>
      <c r="O2211" s="1"/>
      <c r="P2211" s="1"/>
    </row>
    <row r="2212" spans="1:16" ht="14.25" customHeight="1" x14ac:dyDescent="0.25">
      <c r="A2212" s="1"/>
      <c r="B2212" s="1">
        <f ca="1"/>
        <v>2200</v>
      </c>
      <c r="C2212" s="1">
        <f ca="1">IFERROR(__xludf.DUMMYFUNCTION("""COMPUTED_VALUE"""),2023)</f>
        <v>2023</v>
      </c>
      <c r="D2212" s="1">
        <f ca="1">IFERROR(__xludf.DUMMYFUNCTION("""COMPUTED_VALUE"""),11273)</f>
        <v>11273</v>
      </c>
      <c r="E2212" s="1" t="str">
        <f ca="1">IFERROR(__xludf.DUMMYFUNCTION("""COMPUTED_VALUE"""),"Wetlands Ecology and Management")</f>
        <v>Wetlands Ecology and Management</v>
      </c>
      <c r="F2212" s="1" t="str">
        <f ca="1">IFERROR(__xludf.DUMMYFUNCTION("""COMPUTED_VALUE"""),"1572-9834")</f>
        <v>1572-9834</v>
      </c>
      <c r="G2212" s="1" t="str">
        <f ca="1">IFERROR(__xludf.DUMMYFUNCTION("""COMPUTED_VALUE"""),"0923-4861")</f>
        <v>0923-4861</v>
      </c>
      <c r="H2212" s="27" t="str">
        <f ca="1">IFERROR(__xludf.DUMMYFUNCTION("""COMPUTED_VALUE"""),"https://link.springer.com/journal/11273")</f>
        <v>https://link.springer.com/journal/11273</v>
      </c>
      <c r="I2212" s="1" t="str">
        <f ca="1">IFERROR(__xludf.DUMMYFUNCTION("""COMPUTED_VALUE"""),"Springer")</f>
        <v>Springer</v>
      </c>
      <c r="J2212" s="1">
        <f ca="1">IFERROR(__xludf.DUMMYFUNCTION("""COMPUTED_VALUE"""),2000)</f>
        <v>2000</v>
      </c>
      <c r="K2212" s="1" t="str">
        <f ca="1">IFERROR(__xludf.DUMMYFUNCTION("""COMPUTED_VALUE"""),"Biomedical and Life Sciences")</f>
        <v>Biomedical and Life Sciences</v>
      </c>
      <c r="L2212" s="1" t="str">
        <f ca="1">IFERROR(__xludf.DUMMYFUNCTION("""COMPUTED_VALUE"""),"〇")</f>
        <v>〇</v>
      </c>
      <c r="M2212" s="1" t="str">
        <f ca="1">IFERROR(__xludf.DUMMYFUNCTION("""COMPUTED_VALUE"""),"〇")</f>
        <v>〇</v>
      </c>
      <c r="N2212" s="1"/>
      <c r="O2212" s="1"/>
      <c r="P2212" s="1"/>
    </row>
    <row r="2213" spans="1:16" ht="14.25" customHeight="1" x14ac:dyDescent="0.25">
      <c r="A2213" s="1"/>
      <c r="B2213" s="1">
        <f ca="1"/>
        <v>2201</v>
      </c>
      <c r="C2213" s="1">
        <f ca="1">IFERROR(__xludf.DUMMYFUNCTION("""COMPUTED_VALUE"""),2023)</f>
        <v>2023</v>
      </c>
      <c r="D2213" s="1">
        <f ca="1">IFERROR(__xludf.DUMMYFUNCTION("""COMPUTED_VALUE"""),508)</f>
        <v>508</v>
      </c>
      <c r="E2213" s="1" t="str">
        <f ca="1">IFERROR(__xludf.DUMMYFUNCTION("""COMPUTED_VALUE"""),"Wiener klinische Wochenschrift")</f>
        <v>Wiener klinische Wochenschrift</v>
      </c>
      <c r="F2213" s="1" t="str">
        <f ca="1">IFERROR(__xludf.DUMMYFUNCTION("""COMPUTED_VALUE"""),"1613-7671")</f>
        <v>1613-7671</v>
      </c>
      <c r="G2213" s="1" t="str">
        <f ca="1">IFERROR(__xludf.DUMMYFUNCTION("""COMPUTED_VALUE"""),"0043-5325")</f>
        <v>0043-5325</v>
      </c>
      <c r="H2213" s="27" t="str">
        <f ca="1">IFERROR(__xludf.DUMMYFUNCTION("""COMPUTED_VALUE"""),"https://link.springer.com/journal/508")</f>
        <v>https://link.springer.com/journal/508</v>
      </c>
      <c r="I2213" s="1" t="str">
        <f ca="1">IFERROR(__xludf.DUMMYFUNCTION("""COMPUTED_VALUE"""),"SpringerMedizin")</f>
        <v>SpringerMedizin</v>
      </c>
      <c r="J2213" s="1">
        <f ca="1">IFERROR(__xludf.DUMMYFUNCTION("""COMPUTED_VALUE"""),2003)</f>
        <v>2003</v>
      </c>
      <c r="K2213" s="1" t="str">
        <f ca="1">IFERROR(__xludf.DUMMYFUNCTION("""COMPUTED_VALUE"""),"Medicine")</f>
        <v>Medicine</v>
      </c>
      <c r="L2213" s="1" t="str">
        <f ca="1">IFERROR(__xludf.DUMMYFUNCTION("""COMPUTED_VALUE"""),"〇")</f>
        <v>〇</v>
      </c>
      <c r="M2213" s="1" t="str">
        <f ca="1">IFERROR(__xludf.DUMMYFUNCTION("""COMPUTED_VALUE"""),"〇")</f>
        <v>〇</v>
      </c>
      <c r="N2213" s="1"/>
      <c r="O2213" s="1"/>
      <c r="P2213" s="1"/>
    </row>
    <row r="2214" spans="1:16" ht="14.25" customHeight="1" x14ac:dyDescent="0.25">
      <c r="A2214" s="1"/>
      <c r="B2214" s="1">
        <f ca="1"/>
        <v>2202</v>
      </c>
      <c r="C2214" s="1">
        <f ca="1">IFERROR(__xludf.DUMMYFUNCTION("""COMPUTED_VALUE"""),2023)</f>
        <v>2023</v>
      </c>
      <c r="D2214" s="1">
        <f ca="1">IFERROR(__xludf.DUMMYFUNCTION("""COMPUTED_VALUE"""),740)</f>
        <v>740</v>
      </c>
      <c r="E2214" s="1" t="str">
        <f ca="1">IFERROR(__xludf.DUMMYFUNCTION("""COMPUTED_VALUE"""),"Wiener klinisches Magazin")</f>
        <v>Wiener klinisches Magazin</v>
      </c>
      <c r="F2214" s="1" t="str">
        <f ca="1">IFERROR(__xludf.DUMMYFUNCTION("""COMPUTED_VALUE"""),"1613-7817")</f>
        <v>1613-7817</v>
      </c>
      <c r="G2214" s="1" t="str">
        <f ca="1">IFERROR(__xludf.DUMMYFUNCTION("""COMPUTED_VALUE"""),"1869-1757")</f>
        <v>1869-1757</v>
      </c>
      <c r="H2214" s="27" t="str">
        <f ca="1">IFERROR(__xludf.DUMMYFUNCTION("""COMPUTED_VALUE"""),"https://link.springer.com/journal/740")</f>
        <v>https://link.springer.com/journal/740</v>
      </c>
      <c r="I2214" s="1" t="str">
        <f ca="1">IFERROR(__xludf.DUMMYFUNCTION("""COMPUTED_VALUE"""),"SpringerMedizin")</f>
        <v>SpringerMedizin</v>
      </c>
      <c r="J2214" s="1">
        <f ca="1">IFERROR(__xludf.DUMMYFUNCTION("""COMPUTED_VALUE"""),2009)</f>
        <v>2009</v>
      </c>
      <c r="K2214" s="1" t="str">
        <f ca="1">IFERROR(__xludf.DUMMYFUNCTION("""COMPUTED_VALUE"""),"Medicine")</f>
        <v>Medicine</v>
      </c>
      <c r="L2214" s="1" t="str">
        <f ca="1">IFERROR(__xludf.DUMMYFUNCTION("""COMPUTED_VALUE"""),"〇")</f>
        <v>〇</v>
      </c>
      <c r="M2214" s="1" t="str">
        <f ca="1">IFERROR(__xludf.DUMMYFUNCTION("""COMPUTED_VALUE"""),"〇")</f>
        <v>〇</v>
      </c>
      <c r="N2214" s="1"/>
      <c r="O2214" s="1"/>
      <c r="P2214" s="1"/>
    </row>
    <row r="2215" spans="1:16" ht="14.25" customHeight="1" x14ac:dyDescent="0.25">
      <c r="A2215" s="1"/>
      <c r="B2215" s="1">
        <f ca="1"/>
        <v>2203</v>
      </c>
      <c r="C2215" s="1">
        <f ca="1">IFERROR(__xludf.DUMMYFUNCTION("""COMPUTED_VALUE"""),2023)</f>
        <v>2023</v>
      </c>
      <c r="D2215" s="1">
        <f ca="1">IFERROR(__xludf.DUMMYFUNCTION("""COMPUTED_VALUE"""),10354)</f>
        <v>10354</v>
      </c>
      <c r="E2215" s="1" t="str">
        <f ca="1">IFERROR(__xludf.DUMMYFUNCTION("""COMPUTED_VALUE"""),"Wiener Medizinische Wochenschrift")</f>
        <v>Wiener Medizinische Wochenschrift</v>
      </c>
      <c r="F2215" s="1" t="str">
        <f ca="1">IFERROR(__xludf.DUMMYFUNCTION("""COMPUTED_VALUE"""),"1563-258X")</f>
        <v>1563-258X</v>
      </c>
      <c r="G2215" s="1" t="str">
        <f ca="1">IFERROR(__xludf.DUMMYFUNCTION("""COMPUTED_VALUE"""),"0043-5341")</f>
        <v>0043-5341</v>
      </c>
      <c r="H2215" s="27" t="str">
        <f ca="1">IFERROR(__xludf.DUMMYFUNCTION("""COMPUTED_VALUE"""),"https://link.springer.com/journal/10354")</f>
        <v>https://link.springer.com/journal/10354</v>
      </c>
      <c r="I2215" s="1" t="str">
        <f ca="1">IFERROR(__xludf.DUMMYFUNCTION("""COMPUTED_VALUE"""),"SpringerMedizin")</f>
        <v>SpringerMedizin</v>
      </c>
      <c r="J2215" s="1">
        <f ca="1">IFERROR(__xludf.DUMMYFUNCTION("""COMPUTED_VALUE"""),2003)</f>
        <v>2003</v>
      </c>
      <c r="K2215" s="1" t="str">
        <f ca="1">IFERROR(__xludf.DUMMYFUNCTION("""COMPUTED_VALUE"""),"Medicine")</f>
        <v>Medicine</v>
      </c>
      <c r="L2215" s="1" t="str">
        <f ca="1">IFERROR(__xludf.DUMMYFUNCTION("""COMPUTED_VALUE"""),"〇")</f>
        <v>〇</v>
      </c>
      <c r="M2215" s="1" t="str">
        <f ca="1">IFERROR(__xludf.DUMMYFUNCTION("""COMPUTED_VALUE"""),"〇")</f>
        <v>〇</v>
      </c>
      <c r="N2215" s="1"/>
      <c r="O2215" s="1"/>
      <c r="P2215" s="1"/>
    </row>
    <row r="2216" spans="1:16" ht="14.25" customHeight="1" x14ac:dyDescent="0.25">
      <c r="A2216" s="1"/>
      <c r="B2216" s="1">
        <f ca="1"/>
        <v>2204</v>
      </c>
      <c r="C2216" s="1">
        <f ca="1">IFERROR(__xludf.DUMMYFUNCTION("""COMPUTED_VALUE"""),2023)</f>
        <v>2023</v>
      </c>
      <c r="D2216" s="1">
        <f ca="1">IFERROR(__xludf.DUMMYFUNCTION("""COMPUTED_VALUE"""),11276)</f>
        <v>11276</v>
      </c>
      <c r="E2216" s="1" t="str">
        <f ca="1">IFERROR(__xludf.DUMMYFUNCTION("""COMPUTED_VALUE"""),"Wireless Networks")</f>
        <v>Wireless Networks</v>
      </c>
      <c r="F2216" s="1" t="str">
        <f ca="1">IFERROR(__xludf.DUMMYFUNCTION("""COMPUTED_VALUE"""),"1572-8196")</f>
        <v>1572-8196</v>
      </c>
      <c r="G2216" s="1" t="str">
        <f ca="1">IFERROR(__xludf.DUMMYFUNCTION("""COMPUTED_VALUE"""),"1022-0038")</f>
        <v>1022-0038</v>
      </c>
      <c r="H2216" s="27" t="str">
        <f ca="1">IFERROR(__xludf.DUMMYFUNCTION("""COMPUTED_VALUE"""),"https://link.springer.com/journal/11276")</f>
        <v>https://link.springer.com/journal/11276</v>
      </c>
      <c r="I2216" s="1" t="str">
        <f ca="1">IFERROR(__xludf.DUMMYFUNCTION("""COMPUTED_VALUE"""),"Springer")</f>
        <v>Springer</v>
      </c>
      <c r="J2216" s="1">
        <f ca="1">IFERROR(__xludf.DUMMYFUNCTION("""COMPUTED_VALUE"""),2000)</f>
        <v>2000</v>
      </c>
      <c r="K2216" s="1" t="str">
        <f ca="1">IFERROR(__xludf.DUMMYFUNCTION("""COMPUTED_VALUE"""),"Engineering")</f>
        <v>Engineering</v>
      </c>
      <c r="L2216" s="1" t="str">
        <f ca="1">IFERROR(__xludf.DUMMYFUNCTION("""COMPUTED_VALUE"""),"〇")</f>
        <v>〇</v>
      </c>
      <c r="M2216" s="1" t="str">
        <f ca="1">IFERROR(__xludf.DUMMYFUNCTION("""COMPUTED_VALUE"""),"〇")</f>
        <v>〇</v>
      </c>
      <c r="N2216" s="1"/>
      <c r="O2216" s="1"/>
      <c r="P2216" s="1"/>
    </row>
    <row r="2217" spans="1:16" ht="14.25" customHeight="1" x14ac:dyDescent="0.25">
      <c r="A2217" s="1"/>
      <c r="B2217" s="1">
        <f ca="1"/>
        <v>2205</v>
      </c>
      <c r="C2217" s="1">
        <f ca="1">IFERROR(__xludf.DUMMYFUNCTION("""COMPUTED_VALUE"""),2023)</f>
        <v>2023</v>
      </c>
      <c r="D2217" s="1">
        <f ca="1">IFERROR(__xludf.DUMMYFUNCTION("""COMPUTED_VALUE"""),11277)</f>
        <v>11277</v>
      </c>
      <c r="E2217" s="1" t="str">
        <f ca="1">IFERROR(__xludf.DUMMYFUNCTION("""COMPUTED_VALUE"""),"Wireless Personal Communications")</f>
        <v>Wireless Personal Communications</v>
      </c>
      <c r="F2217" s="1" t="str">
        <f ca="1">IFERROR(__xludf.DUMMYFUNCTION("""COMPUTED_VALUE"""),"1572-834X")</f>
        <v>1572-834X</v>
      </c>
      <c r="G2217" s="1" t="str">
        <f ca="1">IFERROR(__xludf.DUMMYFUNCTION("""COMPUTED_VALUE"""),"0929-6212")</f>
        <v>0929-6212</v>
      </c>
      <c r="H2217" s="27" t="str">
        <f ca="1">IFERROR(__xludf.DUMMYFUNCTION("""COMPUTED_VALUE"""),"https://link.springer.com/journal/11277")</f>
        <v>https://link.springer.com/journal/11277</v>
      </c>
      <c r="I2217" s="1" t="str">
        <f ca="1">IFERROR(__xludf.DUMMYFUNCTION("""COMPUTED_VALUE"""),"Springer")</f>
        <v>Springer</v>
      </c>
      <c r="J2217" s="1">
        <f ca="1">IFERROR(__xludf.DUMMYFUNCTION("""COMPUTED_VALUE"""),2000)</f>
        <v>2000</v>
      </c>
      <c r="K2217" s="1" t="str">
        <f ca="1">IFERROR(__xludf.DUMMYFUNCTION("""COMPUTED_VALUE"""),"Engineering")</f>
        <v>Engineering</v>
      </c>
      <c r="L2217" s="1" t="str">
        <f ca="1">IFERROR(__xludf.DUMMYFUNCTION("""COMPUTED_VALUE"""),"〇")</f>
        <v>〇</v>
      </c>
      <c r="M2217" s="1" t="str">
        <f ca="1">IFERROR(__xludf.DUMMYFUNCTION("""COMPUTED_VALUE"""),"〇")</f>
        <v>〇</v>
      </c>
      <c r="N2217" s="1"/>
      <c r="O2217" s="1"/>
      <c r="P2217" s="1"/>
    </row>
    <row r="2218" spans="1:16" ht="14.25" customHeight="1" x14ac:dyDescent="0.25">
      <c r="A2218" s="1"/>
      <c r="B2218" s="1">
        <f ca="1"/>
        <v>2206</v>
      </c>
      <c r="C2218" s="1">
        <f ca="1">IFERROR(__xludf.DUMMYFUNCTION("""COMPUTED_VALUE"""),2023)</f>
        <v>2023</v>
      </c>
      <c r="D2218" s="1">
        <f ca="1">IFERROR(__xludf.DUMMYFUNCTION("""COMPUTED_VALUE"""),35764)</f>
        <v>35764</v>
      </c>
      <c r="E2218" s="1" t="str">
        <f ca="1">IFERROR(__xludf.DUMMYFUNCTION("""COMPUTED_VALUE"""),"Wirtschaftsinformatik &amp; Management")</f>
        <v>Wirtschaftsinformatik &amp; Management</v>
      </c>
      <c r="F2218" s="1" t="str">
        <f ca="1">IFERROR(__xludf.DUMMYFUNCTION("""COMPUTED_VALUE"""),"1867-5913")</f>
        <v>1867-5913</v>
      </c>
      <c r="G2218" s="1" t="str">
        <f ca="1">IFERROR(__xludf.DUMMYFUNCTION("""COMPUTED_VALUE"""),"1867-5905")</f>
        <v>1867-5905</v>
      </c>
      <c r="H2218" s="27" t="str">
        <f ca="1">IFERROR(__xludf.DUMMYFUNCTION("""COMPUTED_VALUE"""),"https://link.springer.com/journal/35764")</f>
        <v>https://link.springer.com/journal/35764</v>
      </c>
      <c r="I2218" s="1" t="str">
        <f ca="1">IFERROR(__xludf.DUMMYFUNCTION("""COMPUTED_VALUE"""),"Springer Gabler")</f>
        <v>Springer Gabler</v>
      </c>
      <c r="J2218" s="1">
        <f ca="1">IFERROR(__xludf.DUMMYFUNCTION("""COMPUTED_VALUE"""),2009)</f>
        <v>2009</v>
      </c>
      <c r="K2218" s="1" t="str">
        <f ca="1">IFERROR(__xludf.DUMMYFUNCTION("""COMPUTED_VALUE"""),"Business and Management")</f>
        <v>Business and Management</v>
      </c>
      <c r="L2218" s="1" t="str">
        <f ca="1">IFERROR(__xludf.DUMMYFUNCTION("""COMPUTED_VALUE"""),"〇")</f>
        <v>〇</v>
      </c>
      <c r="M2218" s="1"/>
      <c r="N2218" s="1"/>
      <c r="O2218" s="1"/>
      <c r="P2218" s="1"/>
    </row>
    <row r="2219" spans="1:16" ht="14.25" customHeight="1" x14ac:dyDescent="0.25">
      <c r="A2219" s="1"/>
      <c r="B2219" s="1">
        <f ca="1"/>
        <v>2207</v>
      </c>
      <c r="C2219" s="1">
        <f ca="1">IFERROR(__xludf.DUMMYFUNCTION("""COMPUTED_VALUE"""),2023)</f>
        <v>2023</v>
      </c>
      <c r="D2219" s="1">
        <f ca="1">IFERROR(__xludf.DUMMYFUNCTION("""COMPUTED_VALUE"""),11838)</f>
        <v>11838</v>
      </c>
      <c r="E2219" s="1" t="str">
        <f ca="1">IFERROR(__xludf.DUMMYFUNCTION("""COMPUTED_VALUE"""),"wissen kompakt")</f>
        <v>wissen kompakt</v>
      </c>
      <c r="F2219" s="1" t="str">
        <f ca="1">IFERROR(__xludf.DUMMYFUNCTION("""COMPUTED_VALUE"""),"2190-3816")</f>
        <v>2190-3816</v>
      </c>
      <c r="G2219" s="1" t="str">
        <f ca="1">IFERROR(__xludf.DUMMYFUNCTION("""COMPUTED_VALUE"""),"1863-2637")</f>
        <v>1863-2637</v>
      </c>
      <c r="H2219" s="27" t="str">
        <f ca="1">IFERROR(__xludf.DUMMYFUNCTION("""COMPUTED_VALUE"""),"https://link.springer.com/journal/11838")</f>
        <v>https://link.springer.com/journal/11838</v>
      </c>
      <c r="I2219" s="1" t="str">
        <f ca="1">IFERROR(__xludf.DUMMYFUNCTION("""COMPUTED_VALUE"""),"SpringerMedizin")</f>
        <v>SpringerMedizin</v>
      </c>
      <c r="J2219" s="1">
        <f ca="1">IFERROR(__xludf.DUMMYFUNCTION("""COMPUTED_VALUE"""),2010)</f>
        <v>2010</v>
      </c>
      <c r="K2219" s="1" t="str">
        <f ca="1">IFERROR(__xludf.DUMMYFUNCTION("""COMPUTED_VALUE"""),"Medicine")</f>
        <v>Medicine</v>
      </c>
      <c r="L2219" s="1" t="str">
        <f ca="1">IFERROR(__xludf.DUMMYFUNCTION("""COMPUTED_VALUE"""),"〇")</f>
        <v>〇</v>
      </c>
      <c r="M2219" s="1" t="str">
        <f ca="1">IFERROR(__xludf.DUMMYFUNCTION("""COMPUTED_VALUE"""),"〇")</f>
        <v>〇</v>
      </c>
      <c r="N2219" s="1"/>
      <c r="O2219" s="1"/>
      <c r="P2219" s="1"/>
    </row>
    <row r="2220" spans="1:16" ht="14.25" customHeight="1" x14ac:dyDescent="0.25">
      <c r="A2220" s="1"/>
      <c r="B2220" s="1">
        <f ca="1"/>
        <v>2208</v>
      </c>
      <c r="C2220" s="1">
        <f ca="1">IFERROR(__xludf.DUMMYFUNCTION("""COMPUTED_VALUE"""),2023)</f>
        <v>2023</v>
      </c>
      <c r="D2220" s="1">
        <f ca="1">IFERROR(__xludf.DUMMYFUNCTION("""COMPUTED_VALUE"""),13437)</f>
        <v>13437</v>
      </c>
      <c r="E2220" s="1" t="str">
        <f ca="1">IFERROR(__xludf.DUMMYFUNCTION("""COMPUTED_VALUE"""),"WMU Journal of Maritime Affairs")</f>
        <v>WMU Journal of Maritime Affairs</v>
      </c>
      <c r="F2220" s="1" t="str">
        <f ca="1">IFERROR(__xludf.DUMMYFUNCTION("""COMPUTED_VALUE"""),"1654-1642")</f>
        <v>1654-1642</v>
      </c>
      <c r="G2220" s="1" t="str">
        <f ca="1">IFERROR(__xludf.DUMMYFUNCTION("""COMPUTED_VALUE"""),"1651-436X")</f>
        <v>1651-436X</v>
      </c>
      <c r="H2220" s="27" t="str">
        <f ca="1">IFERROR(__xludf.DUMMYFUNCTION("""COMPUTED_VALUE"""),"https://link.springer.com/journal/13437")</f>
        <v>https://link.springer.com/journal/13437</v>
      </c>
      <c r="I2220" s="1" t="str">
        <f ca="1">IFERROR(__xludf.DUMMYFUNCTION("""COMPUTED_VALUE"""),"Springer")</f>
        <v>Springer</v>
      </c>
      <c r="J2220" s="1">
        <f ca="1">IFERROR(__xludf.DUMMYFUNCTION("""COMPUTED_VALUE"""),2002)</f>
        <v>2002</v>
      </c>
      <c r="K2220" s="1" t="str">
        <f ca="1">IFERROR(__xludf.DUMMYFUNCTION("""COMPUTED_VALUE"""),"Law and Criminology")</f>
        <v>Law and Criminology</v>
      </c>
      <c r="L2220" s="1" t="str">
        <f ca="1">IFERROR(__xludf.DUMMYFUNCTION("""COMPUTED_VALUE"""),"〇")</f>
        <v>〇</v>
      </c>
      <c r="M2220" s="1"/>
      <c r="N2220" s="1" t="str">
        <f ca="1">IFERROR(__xludf.DUMMYFUNCTION("""COMPUTED_VALUE"""),"TO11")</f>
        <v>TO11</v>
      </c>
      <c r="O2220" s="1"/>
      <c r="P2220" s="1"/>
    </row>
    <row r="2221" spans="1:16" ht="14.25" customHeight="1" x14ac:dyDescent="0.25">
      <c r="A2221" s="1"/>
      <c r="B2221" s="1">
        <f ca="1"/>
        <v>2209</v>
      </c>
      <c r="C2221" s="1">
        <f ca="1">IFERROR(__xludf.DUMMYFUNCTION("""COMPUTED_VALUE"""),2023)</f>
        <v>2023</v>
      </c>
      <c r="D2221" s="1">
        <f ca="1">IFERROR(__xludf.DUMMYFUNCTION("""COMPUTED_VALUE"""),226)</f>
        <v>226</v>
      </c>
      <c r="E2221" s="1" t="str">
        <f ca="1">IFERROR(__xludf.DUMMYFUNCTION("""COMPUTED_VALUE"""),"Wood Science and Technology")</f>
        <v>Wood Science and Technology</v>
      </c>
      <c r="F2221" s="1" t="str">
        <f ca="1">IFERROR(__xludf.DUMMYFUNCTION("""COMPUTED_VALUE"""),"1432-5225")</f>
        <v>1432-5225</v>
      </c>
      <c r="G2221" s="1" t="str">
        <f ca="1">IFERROR(__xludf.DUMMYFUNCTION("""COMPUTED_VALUE"""),"0043-7719")</f>
        <v>0043-7719</v>
      </c>
      <c r="H2221" s="27" t="str">
        <f ca="1">IFERROR(__xludf.DUMMYFUNCTION("""COMPUTED_VALUE"""),"https://link.springer.com/journal/226")</f>
        <v>https://link.springer.com/journal/226</v>
      </c>
      <c r="I2221" s="1" t="str">
        <f ca="1">IFERROR(__xludf.DUMMYFUNCTION("""COMPUTED_VALUE"""),"Springer")</f>
        <v>Springer</v>
      </c>
      <c r="J2221" s="1">
        <f ca="1">IFERROR(__xludf.DUMMYFUNCTION("""COMPUTED_VALUE"""),2000)</f>
        <v>2000</v>
      </c>
      <c r="K2221" s="1" t="str">
        <f ca="1">IFERROR(__xludf.DUMMYFUNCTION("""COMPUTED_VALUE"""),"Biomedical and Life Sciences")</f>
        <v>Biomedical and Life Sciences</v>
      </c>
      <c r="L2221" s="1" t="str">
        <f ca="1">IFERROR(__xludf.DUMMYFUNCTION("""COMPUTED_VALUE"""),"〇")</f>
        <v>〇</v>
      </c>
      <c r="M2221" s="1" t="str">
        <f ca="1">IFERROR(__xludf.DUMMYFUNCTION("""COMPUTED_VALUE"""),"〇")</f>
        <v>〇</v>
      </c>
      <c r="N2221" s="1"/>
      <c r="O2221" s="1"/>
      <c r="P2221" s="1"/>
    </row>
    <row r="2222" spans="1:16" ht="14.25" customHeight="1" x14ac:dyDescent="0.25">
      <c r="A2222" s="1"/>
      <c r="B2222" s="1">
        <f ca="1"/>
        <v>2210</v>
      </c>
      <c r="C2222" s="1">
        <f ca="1">IFERROR(__xludf.DUMMYFUNCTION("""COMPUTED_VALUE"""),2023)</f>
        <v>2023</v>
      </c>
      <c r="D2222" s="1">
        <f ca="1">IFERROR(__xludf.DUMMYFUNCTION("""COMPUTED_VALUE"""),11274)</f>
        <v>11274</v>
      </c>
      <c r="E2222" s="1" t="str">
        <f ca="1">IFERROR(__xludf.DUMMYFUNCTION("""COMPUTED_VALUE"""),"World Journal of Microbiology and Biotechnology")</f>
        <v>World Journal of Microbiology and Biotechnology</v>
      </c>
      <c r="F2222" s="1" t="str">
        <f ca="1">IFERROR(__xludf.DUMMYFUNCTION("""COMPUTED_VALUE"""),"1573-0972")</f>
        <v>1573-0972</v>
      </c>
      <c r="G2222" s="1"/>
      <c r="H2222" s="27" t="str">
        <f ca="1">IFERROR(__xludf.DUMMYFUNCTION("""COMPUTED_VALUE"""),"https://link.springer.com/journal/11274")</f>
        <v>https://link.springer.com/journal/11274</v>
      </c>
      <c r="I2222" s="1" t="str">
        <f ca="1">IFERROR(__xludf.DUMMYFUNCTION("""COMPUTED_VALUE"""),"Springer")</f>
        <v>Springer</v>
      </c>
      <c r="J2222" s="1">
        <f ca="1">IFERROR(__xludf.DUMMYFUNCTION("""COMPUTED_VALUE"""),2000)</f>
        <v>2000</v>
      </c>
      <c r="K2222" s="1" t="str">
        <f ca="1">IFERROR(__xludf.DUMMYFUNCTION("""COMPUTED_VALUE"""),"Biomedical and Life Sciences")</f>
        <v>Biomedical and Life Sciences</v>
      </c>
      <c r="L2222" s="1"/>
      <c r="M2222" s="1" t="str">
        <f ca="1">IFERROR(__xludf.DUMMYFUNCTION("""COMPUTED_VALUE"""),"〇")</f>
        <v>〇</v>
      </c>
      <c r="N2222" s="1"/>
      <c r="O2222" s="1"/>
      <c r="P2222" s="1"/>
    </row>
    <row r="2223" spans="1:16" ht="14.25" customHeight="1" x14ac:dyDescent="0.25">
      <c r="A2223" s="1"/>
      <c r="B2223" s="1">
        <f ca="1"/>
        <v>2211</v>
      </c>
      <c r="C2223" s="1">
        <f ca="1">IFERROR(__xludf.DUMMYFUNCTION("""COMPUTED_VALUE"""),2023)</f>
        <v>2023</v>
      </c>
      <c r="D2223" s="1">
        <f ca="1">IFERROR(__xludf.DUMMYFUNCTION("""COMPUTED_VALUE"""),12519)</f>
        <v>12519</v>
      </c>
      <c r="E2223" s="1" t="str">
        <f ca="1">IFERROR(__xludf.DUMMYFUNCTION("""COMPUTED_VALUE"""),"World Journal of Pediatrics")</f>
        <v>World Journal of Pediatrics</v>
      </c>
      <c r="F2223" s="1" t="str">
        <f ca="1">IFERROR(__xludf.DUMMYFUNCTION("""COMPUTED_VALUE"""),"1867-0687")</f>
        <v>1867-0687</v>
      </c>
      <c r="G2223" s="1" t="str">
        <f ca="1">IFERROR(__xludf.DUMMYFUNCTION("""COMPUTED_VALUE"""),"1708-8569")</f>
        <v>1708-8569</v>
      </c>
      <c r="H2223" s="27" t="str">
        <f ca="1">IFERROR(__xludf.DUMMYFUNCTION("""COMPUTED_VALUE"""),"https://link.springer.com/journal/12519")</f>
        <v>https://link.springer.com/journal/12519</v>
      </c>
      <c r="I2223" s="1" t="str">
        <f ca="1">IFERROR(__xludf.DUMMYFUNCTION("""COMPUTED_VALUE"""),"Childrens Hospital, Zhejiang University School of Medicine, co-published with Springer")</f>
        <v>Childrens Hospital, Zhejiang University School of Medicine, co-published with Springer</v>
      </c>
      <c r="J2223" s="1">
        <f ca="1">IFERROR(__xludf.DUMMYFUNCTION("""COMPUTED_VALUE"""),2008)</f>
        <v>2008</v>
      </c>
      <c r="K2223" s="1" t="str">
        <f ca="1">IFERROR(__xludf.DUMMYFUNCTION("""COMPUTED_VALUE"""),"Medicine")</f>
        <v>Medicine</v>
      </c>
      <c r="L2223" s="1" t="str">
        <f ca="1">IFERROR(__xludf.DUMMYFUNCTION("""COMPUTED_VALUE"""),"〇")</f>
        <v>〇</v>
      </c>
      <c r="M2223" s="1"/>
      <c r="N2223" s="1" t="str">
        <f ca="1">IFERROR(__xludf.DUMMYFUNCTION("""COMPUTED_VALUE"""),"TO9")</f>
        <v>TO9</v>
      </c>
      <c r="O2223" s="1"/>
      <c r="P2223" s="1"/>
    </row>
    <row r="2224" spans="1:16" ht="14.25" customHeight="1" x14ac:dyDescent="0.25">
      <c r="A2224" s="1"/>
      <c r="B2224" s="1">
        <f ca="1"/>
        <v>2212</v>
      </c>
      <c r="C2224" s="1">
        <f ca="1">IFERROR(__xludf.DUMMYFUNCTION("""COMPUTED_VALUE"""),2023)</f>
        <v>2023</v>
      </c>
      <c r="D2224" s="1">
        <f ca="1">IFERROR(__xludf.DUMMYFUNCTION("""COMPUTED_VALUE"""),268)</f>
        <v>268</v>
      </c>
      <c r="E2224" s="1" t="str">
        <f ca="1">IFERROR(__xludf.DUMMYFUNCTION("""COMPUTED_VALUE"""),"World Journal of Surgery")</f>
        <v>World Journal of Surgery</v>
      </c>
      <c r="F2224" s="1" t="str">
        <f ca="1">IFERROR(__xludf.DUMMYFUNCTION("""COMPUTED_VALUE"""),"1432-2323")</f>
        <v>1432-2323</v>
      </c>
      <c r="G2224" s="1" t="str">
        <f ca="1">IFERROR(__xludf.DUMMYFUNCTION("""COMPUTED_VALUE"""),"0364-2313")</f>
        <v>0364-2313</v>
      </c>
      <c r="H2224" s="27" t="str">
        <f ca="1">IFERROR(__xludf.DUMMYFUNCTION("""COMPUTED_VALUE"""),"https://link.springer.com/journal/268")</f>
        <v>https://link.springer.com/journal/268</v>
      </c>
      <c r="I2224" s="1" t="str">
        <f ca="1">IFERROR(__xludf.DUMMYFUNCTION("""COMPUTED_VALUE"""),"Springer")</f>
        <v>Springer</v>
      </c>
      <c r="J2224" s="1">
        <f ca="1">IFERROR(__xludf.DUMMYFUNCTION("""COMPUTED_VALUE"""),2000)</f>
        <v>2000</v>
      </c>
      <c r="K2224" s="1" t="str">
        <f ca="1">IFERROR(__xludf.DUMMYFUNCTION("""COMPUTED_VALUE"""),"Medicine")</f>
        <v>Medicine</v>
      </c>
      <c r="L2224" s="1" t="str">
        <f ca="1">IFERROR(__xludf.DUMMYFUNCTION("""COMPUTED_VALUE"""),"〇")</f>
        <v>〇</v>
      </c>
      <c r="M2224" s="1" t="str">
        <f ca="1">IFERROR(__xludf.DUMMYFUNCTION("""COMPUTED_VALUE"""),"〇")</f>
        <v>〇</v>
      </c>
      <c r="N2224" s="1"/>
      <c r="O2224" s="1"/>
      <c r="P2224" s="1"/>
    </row>
    <row r="2225" spans="1:16" ht="14.25" customHeight="1" x14ac:dyDescent="0.25">
      <c r="A2225" s="1"/>
      <c r="B2225" s="1">
        <f ca="1"/>
        <v>2213</v>
      </c>
      <c r="C2225" s="1">
        <f ca="1">IFERROR(__xludf.DUMMYFUNCTION("""COMPUTED_VALUE"""),2023)</f>
        <v>2023</v>
      </c>
      <c r="D2225" s="1">
        <f ca="1">IFERROR(__xludf.DUMMYFUNCTION("""COMPUTED_VALUE"""),345)</f>
        <v>345</v>
      </c>
      <c r="E2225" s="1" t="str">
        <f ca="1">IFERROR(__xludf.DUMMYFUNCTION("""COMPUTED_VALUE"""),"World Journal of Urology")</f>
        <v>World Journal of Urology</v>
      </c>
      <c r="F2225" s="1" t="str">
        <f ca="1">IFERROR(__xludf.DUMMYFUNCTION("""COMPUTED_VALUE"""),"1433-8726")</f>
        <v>1433-8726</v>
      </c>
      <c r="G2225" s="1"/>
      <c r="H2225" s="27" t="str">
        <f ca="1">IFERROR(__xludf.DUMMYFUNCTION("""COMPUTED_VALUE"""),"https://link.springer.com/journal/345")</f>
        <v>https://link.springer.com/journal/345</v>
      </c>
      <c r="I2225" s="1" t="str">
        <f ca="1">IFERROR(__xludf.DUMMYFUNCTION("""COMPUTED_VALUE"""),"Springer")</f>
        <v>Springer</v>
      </c>
      <c r="J2225" s="1">
        <f ca="1">IFERROR(__xludf.DUMMYFUNCTION("""COMPUTED_VALUE"""),2000)</f>
        <v>2000</v>
      </c>
      <c r="K2225" s="1" t="str">
        <f ca="1">IFERROR(__xludf.DUMMYFUNCTION("""COMPUTED_VALUE"""),"Medicine")</f>
        <v>Medicine</v>
      </c>
      <c r="L2225" s="1"/>
      <c r="M2225" s="1" t="str">
        <f ca="1">IFERROR(__xludf.DUMMYFUNCTION("""COMPUTED_VALUE"""),"〇")</f>
        <v>〇</v>
      </c>
      <c r="N2225" s="1"/>
      <c r="O2225" s="1"/>
      <c r="P2225" s="1"/>
    </row>
    <row r="2226" spans="1:16" ht="14.25" customHeight="1" x14ac:dyDescent="0.25">
      <c r="A2226" s="1"/>
      <c r="B2226" s="1">
        <f ca="1"/>
        <v>2214</v>
      </c>
      <c r="C2226" s="1">
        <f ca="1">IFERROR(__xludf.DUMMYFUNCTION("""COMPUTED_VALUE"""),2023)</f>
        <v>2023</v>
      </c>
      <c r="D2226" s="1">
        <f ca="1">IFERROR(__xludf.DUMMYFUNCTION("""COMPUTED_VALUE"""),11280)</f>
        <v>11280</v>
      </c>
      <c r="E2226" s="1" t="str">
        <f ca="1">IFERROR(__xludf.DUMMYFUNCTION("""COMPUTED_VALUE"""),"World Wide Web")</f>
        <v>World Wide Web</v>
      </c>
      <c r="F2226" s="1" t="str">
        <f ca="1">IFERROR(__xludf.DUMMYFUNCTION("""COMPUTED_VALUE"""),"1573-1413")</f>
        <v>1573-1413</v>
      </c>
      <c r="G2226" s="1" t="str">
        <f ca="1">IFERROR(__xludf.DUMMYFUNCTION("""COMPUTED_VALUE"""),"1386-145X")</f>
        <v>1386-145X</v>
      </c>
      <c r="H2226" s="27" t="str">
        <f ca="1">IFERROR(__xludf.DUMMYFUNCTION("""COMPUTED_VALUE"""),"https://link.springer.com/journal/11280")</f>
        <v>https://link.springer.com/journal/11280</v>
      </c>
      <c r="I2226" s="1" t="str">
        <f ca="1">IFERROR(__xludf.DUMMYFUNCTION("""COMPUTED_VALUE"""),"Springer")</f>
        <v>Springer</v>
      </c>
      <c r="J2226" s="1">
        <f ca="1">IFERROR(__xludf.DUMMYFUNCTION("""COMPUTED_VALUE"""),2000)</f>
        <v>2000</v>
      </c>
      <c r="K2226" s="1" t="str">
        <f ca="1">IFERROR(__xludf.DUMMYFUNCTION("""COMPUTED_VALUE"""),"Computer Science")</f>
        <v>Computer Science</v>
      </c>
      <c r="L2226" s="1" t="str">
        <f ca="1">IFERROR(__xludf.DUMMYFUNCTION("""COMPUTED_VALUE"""),"〇")</f>
        <v>〇</v>
      </c>
      <c r="M2226" s="1" t="str">
        <f ca="1">IFERROR(__xludf.DUMMYFUNCTION("""COMPUTED_VALUE"""),"〇")</f>
        <v>〇</v>
      </c>
      <c r="N2226" s="1"/>
      <c r="O2226" s="1"/>
      <c r="P2226" s="1"/>
    </row>
    <row r="2227" spans="1:16" ht="14.25" customHeight="1" x14ac:dyDescent="0.25">
      <c r="A2227" s="1"/>
      <c r="B2227" s="1">
        <f ca="1"/>
        <v>2215</v>
      </c>
      <c r="C2227" s="1">
        <f ca="1">IFERROR(__xludf.DUMMYFUNCTION("""COMPUTED_VALUE"""),2023)</f>
        <v>2023</v>
      </c>
      <c r="D2227" s="1">
        <f ca="1">IFERROR(__xludf.DUMMYFUNCTION("""COMPUTED_VALUE"""),11858)</f>
        <v>11858</v>
      </c>
      <c r="E2227" s="1" t="str">
        <f ca="1">IFERROR(__xludf.DUMMYFUNCTION("""COMPUTED_VALUE"""),"ZDM – Mathematics Education")</f>
        <v>ZDM – Mathematics Education</v>
      </c>
      <c r="F2227" s="1" t="str">
        <f ca="1">IFERROR(__xludf.DUMMYFUNCTION("""COMPUTED_VALUE"""),"1863-9704")</f>
        <v>1863-9704</v>
      </c>
      <c r="G2227" s="1" t="str">
        <f ca="1">IFERROR(__xludf.DUMMYFUNCTION("""COMPUTED_VALUE"""),"1863-9690")</f>
        <v>1863-9690</v>
      </c>
      <c r="H2227" s="27" t="str">
        <f ca="1">IFERROR(__xludf.DUMMYFUNCTION("""COMPUTED_VALUE"""),"https://link.springer.com/journal/11858")</f>
        <v>https://link.springer.com/journal/11858</v>
      </c>
      <c r="I2227" s="1" t="str">
        <f ca="1">IFERROR(__xludf.DUMMYFUNCTION("""COMPUTED_VALUE"""),"Springer")</f>
        <v>Springer</v>
      </c>
      <c r="J2227" s="1">
        <f ca="1">IFERROR(__xludf.DUMMYFUNCTION("""COMPUTED_VALUE"""),2000)</f>
        <v>2000</v>
      </c>
      <c r="K2227" s="1" t="str">
        <f ca="1">IFERROR(__xludf.DUMMYFUNCTION("""COMPUTED_VALUE"""),"Education")</f>
        <v>Education</v>
      </c>
      <c r="L2227" s="1" t="str">
        <f ca="1">IFERROR(__xludf.DUMMYFUNCTION("""COMPUTED_VALUE"""),"〇")</f>
        <v>〇</v>
      </c>
      <c r="M2227" s="1" t="str">
        <f ca="1">IFERROR(__xludf.DUMMYFUNCTION("""COMPUTED_VALUE"""),"〇")</f>
        <v>〇</v>
      </c>
      <c r="N2227" s="1" t="str">
        <f ca="1">IFERROR(__xludf.DUMMYFUNCTION("""COMPUTED_VALUE"""),"TO7")</f>
        <v>TO7</v>
      </c>
      <c r="O2227" s="1"/>
      <c r="P2227" s="1"/>
    </row>
    <row r="2228" spans="1:16" ht="14.25" customHeight="1" x14ac:dyDescent="0.25">
      <c r="A2228" s="1"/>
      <c r="B2228" s="1">
        <f ca="1"/>
        <v>2216</v>
      </c>
      <c r="C2228" s="1">
        <f ca="1">IFERROR(__xludf.DUMMYFUNCTION("""COMPUTED_VALUE"""),2023)</f>
        <v>2023</v>
      </c>
      <c r="D2228" s="1">
        <f ca="1">IFERROR(__xludf.DUMMYFUNCTION("""COMPUTED_VALUE"""),33)</f>
        <v>33</v>
      </c>
      <c r="E2228" s="1" t="str">
        <f ca="1">IFERROR(__xludf.DUMMYFUNCTION("""COMPUTED_VALUE"""),"Zeitschrift für angewandte Mathematik und Physik")</f>
        <v>Zeitschrift für angewandte Mathematik und Physik</v>
      </c>
      <c r="F2228" s="1" t="str">
        <f ca="1">IFERROR(__xludf.DUMMYFUNCTION("""COMPUTED_VALUE"""),"1420-9039")</f>
        <v>1420-9039</v>
      </c>
      <c r="G2228" s="1" t="str">
        <f ca="1">IFERROR(__xludf.DUMMYFUNCTION("""COMPUTED_VALUE"""),"0044-2275")</f>
        <v>0044-2275</v>
      </c>
      <c r="H2228" s="27" t="str">
        <f ca="1">IFERROR(__xludf.DUMMYFUNCTION("""COMPUTED_VALUE"""),"https://link.springer.com/journal/33")</f>
        <v>https://link.springer.com/journal/33</v>
      </c>
      <c r="I2228" s="1" t="str">
        <f ca="1">IFERROR(__xludf.DUMMYFUNCTION("""COMPUTED_VALUE"""),"Birkhäuser")</f>
        <v>Birkhäuser</v>
      </c>
      <c r="J2228" s="1">
        <f ca="1">IFERROR(__xludf.DUMMYFUNCTION("""COMPUTED_VALUE"""),2000)</f>
        <v>2000</v>
      </c>
      <c r="K2228" s="1" t="str">
        <f ca="1">IFERROR(__xludf.DUMMYFUNCTION("""COMPUTED_VALUE"""),"Engineering")</f>
        <v>Engineering</v>
      </c>
      <c r="L2228" s="1" t="str">
        <f ca="1">IFERROR(__xludf.DUMMYFUNCTION("""COMPUTED_VALUE"""),"〇")</f>
        <v>〇</v>
      </c>
      <c r="M2228" s="1" t="str">
        <f ca="1">IFERROR(__xludf.DUMMYFUNCTION("""COMPUTED_VALUE"""),"〇")</f>
        <v>〇</v>
      </c>
      <c r="N2228" s="1"/>
      <c r="O2228" s="1"/>
      <c r="P2228" s="1"/>
    </row>
    <row r="2229" spans="1:16" ht="14.25" customHeight="1" x14ac:dyDescent="0.25">
      <c r="A2229" s="1"/>
      <c r="B2229" s="1">
        <f ca="1"/>
        <v>2217</v>
      </c>
      <c r="C2229" s="1">
        <f ca="1">IFERROR(__xludf.DUMMYFUNCTION("""COMPUTED_VALUE"""),2023)</f>
        <v>2023</v>
      </c>
      <c r="D2229" s="1">
        <f ca="1">IFERROR(__xludf.DUMMYFUNCTION("""COMPUTED_VALUE"""),41449)</f>
        <v>41449</v>
      </c>
      <c r="E2229" s="1" t="str">
        <f ca="1">IFERROR(__xludf.DUMMYFUNCTION("""COMPUTED_VALUE"""),"Zeitschrift für Arbeitswissenschaft")</f>
        <v>Zeitschrift für Arbeitswissenschaft</v>
      </c>
      <c r="F2229" s="1" t="str">
        <f ca="1">IFERROR(__xludf.DUMMYFUNCTION("""COMPUTED_VALUE"""),"2366-4681")</f>
        <v>2366-4681</v>
      </c>
      <c r="G2229" s="1" t="str">
        <f ca="1">IFERROR(__xludf.DUMMYFUNCTION("""COMPUTED_VALUE"""),"0340-2444")</f>
        <v>0340-2444</v>
      </c>
      <c r="H2229" s="27" t="str">
        <f ca="1">IFERROR(__xludf.DUMMYFUNCTION("""COMPUTED_VALUE"""),"https://link.springer.com/journal/41449")</f>
        <v>https://link.springer.com/journal/41449</v>
      </c>
      <c r="I2229" s="1" t="str">
        <f ca="1">IFERROR(__xludf.DUMMYFUNCTION("""COMPUTED_VALUE"""),"Springer Vieweg")</f>
        <v>Springer Vieweg</v>
      </c>
      <c r="J2229" s="1">
        <f ca="1">IFERROR(__xludf.DUMMYFUNCTION("""COMPUTED_VALUE"""),2011)</f>
        <v>2011</v>
      </c>
      <c r="K2229" s="1" t="str">
        <f ca="1">IFERROR(__xludf.DUMMYFUNCTION("""COMPUTED_VALUE"""),"Engineering")</f>
        <v>Engineering</v>
      </c>
      <c r="L2229" s="1" t="str">
        <f ca="1">IFERROR(__xludf.DUMMYFUNCTION("""COMPUTED_VALUE"""),"〇")</f>
        <v>〇</v>
      </c>
      <c r="M2229" s="1"/>
      <c r="N2229" s="1" t="str">
        <f ca="1">IFERROR(__xludf.DUMMYFUNCTION("""COMPUTED_VALUE"""),"TO16")</f>
        <v>TO16</v>
      </c>
      <c r="O2229" s="1"/>
      <c r="P2229" s="1"/>
    </row>
    <row r="2230" spans="1:16" ht="14.25" customHeight="1" x14ac:dyDescent="0.25">
      <c r="A2230" s="1"/>
      <c r="B2230" s="1">
        <f ca="1"/>
        <v>2218</v>
      </c>
      <c r="C2230" s="1">
        <f ca="1">IFERROR(__xludf.DUMMYFUNCTION("""COMPUTED_VALUE"""),2023)</f>
        <v>2023</v>
      </c>
      <c r="D2230" s="1">
        <f ca="1">IFERROR(__xludf.DUMMYFUNCTION("""COMPUTED_VALUE"""),12399)</f>
        <v>12399</v>
      </c>
      <c r="E2230" s="1" t="str">
        <f ca="1">IFERROR(__xludf.DUMMYFUNCTION("""COMPUTED_VALUE"""),"Zeitschrift für Außen- und Sicherheitspolitik")</f>
        <v>Zeitschrift für Außen- und Sicherheitspolitik</v>
      </c>
      <c r="F2230" s="1" t="str">
        <f ca="1">IFERROR(__xludf.DUMMYFUNCTION("""COMPUTED_VALUE"""),"1866-2196")</f>
        <v>1866-2196</v>
      </c>
      <c r="G2230" s="1" t="str">
        <f ca="1">IFERROR(__xludf.DUMMYFUNCTION("""COMPUTED_VALUE"""),"1866-2188")</f>
        <v>1866-2188</v>
      </c>
      <c r="H2230" s="27" t="str">
        <f ca="1">IFERROR(__xludf.DUMMYFUNCTION("""COMPUTED_VALUE"""),"https://link.springer.com/journal/12399")</f>
        <v>https://link.springer.com/journal/12399</v>
      </c>
      <c r="I2230" s="1" t="str">
        <f ca="1">IFERROR(__xludf.DUMMYFUNCTION("""COMPUTED_VALUE"""),"Springer VS")</f>
        <v>Springer VS</v>
      </c>
      <c r="J2230" s="1">
        <f ca="1">IFERROR(__xludf.DUMMYFUNCTION("""COMPUTED_VALUE"""),2008)</f>
        <v>2008</v>
      </c>
      <c r="K2230" s="1" t="str">
        <f ca="1">IFERROR(__xludf.DUMMYFUNCTION("""COMPUTED_VALUE"""),"Political Science and International Studies")</f>
        <v>Political Science and International Studies</v>
      </c>
      <c r="L2230" s="1" t="str">
        <f ca="1">IFERROR(__xludf.DUMMYFUNCTION("""COMPUTED_VALUE"""),"〇")</f>
        <v>〇</v>
      </c>
      <c r="M2230" s="1" t="str">
        <f ca="1">IFERROR(__xludf.DUMMYFUNCTION("""COMPUTED_VALUE"""),"〇")</f>
        <v>〇</v>
      </c>
      <c r="N2230" s="1" t="str">
        <f ca="1">IFERROR(__xludf.DUMMYFUNCTION("""COMPUTED_VALUE"""),"SNS8")</f>
        <v>SNS8</v>
      </c>
      <c r="O2230" s="1"/>
      <c r="P2230" s="1"/>
    </row>
    <row r="2231" spans="1:16" ht="14.25" customHeight="1" x14ac:dyDescent="0.25">
      <c r="A2231" s="1"/>
      <c r="B2231" s="1">
        <f ca="1"/>
        <v>2219</v>
      </c>
      <c r="C2231" s="1">
        <f ca="1">IFERROR(__xludf.DUMMYFUNCTION("""COMPUTED_VALUE"""),2023)</f>
        <v>2023</v>
      </c>
      <c r="D2231" s="1">
        <f ca="1">IFERROR(__xludf.DUMMYFUNCTION("""COMPUTED_VALUE"""),35834)</f>
        <v>35834</v>
      </c>
      <c r="E2231" s="1" t="str">
        <f ca="1">IFERROR(__xludf.DUMMYFUNCTION("""COMPUTED_VALUE"""),"Zeitschrift für Bildungsforschung")</f>
        <v>Zeitschrift für Bildungsforschung</v>
      </c>
      <c r="F2231" s="1" t="str">
        <f ca="1">IFERROR(__xludf.DUMMYFUNCTION("""COMPUTED_VALUE"""),"2190-6904")</f>
        <v>2190-6904</v>
      </c>
      <c r="G2231" s="1" t="str">
        <f ca="1">IFERROR(__xludf.DUMMYFUNCTION("""COMPUTED_VALUE"""),"2190-6890")</f>
        <v>2190-6890</v>
      </c>
      <c r="H2231" s="27" t="str">
        <f ca="1">IFERROR(__xludf.DUMMYFUNCTION("""COMPUTED_VALUE"""),"https://link.springer.com/journal/35834")</f>
        <v>https://link.springer.com/journal/35834</v>
      </c>
      <c r="I2231" s="1" t="str">
        <f ca="1">IFERROR(__xludf.DUMMYFUNCTION("""COMPUTED_VALUE"""),"Springer VS")</f>
        <v>Springer VS</v>
      </c>
      <c r="J2231" s="1">
        <f ca="1">IFERROR(__xludf.DUMMYFUNCTION("""COMPUTED_VALUE"""),2011)</f>
        <v>2011</v>
      </c>
      <c r="K2231" s="1" t="str">
        <f ca="1">IFERROR(__xludf.DUMMYFUNCTION("""COMPUTED_VALUE"""),"Education")</f>
        <v>Education</v>
      </c>
      <c r="L2231" s="1" t="str">
        <f ca="1">IFERROR(__xludf.DUMMYFUNCTION("""COMPUTED_VALUE"""),"〇")</f>
        <v>〇</v>
      </c>
      <c r="M2231" s="1"/>
      <c r="N2231" s="1" t="str">
        <f ca="1">IFERROR(__xludf.DUMMYFUNCTION("""COMPUTED_VALUE"""),"SNS11")</f>
        <v>SNS11</v>
      </c>
      <c r="O2231" s="1"/>
      <c r="P2231" s="1"/>
    </row>
    <row r="2232" spans="1:16" ht="14.25" customHeight="1" x14ac:dyDescent="0.25">
      <c r="A2232" s="1"/>
      <c r="B2232" s="1">
        <f ca="1"/>
        <v>2220</v>
      </c>
      <c r="C2232" s="1">
        <f ca="1">IFERROR(__xludf.DUMMYFUNCTION("""COMPUTED_VALUE"""),2023)</f>
        <v>2023</v>
      </c>
      <c r="D2232" s="1">
        <f ca="1">IFERROR(__xludf.DUMMYFUNCTION("""COMPUTED_VALUE"""),40573)</f>
        <v>40573</v>
      </c>
      <c r="E2232" s="1" t="str">
        <f ca="1">IFERROR(__xludf.DUMMYFUNCTION("""COMPUTED_VALUE"""),"Zeitschrift für Didaktik der Naturwissenschaften")</f>
        <v>Zeitschrift für Didaktik der Naturwissenschaften</v>
      </c>
      <c r="F2232" s="1" t="str">
        <f ca="1">IFERROR(__xludf.DUMMYFUNCTION("""COMPUTED_VALUE"""),"2197-988X")</f>
        <v>2197-988X</v>
      </c>
      <c r="G2232" s="1"/>
      <c r="H2232" s="27" t="str">
        <f ca="1">IFERROR(__xludf.DUMMYFUNCTION("""COMPUTED_VALUE"""),"https://link.springer.com/journal/40573")</f>
        <v>https://link.springer.com/journal/40573</v>
      </c>
      <c r="I2232" s="1" t="str">
        <f ca="1">IFERROR(__xludf.DUMMYFUNCTION("""COMPUTED_VALUE"""),"Springer Spektrum")</f>
        <v>Springer Spektrum</v>
      </c>
      <c r="J2232" s="1">
        <f ca="1">IFERROR(__xludf.DUMMYFUNCTION("""COMPUTED_VALUE"""),2014)</f>
        <v>2014</v>
      </c>
      <c r="K2232" s="1" t="str">
        <f ca="1">IFERROR(__xludf.DUMMYFUNCTION("""COMPUTED_VALUE"""),"Education")</f>
        <v>Education</v>
      </c>
      <c r="L2232" s="1"/>
      <c r="M2232" s="1"/>
      <c r="N2232" s="1" t="str">
        <f ca="1">IFERROR(__xludf.DUMMYFUNCTION("""COMPUTED_VALUE"""),"TO14")</f>
        <v>TO14</v>
      </c>
      <c r="O2232" s="1"/>
      <c r="P2232" s="1"/>
    </row>
    <row r="2233" spans="1:16" ht="14.25" customHeight="1" x14ac:dyDescent="0.25">
      <c r="A2233" s="1"/>
      <c r="B2233" s="1">
        <f ca="1"/>
        <v>2221</v>
      </c>
      <c r="C2233" s="1">
        <f ca="1">IFERROR(__xludf.DUMMYFUNCTION("""COMPUTED_VALUE"""),2023)</f>
        <v>2023</v>
      </c>
      <c r="D2233" s="1">
        <f ca="1">IFERROR(__xludf.DUMMYFUNCTION("""COMPUTED_VALUE"""),12297)</f>
        <v>12297</v>
      </c>
      <c r="E2233" s="1" t="str">
        <f ca="1">IFERROR(__xludf.DUMMYFUNCTION("""COMPUTED_VALUE"""),"Zeitschrift für die gesamte Versicherungswissenschaft")</f>
        <v>Zeitschrift für die gesamte Versicherungswissenschaft</v>
      </c>
      <c r="F2233" s="1" t="str">
        <f ca="1">IFERROR(__xludf.DUMMYFUNCTION("""COMPUTED_VALUE"""),"1865-9748")</f>
        <v>1865-9748</v>
      </c>
      <c r="G2233" s="1" t="str">
        <f ca="1">IFERROR(__xludf.DUMMYFUNCTION("""COMPUTED_VALUE"""),"0044-2585")</f>
        <v>0044-2585</v>
      </c>
      <c r="H2233" s="27" t="str">
        <f ca="1">IFERROR(__xludf.DUMMYFUNCTION("""COMPUTED_VALUE"""),"https://link.springer.com/journal/12297")</f>
        <v>https://link.springer.com/journal/12297</v>
      </c>
      <c r="I2233" s="1" t="str">
        <f ca="1">IFERROR(__xludf.DUMMYFUNCTION("""COMPUTED_VALUE"""),"Springer Gabler")</f>
        <v>Springer Gabler</v>
      </c>
      <c r="J2233" s="1">
        <f ca="1">IFERROR(__xludf.DUMMYFUNCTION("""COMPUTED_VALUE"""),2000)</f>
        <v>2000</v>
      </c>
      <c r="K2233" s="1" t="str">
        <f ca="1">IFERROR(__xludf.DUMMYFUNCTION("""COMPUTED_VALUE"""),"Economics and Finance")</f>
        <v>Economics and Finance</v>
      </c>
      <c r="L2233" s="1" t="str">
        <f ca="1">IFERROR(__xludf.DUMMYFUNCTION("""COMPUTED_VALUE"""),"〇")</f>
        <v>〇</v>
      </c>
      <c r="M2233" s="1" t="str">
        <f ca="1">IFERROR(__xludf.DUMMYFUNCTION("""COMPUTED_VALUE"""),"〇")</f>
        <v>〇</v>
      </c>
      <c r="N2233" s="1" t="str">
        <f ca="1">IFERROR(__xludf.DUMMYFUNCTION("""COMPUTED_VALUE"""),"TO8")</f>
        <v>TO8</v>
      </c>
      <c r="O2233" s="1"/>
      <c r="P2233" s="1"/>
    </row>
    <row r="2234" spans="1:16" ht="14.25" customHeight="1" x14ac:dyDescent="0.25">
      <c r="A2234" s="1"/>
      <c r="B2234" s="1">
        <f ca="1"/>
        <v>2222</v>
      </c>
      <c r="C2234" s="1">
        <f ca="1">IFERROR(__xludf.DUMMYFUNCTION("""COMPUTED_VALUE"""),2023)</f>
        <v>2023</v>
      </c>
      <c r="D2234" s="1">
        <f ca="1">IFERROR(__xludf.DUMMYFUNCTION("""COMPUTED_VALUE"""),12398)</f>
        <v>12398</v>
      </c>
      <c r="E2234" s="1" t="str">
        <f ca="1">IFERROR(__xludf.DUMMYFUNCTION("""COMPUTED_VALUE"""),"Zeitschrift für Energiewirtschaft")</f>
        <v>Zeitschrift für Energiewirtschaft</v>
      </c>
      <c r="F2234" s="1" t="str">
        <f ca="1">IFERROR(__xludf.DUMMYFUNCTION("""COMPUTED_VALUE"""),"1866-2765")</f>
        <v>1866-2765</v>
      </c>
      <c r="G2234" s="1" t="str">
        <f ca="1">IFERROR(__xludf.DUMMYFUNCTION("""COMPUTED_VALUE"""),"0343-5377")</f>
        <v>0343-5377</v>
      </c>
      <c r="H2234" s="27" t="str">
        <f ca="1">IFERROR(__xludf.DUMMYFUNCTION("""COMPUTED_VALUE"""),"https://link.springer.com/journal/12398")</f>
        <v>https://link.springer.com/journal/12398</v>
      </c>
      <c r="I2234" s="1" t="str">
        <f ca="1">IFERROR(__xludf.DUMMYFUNCTION("""COMPUTED_VALUE"""),"Springer Vieweg")</f>
        <v>Springer Vieweg</v>
      </c>
      <c r="J2234" s="1">
        <f ca="1">IFERROR(__xludf.DUMMYFUNCTION("""COMPUTED_VALUE"""),2008)</f>
        <v>2008</v>
      </c>
      <c r="K2234" s="1" t="str">
        <f ca="1">IFERROR(__xludf.DUMMYFUNCTION("""COMPUTED_VALUE"""),"Energy")</f>
        <v>Energy</v>
      </c>
      <c r="L2234" s="1" t="str">
        <f ca="1">IFERROR(__xludf.DUMMYFUNCTION("""COMPUTED_VALUE"""),"〇")</f>
        <v>〇</v>
      </c>
      <c r="M2234" s="1" t="str">
        <f ca="1">IFERROR(__xludf.DUMMYFUNCTION("""COMPUTED_VALUE"""),"〇")</f>
        <v>〇</v>
      </c>
      <c r="N2234" s="1" t="str">
        <f ca="1">IFERROR(__xludf.DUMMYFUNCTION("""COMPUTED_VALUE"""),"SNS8")</f>
        <v>SNS8</v>
      </c>
      <c r="O2234" s="1"/>
      <c r="P2234" s="1"/>
    </row>
    <row r="2235" spans="1:16" ht="14.25" customHeight="1" x14ac:dyDescent="0.25">
      <c r="A2235" s="1"/>
      <c r="B2235" s="1">
        <f ca="1"/>
        <v>2223</v>
      </c>
      <c r="C2235" s="1">
        <f ca="1">IFERROR(__xludf.DUMMYFUNCTION("""COMPUTED_VALUE"""),2023)</f>
        <v>2023</v>
      </c>
      <c r="D2235" s="1">
        <f ca="1">IFERROR(__xludf.DUMMYFUNCTION("""COMPUTED_VALUE"""),10309)</f>
        <v>10309</v>
      </c>
      <c r="E2235" s="1" t="str">
        <f ca="1">IFERROR(__xludf.DUMMYFUNCTION("""COMPUTED_VALUE"""),"Zeitschrift für Epileptologie")</f>
        <v>Zeitschrift für Epileptologie</v>
      </c>
      <c r="F2235" s="1" t="str">
        <f ca="1">IFERROR(__xludf.DUMMYFUNCTION("""COMPUTED_VALUE"""),"1610-0646")</f>
        <v>1610-0646</v>
      </c>
      <c r="G2235" s="1" t="str">
        <f ca="1">IFERROR(__xludf.DUMMYFUNCTION("""COMPUTED_VALUE"""),"1617-6782")</f>
        <v>1617-6782</v>
      </c>
      <c r="H2235" s="27" t="str">
        <f ca="1">IFERROR(__xludf.DUMMYFUNCTION("""COMPUTED_VALUE"""),"https://link.springer.com/journal/10309")</f>
        <v>https://link.springer.com/journal/10309</v>
      </c>
      <c r="I2235" s="1" t="str">
        <f ca="1">IFERROR(__xludf.DUMMYFUNCTION("""COMPUTED_VALUE"""),"SpringerMedizin")</f>
        <v>SpringerMedizin</v>
      </c>
      <c r="J2235" s="1">
        <f ca="1">IFERROR(__xludf.DUMMYFUNCTION("""COMPUTED_VALUE"""),2003)</f>
        <v>2003</v>
      </c>
      <c r="K2235" s="1" t="str">
        <f ca="1">IFERROR(__xludf.DUMMYFUNCTION("""COMPUTED_VALUE"""),"Medicine")</f>
        <v>Medicine</v>
      </c>
      <c r="L2235" s="1" t="str">
        <f ca="1">IFERROR(__xludf.DUMMYFUNCTION("""COMPUTED_VALUE"""),"〇")</f>
        <v>〇</v>
      </c>
      <c r="M2235" s="1" t="str">
        <f ca="1">IFERROR(__xludf.DUMMYFUNCTION("""COMPUTED_VALUE"""),"〇")</f>
        <v>〇</v>
      </c>
      <c r="N2235" s="1"/>
      <c r="O2235" s="1"/>
      <c r="P2235" s="1"/>
    </row>
    <row r="2236" spans="1:16" ht="14.25" customHeight="1" x14ac:dyDescent="0.25">
      <c r="A2236" s="1"/>
      <c r="B2236" s="1">
        <f ca="1"/>
        <v>2224</v>
      </c>
      <c r="C2236" s="1">
        <f ca="1">IFERROR(__xludf.DUMMYFUNCTION("""COMPUTED_VALUE"""),2023)</f>
        <v>2023</v>
      </c>
      <c r="D2236" s="1">
        <f ca="1">IFERROR(__xludf.DUMMYFUNCTION("""COMPUTED_VALUE"""),11618)</f>
        <v>11618</v>
      </c>
      <c r="E2236" s="1" t="str">
        <f ca="1">IFERROR(__xludf.DUMMYFUNCTION("""COMPUTED_VALUE"""),"Zeitschrift für Erziehungswissenschaft")</f>
        <v>Zeitschrift für Erziehungswissenschaft</v>
      </c>
      <c r="F2236" s="1" t="str">
        <f ca="1">IFERROR(__xludf.DUMMYFUNCTION("""COMPUTED_VALUE"""),"1862-5215")</f>
        <v>1862-5215</v>
      </c>
      <c r="G2236" s="1" t="str">
        <f ca="1">IFERROR(__xludf.DUMMYFUNCTION("""COMPUTED_VALUE"""),"1434-663X")</f>
        <v>1434-663X</v>
      </c>
      <c r="H2236" s="27" t="str">
        <f ca="1">IFERROR(__xludf.DUMMYFUNCTION("""COMPUTED_VALUE"""),"https://link.springer.com/journal/11618")</f>
        <v>https://link.springer.com/journal/11618</v>
      </c>
      <c r="I2236" s="1" t="str">
        <f ca="1">IFERROR(__xludf.DUMMYFUNCTION("""COMPUTED_VALUE"""),"Springer VS")</f>
        <v>Springer VS</v>
      </c>
      <c r="J2236" s="1">
        <f ca="1">IFERROR(__xludf.DUMMYFUNCTION("""COMPUTED_VALUE"""),2000)</f>
        <v>2000</v>
      </c>
      <c r="K2236" s="1" t="str">
        <f ca="1">IFERROR(__xludf.DUMMYFUNCTION("""COMPUTED_VALUE"""),"Education")</f>
        <v>Education</v>
      </c>
      <c r="L2236" s="1" t="str">
        <f ca="1">IFERROR(__xludf.DUMMYFUNCTION("""COMPUTED_VALUE"""),"〇")</f>
        <v>〇</v>
      </c>
      <c r="M2236" s="1" t="str">
        <f ca="1">IFERROR(__xludf.DUMMYFUNCTION("""COMPUTED_VALUE"""),"〇")</f>
        <v>〇</v>
      </c>
      <c r="N2236" s="1" t="str">
        <f ca="1">IFERROR(__xludf.DUMMYFUNCTION("""COMPUTED_VALUE"""),"SNS7")</f>
        <v>SNS7</v>
      </c>
      <c r="O2236" s="1"/>
      <c r="P2236" s="1"/>
    </row>
    <row r="2237" spans="1:16" ht="14.25" customHeight="1" x14ac:dyDescent="0.25">
      <c r="A2237" s="1"/>
      <c r="B2237" s="1">
        <f ca="1"/>
        <v>2225</v>
      </c>
      <c r="C2237" s="1">
        <f ca="1">IFERROR(__xludf.DUMMYFUNCTION("""COMPUTED_VALUE"""),2023)</f>
        <v>2023</v>
      </c>
      <c r="D2237" s="1">
        <f ca="1">IFERROR(__xludf.DUMMYFUNCTION("""COMPUTED_VALUE"""),42048)</f>
        <v>42048</v>
      </c>
      <c r="E2237" s="1" t="str">
        <f ca="1">IFERROR(__xludf.DUMMYFUNCTION("""COMPUTED_VALUE"""),"Zeitschrift für Ethik und Moralphilosophie")</f>
        <v>Zeitschrift für Ethik und Moralphilosophie</v>
      </c>
      <c r="F2237" s="1" t="str">
        <f ca="1">IFERROR(__xludf.DUMMYFUNCTION("""COMPUTED_VALUE"""),"2522-0071")</f>
        <v>2522-0071</v>
      </c>
      <c r="G2237" s="1"/>
      <c r="H2237" s="27" t="str">
        <f ca="1">IFERROR(__xludf.DUMMYFUNCTION("""COMPUTED_VALUE"""),"https://link.springer.com/journal/42048")</f>
        <v>https://link.springer.com/journal/42048</v>
      </c>
      <c r="I2237" s="1" t="str">
        <f ca="1">IFERROR(__xludf.DUMMYFUNCTION("""COMPUTED_VALUE"""),"J.B. Metzler")</f>
        <v>J.B. Metzler</v>
      </c>
      <c r="J2237" s="1">
        <f ca="1">IFERROR(__xludf.DUMMYFUNCTION("""COMPUTED_VALUE"""),2018)</f>
        <v>2018</v>
      </c>
      <c r="K2237" s="1" t="str">
        <f ca="1">IFERROR(__xludf.DUMMYFUNCTION("""COMPUTED_VALUE"""),"Education")</f>
        <v>Education</v>
      </c>
      <c r="L2237" s="1"/>
      <c r="M2237" s="1"/>
      <c r="N2237" s="1" t="str">
        <f ca="1">IFERROR(__xludf.DUMMYFUNCTION("""COMPUTED_VALUE"""),"SNS18")</f>
        <v>SNS18</v>
      </c>
      <c r="O2237" s="1"/>
      <c r="P2237" s="1"/>
    </row>
    <row r="2238" spans="1:16" ht="14.25" customHeight="1" x14ac:dyDescent="0.25">
      <c r="A2238" s="1"/>
      <c r="B2238" s="1">
        <f ca="1"/>
        <v>2226</v>
      </c>
      <c r="C2238" s="1">
        <f ca="1">IFERROR(__xludf.DUMMYFUNCTION("""COMPUTED_VALUE"""),2023)</f>
        <v>2023</v>
      </c>
      <c r="D2238" s="1">
        <f ca="1">IFERROR(__xludf.DUMMYFUNCTION("""COMPUTED_VALUE"""),42597)</f>
        <v>42597</v>
      </c>
      <c r="E2238" s="1" t="str">
        <f ca="1">IFERROR(__xludf.DUMMYFUNCTION("""COMPUTED_VALUE"""),"Zeitschrift für Friedens- und Konfliktforschung")</f>
        <v>Zeitschrift für Friedens- und Konfliktforschung</v>
      </c>
      <c r="F2238" s="1" t="str">
        <f ca="1">IFERROR(__xludf.DUMMYFUNCTION("""COMPUTED_VALUE"""),"2524-6976")</f>
        <v>2524-6976</v>
      </c>
      <c r="G2238" s="1" t="str">
        <f ca="1">IFERROR(__xludf.DUMMYFUNCTION("""COMPUTED_VALUE"""),"2192-1741")</f>
        <v>2192-1741</v>
      </c>
      <c r="H2238" s="27" t="str">
        <f ca="1">IFERROR(__xludf.DUMMYFUNCTION("""COMPUTED_VALUE"""),"https://link.springer.com/journal/42597")</f>
        <v>https://link.springer.com/journal/42597</v>
      </c>
      <c r="I2238" s="1" t="str">
        <f ca="1">IFERROR(__xludf.DUMMYFUNCTION("""COMPUTED_VALUE"""),"Springer VS")</f>
        <v>Springer VS</v>
      </c>
      <c r="J2238" s="1">
        <f ca="1">IFERROR(__xludf.DUMMYFUNCTION("""COMPUTED_VALUE"""),2019)</f>
        <v>2019</v>
      </c>
      <c r="K2238" s="1" t="str">
        <f ca="1">IFERROR(__xludf.DUMMYFUNCTION("""COMPUTED_VALUE"""),"Political Science and International Studies")</f>
        <v>Political Science and International Studies</v>
      </c>
      <c r="L2238" s="1" t="str">
        <f ca="1">IFERROR(__xludf.DUMMYFUNCTION("""COMPUTED_VALUE"""),"〇")</f>
        <v>〇</v>
      </c>
      <c r="M2238" s="1"/>
      <c r="N2238" s="1" t="str">
        <f ca="1">IFERROR(__xludf.DUMMYFUNCTION("""COMPUTED_VALUE"""),"TO19")</f>
        <v>TO19</v>
      </c>
      <c r="O2238" s="1"/>
      <c r="P2238" s="1"/>
    </row>
    <row r="2239" spans="1:16" ht="14.25" customHeight="1" x14ac:dyDescent="0.25">
      <c r="A2239" s="1"/>
      <c r="B2239" s="1">
        <f ca="1"/>
        <v>2227</v>
      </c>
      <c r="C2239" s="1">
        <f ca="1">IFERROR(__xludf.DUMMYFUNCTION("""COMPUTED_VALUE"""),2023)</f>
        <v>2023</v>
      </c>
      <c r="D2239" s="1">
        <f ca="1">IFERROR(__xludf.DUMMYFUNCTION("""COMPUTED_VALUE"""),391)</f>
        <v>391</v>
      </c>
      <c r="E2239" s="1" t="str">
        <f ca="1">IFERROR(__xludf.DUMMYFUNCTION("""COMPUTED_VALUE"""),"Zeitschrift für Gerontologie und Geriatrie")</f>
        <v>Zeitschrift für Gerontologie und Geriatrie</v>
      </c>
      <c r="F2239" s="1" t="str">
        <f ca="1">IFERROR(__xludf.DUMMYFUNCTION("""COMPUTED_VALUE"""),"1435-1269")</f>
        <v>1435-1269</v>
      </c>
      <c r="G2239" s="1" t="str">
        <f ca="1">IFERROR(__xludf.DUMMYFUNCTION("""COMPUTED_VALUE"""),"0948-6704")</f>
        <v>0948-6704</v>
      </c>
      <c r="H2239" s="27" t="str">
        <f ca="1">IFERROR(__xludf.DUMMYFUNCTION("""COMPUTED_VALUE"""),"https://link.springer.com/journal/391")</f>
        <v>https://link.springer.com/journal/391</v>
      </c>
      <c r="I2239" s="1" t="str">
        <f ca="1">IFERROR(__xludf.DUMMYFUNCTION("""COMPUTED_VALUE"""),"SpringerMedizin")</f>
        <v>SpringerMedizin</v>
      </c>
      <c r="J2239" s="1">
        <f ca="1">IFERROR(__xludf.DUMMYFUNCTION("""COMPUTED_VALUE"""),2000)</f>
        <v>2000</v>
      </c>
      <c r="K2239" s="1" t="str">
        <f ca="1">IFERROR(__xludf.DUMMYFUNCTION("""COMPUTED_VALUE"""),"Medicine")</f>
        <v>Medicine</v>
      </c>
      <c r="L2239" s="1" t="str">
        <f ca="1">IFERROR(__xludf.DUMMYFUNCTION("""COMPUTED_VALUE"""),"〇")</f>
        <v>〇</v>
      </c>
      <c r="M2239" s="1" t="str">
        <f ca="1">IFERROR(__xludf.DUMMYFUNCTION("""COMPUTED_VALUE"""),"〇")</f>
        <v>〇</v>
      </c>
      <c r="N2239" s="1"/>
      <c r="O2239" s="1"/>
      <c r="P2239" s="1"/>
    </row>
    <row r="2240" spans="1:16" ht="14.25" customHeight="1" x14ac:dyDescent="0.25">
      <c r="A2240" s="1"/>
      <c r="B2240" s="1">
        <f ca="1"/>
        <v>2228</v>
      </c>
      <c r="C2240" s="1">
        <f ca="1">IFERROR(__xludf.DUMMYFUNCTION("""COMPUTED_VALUE"""),2023)</f>
        <v>2023</v>
      </c>
      <c r="D2240" s="1">
        <f ca="1">IFERROR(__xludf.DUMMYFUNCTION("""COMPUTED_VALUE"""),42278)</f>
        <v>42278</v>
      </c>
      <c r="E2240" s="1" t="str">
        <f ca="1">IFERROR(__xludf.DUMMYFUNCTION("""COMPUTED_VALUE"""),"Zeitschrift für Grundschulforschung")</f>
        <v>Zeitschrift für Grundschulforschung</v>
      </c>
      <c r="F2240" s="1" t="str">
        <f ca="1">IFERROR(__xludf.DUMMYFUNCTION("""COMPUTED_VALUE"""),"2523-3181")</f>
        <v>2523-3181</v>
      </c>
      <c r="G2240" s="1" t="str">
        <f ca="1">IFERROR(__xludf.DUMMYFUNCTION("""COMPUTED_VALUE"""),"1865-3553")</f>
        <v>1865-3553</v>
      </c>
      <c r="H2240" s="27" t="str">
        <f ca="1">IFERROR(__xludf.DUMMYFUNCTION("""COMPUTED_VALUE"""),"https://link.springer.com/journal/42278")</f>
        <v>https://link.springer.com/journal/42278</v>
      </c>
      <c r="I2240" s="1" t="str">
        <f ca="1">IFERROR(__xludf.DUMMYFUNCTION("""COMPUTED_VALUE"""),"Springer VS")</f>
        <v>Springer VS</v>
      </c>
      <c r="J2240" s="1">
        <f ca="1">IFERROR(__xludf.DUMMYFUNCTION("""COMPUTED_VALUE"""),2018)</f>
        <v>2018</v>
      </c>
      <c r="K2240" s="1" t="str">
        <f ca="1">IFERROR(__xludf.DUMMYFUNCTION("""COMPUTED_VALUE"""),"Education")</f>
        <v>Education</v>
      </c>
      <c r="L2240" s="1" t="str">
        <f ca="1">IFERROR(__xludf.DUMMYFUNCTION("""COMPUTED_VALUE"""),"〇")</f>
        <v>〇</v>
      </c>
      <c r="M2240" s="1"/>
      <c r="N2240" s="1" t="str">
        <f ca="1">IFERROR(__xludf.DUMMYFUNCTION("""COMPUTED_VALUE"""),"TO18")</f>
        <v>TO18</v>
      </c>
      <c r="O2240" s="1"/>
      <c r="P2240" s="1"/>
    </row>
    <row r="2241" spans="1:16" ht="14.25" customHeight="1" x14ac:dyDescent="0.25">
      <c r="A2241" s="1"/>
      <c r="B2241" s="1">
        <f ca="1"/>
        <v>2229</v>
      </c>
      <c r="C2241" s="1">
        <f ca="1">IFERROR(__xludf.DUMMYFUNCTION("""COMPUTED_VALUE"""),2023)</f>
        <v>2023</v>
      </c>
      <c r="D2241" s="1">
        <f ca="1">IFERROR(__xludf.DUMMYFUNCTION("""COMPUTED_VALUE"""),398)</f>
        <v>398</v>
      </c>
      <c r="E2241" s="1" t="str">
        <f ca="1">IFERROR(__xludf.DUMMYFUNCTION("""COMPUTED_VALUE"""),"Zeitschrift für Herz-,Thorax- und Gefäßchirurgie")</f>
        <v>Zeitschrift für Herz-,Thorax- und Gefäßchirurgie</v>
      </c>
      <c r="F2241" s="1" t="str">
        <f ca="1">IFERROR(__xludf.DUMMYFUNCTION("""COMPUTED_VALUE"""),"1435-1277")</f>
        <v>1435-1277</v>
      </c>
      <c r="G2241" s="1" t="str">
        <f ca="1">IFERROR(__xludf.DUMMYFUNCTION("""COMPUTED_VALUE"""),"0930-9225")</f>
        <v>0930-9225</v>
      </c>
      <c r="H2241" s="27" t="str">
        <f ca="1">IFERROR(__xludf.DUMMYFUNCTION("""COMPUTED_VALUE"""),"https://link.springer.com/journal/398")</f>
        <v>https://link.springer.com/journal/398</v>
      </c>
      <c r="I2241" s="1" t="str">
        <f ca="1">IFERROR(__xludf.DUMMYFUNCTION("""COMPUTED_VALUE"""),"SpringerMedizin")</f>
        <v>SpringerMedizin</v>
      </c>
      <c r="J2241" s="1">
        <f ca="1">IFERROR(__xludf.DUMMYFUNCTION("""COMPUTED_VALUE"""),2000)</f>
        <v>2000</v>
      </c>
      <c r="K2241" s="1" t="str">
        <f ca="1">IFERROR(__xludf.DUMMYFUNCTION("""COMPUTED_VALUE"""),"Medicine")</f>
        <v>Medicine</v>
      </c>
      <c r="L2241" s="1" t="str">
        <f ca="1">IFERROR(__xludf.DUMMYFUNCTION("""COMPUTED_VALUE"""),"〇")</f>
        <v>〇</v>
      </c>
      <c r="M2241" s="1" t="str">
        <f ca="1">IFERROR(__xludf.DUMMYFUNCTION("""COMPUTED_VALUE"""),"〇")</f>
        <v>〇</v>
      </c>
      <c r="N2241" s="1"/>
      <c r="O2241" s="1"/>
      <c r="P2241" s="1"/>
    </row>
    <row r="2242" spans="1:16" ht="14.25" customHeight="1" x14ac:dyDescent="0.25">
      <c r="A2242" s="1"/>
      <c r="B2242" s="1">
        <f ca="1"/>
        <v>2230</v>
      </c>
      <c r="C2242" s="1">
        <f ca="1">IFERROR(__xludf.DUMMYFUNCTION("""COMPUTED_VALUE"""),2023)</f>
        <v>2023</v>
      </c>
      <c r="D2242" s="1">
        <f ca="1">IFERROR(__xludf.DUMMYFUNCTION("""COMPUTED_VALUE"""),41244)</f>
        <v>41244</v>
      </c>
      <c r="E2242" s="1" t="str">
        <f ca="1">IFERROR(__xludf.DUMMYFUNCTION("""COMPUTED_VALUE"""),"Zeitschrift für Literaturwissenschaft und Linguistik")</f>
        <v>Zeitschrift für Literaturwissenschaft und Linguistik</v>
      </c>
      <c r="F2242" s="1" t="str">
        <f ca="1">IFERROR(__xludf.DUMMYFUNCTION("""COMPUTED_VALUE"""),"2365-953X")</f>
        <v>2365-953X</v>
      </c>
      <c r="G2242" s="1" t="str">
        <f ca="1">IFERROR(__xludf.DUMMYFUNCTION("""COMPUTED_VALUE"""),"0049-8653")</f>
        <v>0049-8653</v>
      </c>
      <c r="H2242" s="27" t="str">
        <f ca="1">IFERROR(__xludf.DUMMYFUNCTION("""COMPUTED_VALUE"""),"https://link.springer.com/journal/41244")</f>
        <v>https://link.springer.com/journal/41244</v>
      </c>
      <c r="I2242" s="1" t="str">
        <f ca="1">IFERROR(__xludf.DUMMYFUNCTION("""COMPUTED_VALUE"""),"J.B. Metzler")</f>
        <v>J.B. Metzler</v>
      </c>
      <c r="J2242" s="1">
        <f ca="1">IFERROR(__xludf.DUMMYFUNCTION("""COMPUTED_VALUE"""),2000)</f>
        <v>2000</v>
      </c>
      <c r="K2242" s="1" t="str">
        <f ca="1">IFERROR(__xludf.DUMMYFUNCTION("""COMPUTED_VALUE"""),"Literature, Cultural and Media Studies")</f>
        <v>Literature, Cultural and Media Studies</v>
      </c>
      <c r="L2242" s="1" t="str">
        <f ca="1">IFERROR(__xludf.DUMMYFUNCTION("""COMPUTED_VALUE"""),"〇")</f>
        <v>〇</v>
      </c>
      <c r="M2242" s="1"/>
      <c r="N2242" s="1" t="str">
        <f ca="1">IFERROR(__xludf.DUMMYFUNCTION("""COMPUTED_VALUE"""),"TO16")</f>
        <v>TO16</v>
      </c>
      <c r="O2242" s="1"/>
      <c r="P2242" s="1"/>
    </row>
    <row r="2243" spans="1:16" ht="14.25" customHeight="1" x14ac:dyDescent="0.25">
      <c r="A2243" s="1"/>
      <c r="B2243" s="1">
        <f ca="1"/>
        <v>2231</v>
      </c>
      <c r="C2243" s="1">
        <f ca="1">IFERROR(__xludf.DUMMYFUNCTION("""COMPUTED_VALUE"""),2023)</f>
        <v>2023</v>
      </c>
      <c r="D2243" s="1">
        <f ca="1">IFERROR(__xludf.DUMMYFUNCTION("""COMPUTED_VALUE"""),41358)</f>
        <v>41358</v>
      </c>
      <c r="E2243" s="1" t="str">
        <f ca="1">IFERROR(__xludf.DUMMYFUNCTION("""COMPUTED_VALUE"""),"Zeitschrift für Politikwissenschaft")</f>
        <v>Zeitschrift für Politikwissenschaft</v>
      </c>
      <c r="F2243" s="1" t="str">
        <f ca="1">IFERROR(__xludf.DUMMYFUNCTION("""COMPUTED_VALUE"""),"2366-2638")</f>
        <v>2366-2638</v>
      </c>
      <c r="G2243" s="1" t="str">
        <f ca="1">IFERROR(__xludf.DUMMYFUNCTION("""COMPUTED_VALUE"""),"1430-6387")</f>
        <v>1430-6387</v>
      </c>
      <c r="H2243" s="27" t="str">
        <f ca="1">IFERROR(__xludf.DUMMYFUNCTION("""COMPUTED_VALUE"""),"https://link.springer.com/journal/41358")</f>
        <v>https://link.springer.com/journal/41358</v>
      </c>
      <c r="I2243" s="1" t="str">
        <f ca="1">IFERROR(__xludf.DUMMYFUNCTION("""COMPUTED_VALUE"""),"Springer VS")</f>
        <v>Springer VS</v>
      </c>
      <c r="J2243" s="1">
        <f ca="1">IFERROR(__xludf.DUMMYFUNCTION("""COMPUTED_VALUE"""),2016)</f>
        <v>2016</v>
      </c>
      <c r="K2243" s="1" t="str">
        <f ca="1">IFERROR(__xludf.DUMMYFUNCTION("""COMPUTED_VALUE"""),"Political Science and International Studies")</f>
        <v>Political Science and International Studies</v>
      </c>
      <c r="L2243" s="1" t="str">
        <f ca="1">IFERROR(__xludf.DUMMYFUNCTION("""COMPUTED_VALUE"""),"〇")</f>
        <v>〇</v>
      </c>
      <c r="M2243" s="1"/>
      <c r="N2243" s="1" t="str">
        <f ca="1">IFERROR(__xludf.DUMMYFUNCTION("""COMPUTED_VALUE"""),"TO16")</f>
        <v>TO16</v>
      </c>
      <c r="O2243" s="1"/>
      <c r="P2243" s="1"/>
    </row>
    <row r="2244" spans="1:16" ht="14.25" customHeight="1" x14ac:dyDescent="0.25">
      <c r="A2244" s="1"/>
      <c r="B2244" s="1">
        <f ca="1"/>
        <v>2232</v>
      </c>
      <c r="C2244" s="1">
        <f ca="1">IFERROR(__xludf.DUMMYFUNCTION("""COMPUTED_VALUE"""),2023)</f>
        <v>2023</v>
      </c>
      <c r="D2244" s="1">
        <f ca="1">IFERROR(__xludf.DUMMYFUNCTION("""COMPUTED_VALUE"""),11620)</f>
        <v>11620</v>
      </c>
      <c r="E2244" s="1" t="str">
        <f ca="1">IFERROR(__xludf.DUMMYFUNCTION("""COMPUTED_VALUE"""),"Zeitschrift für Psychodrama und Soziometrie")</f>
        <v>Zeitschrift für Psychodrama und Soziometrie</v>
      </c>
      <c r="F2244" s="1" t="str">
        <f ca="1">IFERROR(__xludf.DUMMYFUNCTION("""COMPUTED_VALUE"""),"1862-2526")</f>
        <v>1862-2526</v>
      </c>
      <c r="G2244" s="1" t="str">
        <f ca="1">IFERROR(__xludf.DUMMYFUNCTION("""COMPUTED_VALUE"""),"1619-5507")</f>
        <v>1619-5507</v>
      </c>
      <c r="H2244" s="27" t="str">
        <f ca="1">IFERROR(__xludf.DUMMYFUNCTION("""COMPUTED_VALUE"""),"https://link.springer.com/journal/11620")</f>
        <v>https://link.springer.com/journal/11620</v>
      </c>
      <c r="I2244" s="1" t="str">
        <f ca="1">IFERROR(__xludf.DUMMYFUNCTION("""COMPUTED_VALUE"""),"Springer")</f>
        <v>Springer</v>
      </c>
      <c r="J2244" s="1">
        <f ca="1">IFERROR(__xludf.DUMMYFUNCTION("""COMPUTED_VALUE"""),2002)</f>
        <v>2002</v>
      </c>
      <c r="K2244" s="1" t="str">
        <f ca="1">IFERROR(__xludf.DUMMYFUNCTION("""COMPUTED_VALUE"""),"Behavioral Science and Psychology")</f>
        <v>Behavioral Science and Psychology</v>
      </c>
      <c r="L2244" s="1" t="str">
        <f ca="1">IFERROR(__xludf.DUMMYFUNCTION("""COMPUTED_VALUE"""),"〇")</f>
        <v>〇</v>
      </c>
      <c r="M2244" s="1" t="str">
        <f ca="1">IFERROR(__xludf.DUMMYFUNCTION("""COMPUTED_VALUE"""),"〇")</f>
        <v>〇</v>
      </c>
      <c r="N2244" s="1" t="str">
        <f ca="1">IFERROR(__xludf.DUMMYFUNCTION("""COMPUTED_VALUE"""),"SNS7")</f>
        <v>SNS7</v>
      </c>
      <c r="O2244" s="1"/>
      <c r="P2244" s="1"/>
    </row>
    <row r="2245" spans="1:16" ht="14.25" customHeight="1" x14ac:dyDescent="0.25">
      <c r="A2245" s="1"/>
      <c r="B2245" s="1">
        <f ca="1"/>
        <v>2233</v>
      </c>
      <c r="C2245" s="1">
        <f ca="1">IFERROR(__xludf.DUMMYFUNCTION("""COMPUTED_VALUE"""),2023)</f>
        <v>2023</v>
      </c>
      <c r="D2245" s="1">
        <f ca="1">IFERROR(__xludf.DUMMYFUNCTION("""COMPUTED_VALUE"""),41682)</f>
        <v>41682</v>
      </c>
      <c r="E2245" s="1" t="str">
        <f ca="1">IFERROR(__xludf.DUMMYFUNCTION("""COMPUTED_VALUE"""),"Zeitschrift für Religion, Gesellschaft und Politik")</f>
        <v>Zeitschrift für Religion, Gesellschaft und Politik</v>
      </c>
      <c r="F2245" s="1" t="str">
        <f ca="1">IFERROR(__xludf.DUMMYFUNCTION("""COMPUTED_VALUE"""),"2510-1226")</f>
        <v>2510-1226</v>
      </c>
      <c r="G2245" s="1"/>
      <c r="H2245" s="27" t="str">
        <f ca="1">IFERROR(__xludf.DUMMYFUNCTION("""COMPUTED_VALUE"""),"https://link.springer.com/journal/41682")</f>
        <v>https://link.springer.com/journal/41682</v>
      </c>
      <c r="I2245" s="1" t="str">
        <f ca="1">IFERROR(__xludf.DUMMYFUNCTION("""COMPUTED_VALUE"""),"Springer VS")</f>
        <v>Springer VS</v>
      </c>
      <c r="J2245" s="1">
        <f ca="1">IFERROR(__xludf.DUMMYFUNCTION("""COMPUTED_VALUE"""),2017)</f>
        <v>2017</v>
      </c>
      <c r="K2245" s="1" t="str">
        <f ca="1">IFERROR(__xludf.DUMMYFUNCTION("""COMPUTED_VALUE"""),"Social Sciences")</f>
        <v>Social Sciences</v>
      </c>
      <c r="L2245" s="1"/>
      <c r="M2245" s="1"/>
      <c r="N2245" s="1" t="str">
        <f ca="1">IFERROR(__xludf.DUMMYFUNCTION("""COMPUTED_VALUE"""),"SNS17")</f>
        <v>SNS17</v>
      </c>
      <c r="O2245" s="1"/>
      <c r="P2245" s="1"/>
    </row>
    <row r="2246" spans="1:16" ht="14.25" customHeight="1" x14ac:dyDescent="0.25">
      <c r="A2246" s="1"/>
      <c r="B2246" s="1">
        <f ca="1"/>
        <v>2234</v>
      </c>
      <c r="C2246" s="1">
        <f ca="1">IFERROR(__xludf.DUMMYFUNCTION("""COMPUTED_VALUE"""),2023)</f>
        <v>2023</v>
      </c>
      <c r="D2246" s="1">
        <f ca="1">IFERROR(__xludf.DUMMYFUNCTION("""COMPUTED_VALUE"""),393)</f>
        <v>393</v>
      </c>
      <c r="E2246" s="1" t="str">
        <f ca="1">IFERROR(__xludf.DUMMYFUNCTION("""COMPUTED_VALUE"""),"Zeitschrift für Rheumatologie")</f>
        <v>Zeitschrift für Rheumatologie</v>
      </c>
      <c r="F2246" s="1" t="str">
        <f ca="1">IFERROR(__xludf.DUMMYFUNCTION("""COMPUTED_VALUE"""),"1435-1250")</f>
        <v>1435-1250</v>
      </c>
      <c r="G2246" s="1" t="str">
        <f ca="1">IFERROR(__xludf.DUMMYFUNCTION("""COMPUTED_VALUE"""),"0340-1855")</f>
        <v>0340-1855</v>
      </c>
      <c r="H2246" s="27" t="str">
        <f ca="1">IFERROR(__xludf.DUMMYFUNCTION("""COMPUTED_VALUE"""),"https://link.springer.com/journal/393")</f>
        <v>https://link.springer.com/journal/393</v>
      </c>
      <c r="I2246" s="1" t="str">
        <f ca="1">IFERROR(__xludf.DUMMYFUNCTION("""COMPUTED_VALUE"""),"SpringerMedizin")</f>
        <v>SpringerMedizin</v>
      </c>
      <c r="J2246" s="1">
        <f ca="1">IFERROR(__xludf.DUMMYFUNCTION("""COMPUTED_VALUE"""),2000)</f>
        <v>2000</v>
      </c>
      <c r="K2246" s="1" t="str">
        <f ca="1">IFERROR(__xludf.DUMMYFUNCTION("""COMPUTED_VALUE"""),"Medicine")</f>
        <v>Medicine</v>
      </c>
      <c r="L2246" s="1" t="str">
        <f ca="1">IFERROR(__xludf.DUMMYFUNCTION("""COMPUTED_VALUE"""),"〇")</f>
        <v>〇</v>
      </c>
      <c r="M2246" s="1" t="str">
        <f ca="1">IFERROR(__xludf.DUMMYFUNCTION("""COMPUTED_VALUE"""),"〇")</f>
        <v>〇</v>
      </c>
      <c r="N2246" s="1"/>
      <c r="O2246" s="1"/>
      <c r="P2246" s="1"/>
    </row>
    <row r="2247" spans="1:16" ht="14.25" customHeight="1" x14ac:dyDescent="0.25">
      <c r="A2247" s="1"/>
      <c r="B2247" s="1">
        <f ca="1"/>
        <v>2235</v>
      </c>
      <c r="C2247" s="1">
        <f ca="1">IFERROR(__xludf.DUMMYFUNCTION("""COMPUTED_VALUE"""),2023)</f>
        <v>2023</v>
      </c>
      <c r="D2247" s="1">
        <f ca="1">IFERROR(__xludf.DUMMYFUNCTION("""COMPUTED_VALUE"""),12286)</f>
        <v>12286</v>
      </c>
      <c r="E2247" s="1" t="str">
        <f ca="1">IFERROR(__xludf.DUMMYFUNCTION("""COMPUTED_VALUE"""),"Zeitschrift für Vergleichende Politikwissenschaft")</f>
        <v>Zeitschrift für Vergleichende Politikwissenschaft</v>
      </c>
      <c r="F2247" s="1" t="str">
        <f ca="1">IFERROR(__xludf.DUMMYFUNCTION("""COMPUTED_VALUE"""),"1865-2654")</f>
        <v>1865-2654</v>
      </c>
      <c r="G2247" s="1"/>
      <c r="H2247" s="27" t="str">
        <f ca="1">IFERROR(__xludf.DUMMYFUNCTION("""COMPUTED_VALUE"""),"https://link.springer.com/journal/12286")</f>
        <v>https://link.springer.com/journal/12286</v>
      </c>
      <c r="I2247" s="1" t="str">
        <f ca="1">IFERROR(__xludf.DUMMYFUNCTION("""COMPUTED_VALUE"""),"Springer VS")</f>
        <v>Springer VS</v>
      </c>
      <c r="J2247" s="1">
        <f ca="1">IFERROR(__xludf.DUMMYFUNCTION("""COMPUTED_VALUE"""),2007)</f>
        <v>2007</v>
      </c>
      <c r="K2247" s="1" t="str">
        <f ca="1">IFERROR(__xludf.DUMMYFUNCTION("""COMPUTED_VALUE"""),"Political Science and International Studies")</f>
        <v>Political Science and International Studies</v>
      </c>
      <c r="L2247" s="1"/>
      <c r="M2247" s="1" t="str">
        <f ca="1">IFERROR(__xludf.DUMMYFUNCTION("""COMPUTED_VALUE"""),"〇")</f>
        <v>〇</v>
      </c>
      <c r="N2247" s="1" t="str">
        <f ca="1">IFERROR(__xludf.DUMMYFUNCTION("""COMPUTED_VALUE"""),"SNS8")</f>
        <v>SNS8</v>
      </c>
      <c r="O2247" s="1"/>
      <c r="P2247" s="1"/>
    </row>
    <row r="2248" spans="1:16" ht="14.25" customHeight="1" x14ac:dyDescent="0.25">
      <c r="A2248" s="1"/>
      <c r="B2248" s="1">
        <f ca="1"/>
        <v>2236</v>
      </c>
      <c r="C2248" s="1">
        <f ca="1">IFERROR(__xludf.DUMMYFUNCTION("""COMPUTED_VALUE"""),2023)</f>
        <v>2023</v>
      </c>
      <c r="D2248" s="1">
        <f ca="1">IFERROR(__xludf.DUMMYFUNCTION("""COMPUTED_VALUE"""),40664)</f>
        <v>40664</v>
      </c>
      <c r="E2248" s="1" t="str">
        <f ca="1">IFERROR(__xludf.DUMMYFUNCTION("""COMPUTED_VALUE"""),"Zentralblatt für Arbeitsmedizin, Arbeitsschutz und Ergonomie")</f>
        <v>Zentralblatt für Arbeitsmedizin, Arbeitsschutz und Ergonomie</v>
      </c>
      <c r="F2248" s="1" t="str">
        <f ca="1">IFERROR(__xludf.DUMMYFUNCTION("""COMPUTED_VALUE"""),"2198-0713")</f>
        <v>2198-0713</v>
      </c>
      <c r="G2248" s="1" t="str">
        <f ca="1">IFERROR(__xludf.DUMMYFUNCTION("""COMPUTED_VALUE"""),"0944-2502")</f>
        <v>0944-2502</v>
      </c>
      <c r="H2248" s="27" t="str">
        <f ca="1">IFERROR(__xludf.DUMMYFUNCTION("""COMPUTED_VALUE"""),"https://link.springer.com/journal/40664")</f>
        <v>https://link.springer.com/journal/40664</v>
      </c>
      <c r="I2248" s="1" t="str">
        <f ca="1">IFERROR(__xludf.DUMMYFUNCTION("""COMPUTED_VALUE"""),"Springer")</f>
        <v>Springer</v>
      </c>
      <c r="J2248" s="1">
        <f ca="1">IFERROR(__xludf.DUMMYFUNCTION("""COMPUTED_VALUE"""),2007)</f>
        <v>2007</v>
      </c>
      <c r="K2248" s="1" t="str">
        <f ca="1">IFERROR(__xludf.DUMMYFUNCTION("""COMPUTED_VALUE"""),"Medicine")</f>
        <v>Medicine</v>
      </c>
      <c r="L2248" s="1" t="str">
        <f ca="1">IFERROR(__xludf.DUMMYFUNCTION("""COMPUTED_VALUE"""),"〇")</f>
        <v>〇</v>
      </c>
      <c r="M2248" s="1"/>
      <c r="N2248" s="1" t="str">
        <f ca="1">IFERROR(__xludf.DUMMYFUNCTION("""COMPUTED_VALUE"""),"TO14")</f>
        <v>TO14</v>
      </c>
      <c r="O2248" s="1"/>
      <c r="P2248" s="1"/>
    </row>
    <row r="2249" spans="1:16" ht="14.25" customHeight="1" x14ac:dyDescent="0.25">
      <c r="A2249" s="1"/>
      <c r="B2249" s="1">
        <f ca="1"/>
        <v>2237</v>
      </c>
      <c r="C2249" s="1">
        <f ca="1">IFERROR(__xludf.DUMMYFUNCTION("""COMPUTED_VALUE"""),2023)</f>
        <v>2023</v>
      </c>
      <c r="D2249" s="1">
        <f ca="1">IFERROR(__xludf.DUMMYFUNCTION("""COMPUTED_VALUE"""),435)</f>
        <v>435</v>
      </c>
      <c r="E2249" s="1" t="str">
        <f ca="1">IFERROR(__xludf.DUMMYFUNCTION("""COMPUTED_VALUE"""),"Zoomorphology")</f>
        <v>Zoomorphology</v>
      </c>
      <c r="F2249" s="1" t="str">
        <f ca="1">IFERROR(__xludf.DUMMYFUNCTION("""COMPUTED_VALUE"""),"1432-234X")</f>
        <v>1432-234X</v>
      </c>
      <c r="G2249" s="1" t="str">
        <f ca="1">IFERROR(__xludf.DUMMYFUNCTION("""COMPUTED_VALUE"""),"0720-213X")</f>
        <v>0720-213X</v>
      </c>
      <c r="H2249" s="27" t="str">
        <f ca="1">IFERROR(__xludf.DUMMYFUNCTION("""COMPUTED_VALUE"""),"https://link.springer.com/journal/435")</f>
        <v>https://link.springer.com/journal/435</v>
      </c>
      <c r="I2249" s="1" t="str">
        <f ca="1">IFERROR(__xludf.DUMMYFUNCTION("""COMPUTED_VALUE"""),"Springer")</f>
        <v>Springer</v>
      </c>
      <c r="J2249" s="1">
        <f ca="1">IFERROR(__xludf.DUMMYFUNCTION("""COMPUTED_VALUE"""),2000)</f>
        <v>2000</v>
      </c>
      <c r="K2249" s="1" t="str">
        <f ca="1">IFERROR(__xludf.DUMMYFUNCTION("""COMPUTED_VALUE"""),"Biomedical and Life Sciences")</f>
        <v>Biomedical and Life Sciences</v>
      </c>
      <c r="L2249" s="1" t="str">
        <f ca="1">IFERROR(__xludf.DUMMYFUNCTION("""COMPUTED_VALUE"""),"〇")</f>
        <v>〇</v>
      </c>
      <c r="M2249" s="1" t="str">
        <f ca="1">IFERROR(__xludf.DUMMYFUNCTION("""COMPUTED_VALUE"""),"〇")</f>
        <v>〇</v>
      </c>
      <c r="N2249" s="1"/>
      <c r="O2249" s="1"/>
      <c r="P2249" s="1"/>
    </row>
    <row r="2250" spans="1:16" ht="14.25" customHeight="1" x14ac:dyDescent="0.25">
      <c r="A2250" s="1"/>
      <c r="B2250" s="1" t="str">
        <v/>
      </c>
      <c r="C2250" s="1"/>
      <c r="D2250" s="1"/>
      <c r="E2250" s="1"/>
      <c r="F2250" s="1"/>
      <c r="G2250" s="1"/>
      <c r="H2250" s="1"/>
      <c r="I2250" s="1"/>
      <c r="J2250" s="1"/>
      <c r="K2250" s="1"/>
      <c r="L2250" s="1"/>
      <c r="M2250" s="1"/>
      <c r="N2250" s="1"/>
      <c r="O2250" s="1"/>
      <c r="P2250" s="1"/>
    </row>
    <row r="2251" spans="1:16" ht="14.25" customHeight="1" x14ac:dyDescent="0.25">
      <c r="A2251" s="1"/>
      <c r="B2251" s="1" t="str">
        <v/>
      </c>
      <c r="C2251" s="1"/>
      <c r="D2251" s="1"/>
      <c r="E2251" s="1"/>
      <c r="F2251" s="1"/>
      <c r="G2251" s="1"/>
      <c r="H2251" s="1"/>
      <c r="I2251" s="1"/>
      <c r="J2251" s="1"/>
      <c r="K2251" s="1"/>
      <c r="L2251" s="1"/>
      <c r="M2251" s="1"/>
      <c r="N2251" s="1"/>
      <c r="O2251" s="1"/>
      <c r="P2251" s="1"/>
    </row>
    <row r="2252" spans="1:16" ht="14.25" customHeight="1" x14ac:dyDescent="0.25">
      <c r="A2252" s="1"/>
      <c r="B2252" s="1" t="str">
        <v/>
      </c>
      <c r="C2252" s="1"/>
      <c r="D2252" s="1"/>
      <c r="E2252" s="1"/>
      <c r="F2252" s="1"/>
      <c r="G2252" s="1"/>
      <c r="H2252" s="1"/>
      <c r="I2252" s="1"/>
      <c r="J2252" s="1"/>
      <c r="K2252" s="1"/>
      <c r="L2252" s="1"/>
      <c r="M2252" s="1"/>
      <c r="N2252" s="1"/>
      <c r="O2252" s="1"/>
      <c r="P2252" s="1"/>
    </row>
  </sheetData>
  <autoFilter ref="B12:O2249" xr:uid="{00000000-0009-0000-0000-000002000000}"/>
  <phoneticPr fontId="6"/>
  <hyperlinks>
    <hyperlink ref="H13" r:id="rId1" display="https://link.springer.com/journal/13205" xr:uid="{00000000-0004-0000-0200-000000000000}"/>
    <hyperlink ref="H14" r:id="rId2" display="https://link.springer.com/journal/10288" xr:uid="{00000000-0004-0000-0200-000001000000}"/>
    <hyperlink ref="H15" r:id="rId3" display="https://link.springer.com/journal/12249" xr:uid="{00000000-0004-0000-0200-000002000000}"/>
    <hyperlink ref="H16" r:id="rId4" display="https://link.springer.com/journal/261" xr:uid="{00000000-0004-0000-0200-000003000000}"/>
    <hyperlink ref="H17" r:id="rId5" display="https://link.springer.com/journal/12188" xr:uid="{00000000-0004-0000-0200-000004000000}"/>
    <hyperlink ref="H18" r:id="rId6" display="https://link.springer.com/journal/42994" xr:uid="{00000000-0004-0000-0200-000005000000}"/>
    <hyperlink ref="H19" r:id="rId7" display="https://link.springer.com/journal/40596" xr:uid="{00000000-0004-0000-0200-000006000000}"/>
    <hyperlink ref="H20" r:id="rId8" display="https://link.springer.com/journal/769" xr:uid="{00000000-0004-0000-0200-000007000000}"/>
    <hyperlink ref="H21" r:id="rId9" display="https://link.springer.com/journal/11441" xr:uid="{00000000-0004-0000-0200-000008000000}"/>
    <hyperlink ref="H22" r:id="rId10" display="https://link.springer.com/journal/40857" xr:uid="{00000000-0004-0000-0200-000009000000}"/>
    <hyperlink ref="H23" r:id="rId11" display="https://link.springer.com/journal/12136" xr:uid="{00000000-0004-0000-0200-00000A000000}"/>
    <hyperlink ref="H24" r:id="rId12" display="https://link.springer.com/journal/10440" xr:uid="{00000000-0004-0000-0200-00000B000000}"/>
    <hyperlink ref="H25" r:id="rId13" display="https://link.springer.com/journal/10441" xr:uid="{00000000-0004-0000-0200-00000C000000}"/>
    <hyperlink ref="H26" r:id="rId14" display="https://link.springer.com/journal/592" xr:uid="{00000000-0004-0000-0200-00000D000000}"/>
    <hyperlink ref="H27" r:id="rId15" display="https://link.springer.com/journal/10211" xr:uid="{00000000-0004-0000-0200-00000E000000}"/>
    <hyperlink ref="H28" r:id="rId16" display="https://link.springer.com/journal/11631" xr:uid="{00000000-0004-0000-0200-00000F000000}"/>
    <hyperlink ref="H29" r:id="rId17" display="https://link.springer.com/journal/40328" xr:uid="{00000000-0004-0000-0200-000010000000}"/>
    <hyperlink ref="H30" r:id="rId18" display="https://link.springer.com/journal/11600" xr:uid="{00000000-0004-0000-0200-000011000000}"/>
    <hyperlink ref="H31" r:id="rId19" display="https://link.springer.com/journal/11440" xr:uid="{00000000-0004-0000-0200-000012000000}"/>
    <hyperlink ref="H32" r:id="rId20" display="https://link.springer.com/journal/236" xr:uid="{00000000-0004-0000-0200-000013000000}"/>
    <hyperlink ref="H33" r:id="rId21" display="https://link.springer.com/journal/10474" xr:uid="{00000000-0004-0000-0200-000014000000}"/>
    <hyperlink ref="H34" r:id="rId22" display="https://link.springer.com/journal/10473" xr:uid="{00000000-0004-0000-0200-000015000000}"/>
    <hyperlink ref="H35" r:id="rId23" display="https://link.springer.com/journal/10114" xr:uid="{00000000-0004-0000-0200-000016000000}"/>
    <hyperlink ref="H36" r:id="rId24" display="https://link.springer.com/journal/40306" xr:uid="{00000000-0004-0000-0200-000017000000}"/>
    <hyperlink ref="H37" r:id="rId25" display="https://link.springer.com/journal/10255" xr:uid="{00000000-0004-0000-0200-000018000000}"/>
    <hyperlink ref="H38" r:id="rId26" display="https://link.springer.com/journal/707" xr:uid="{00000000-0004-0000-0200-000019000000}"/>
    <hyperlink ref="H39" r:id="rId27" display="https://link.springer.com/journal/10409" xr:uid="{00000000-0004-0000-0200-00001A000000}"/>
    <hyperlink ref="H40" r:id="rId28" display="https://link.springer.com/journal/10338" xr:uid="{00000000-0004-0000-0200-00001B000000}"/>
    <hyperlink ref="H41" r:id="rId29" display="https://link.springer.com/journal/40195" xr:uid="{00000000-0004-0000-0200-00001C000000}"/>
    <hyperlink ref="H42" r:id="rId30" display="https://link.springer.com/journal/701" xr:uid="{00000000-0004-0000-0200-00001D000000}"/>
    <hyperlink ref="H43" r:id="rId31" display="https://link.springer.com/journal/13760" xr:uid="{00000000-0004-0000-0200-00001E000000}"/>
    <hyperlink ref="H44" r:id="rId32" display="https://link.springer.com/journal/401" xr:uid="{00000000-0004-0000-0200-00001F000000}"/>
    <hyperlink ref="H45" r:id="rId33" display="https://link.springer.com/journal/13131" xr:uid="{00000000-0004-0000-0200-000020000000}"/>
    <hyperlink ref="H46" r:id="rId34" display="https://link.springer.com/journal/11686" xr:uid="{00000000-0004-0000-0200-000021000000}"/>
    <hyperlink ref="H47" r:id="rId35" display="https://link.springer.com/journal/11738" xr:uid="{00000000-0004-0000-0200-000022000000}"/>
    <hyperlink ref="H48" r:id="rId36" display="https://link.springer.com/journal/40750" xr:uid="{00000000-0004-0000-0200-000023000000}"/>
    <hyperlink ref="H49" r:id="rId37" display="https://link.springer.com/journal/35145" xr:uid="{00000000-0004-0000-0200-000024000000}"/>
    <hyperlink ref="H50" r:id="rId38" display="https://link.springer.com/journal/35784" xr:uid="{00000000-0004-0000-0200-000025000000}"/>
    <hyperlink ref="H51" r:id="rId39" display="https://link.springer.com/journal/10488" xr:uid="{00000000-0004-0000-0200-000026000000}"/>
    <hyperlink ref="H52" r:id="rId40" display="https://link.springer.com/journal/40894" xr:uid="{00000000-0004-0000-0200-000027000000}"/>
    <hyperlink ref="H53" r:id="rId41" display="https://link.springer.com/journal/10450" xr:uid="{00000000-0004-0000-0200-000028000000}"/>
    <hyperlink ref="H54" r:id="rId42" display="https://link.springer.com/journal/42114" xr:uid="{00000000-0004-0000-0200-000029000000}"/>
    <hyperlink ref="H55" r:id="rId43" display="https://link.springer.com/journal/42765" xr:uid="{00000000-0004-0000-0200-00002A000000}"/>
    <hyperlink ref="H56" r:id="rId44" display="https://link.springer.com/journal/6" xr:uid="{00000000-0004-0000-0200-00002B000000}"/>
    <hyperlink ref="H57" r:id="rId45" display="https://link.springer.com/journal/42423" xr:uid="{00000000-0004-0000-0200-00002C000000}"/>
    <hyperlink ref="H58" r:id="rId46" display="https://link.springer.com/journal/376" xr:uid="{00000000-0004-0000-0200-00002D000000}"/>
    <hyperlink ref="H59" r:id="rId47" display="https://link.springer.com/journal/43674" xr:uid="{00000000-0004-0000-0200-00002E000000}"/>
    <hyperlink ref="H60" r:id="rId48" display="https://link.springer.com/journal/10444" xr:uid="{00000000-0004-0000-0200-00002F000000}"/>
    <hyperlink ref="H61" r:id="rId49" display="https://link.springer.com/journal/11634" xr:uid="{00000000-0004-0000-0200-000030000000}"/>
    <hyperlink ref="H62" r:id="rId50" display="https://link.springer.com/journal/13329" xr:uid="{00000000-0004-0000-0200-000031000000}"/>
    <hyperlink ref="H63" r:id="rId51" display="https://link.springer.com/journal/10459" xr:uid="{00000000-0004-0000-0200-000032000000}"/>
    <hyperlink ref="H64" r:id="rId52" display="https://link.springer.com/journal/40436" xr:uid="{00000000-0004-0000-0200-000033000000}"/>
    <hyperlink ref="H65" r:id="rId53" display="https://link.springer.com/journal/41252" xr:uid="{00000000-0004-0000-0200-000034000000}"/>
    <hyperlink ref="H66" r:id="rId54" display="https://link.springer.com/journal/43036" xr:uid="{00000000-0004-0000-0200-000035000000}"/>
    <hyperlink ref="H67" r:id="rId55" display="https://link.springer.com/journal/13596" xr:uid="{00000000-0004-0000-0200-000036000000}"/>
    <hyperlink ref="H68" r:id="rId56" display="https://link.springer.com/journal/42844" xr:uid="{00000000-0004-0000-0200-000037000000}"/>
    <hyperlink ref="H69" r:id="rId57" display="https://link.springer.com/journal/10" xr:uid="{00000000-0004-0000-0200-000038000000}"/>
    <hyperlink ref="H70" r:id="rId58" display="https://link.springer.com/journal/10453" xr:uid="{00000000-0004-0000-0200-000039000000}"/>
    <hyperlink ref="H71" r:id="rId59" display="https://link.springer.com/journal/41810" xr:uid="{00000000-0004-0000-0200-00003A000000}"/>
    <hyperlink ref="H72" r:id="rId60" display="https://link.springer.com/journal/42401" xr:uid="{00000000-0004-0000-0200-00003B000000}"/>
    <hyperlink ref="H73" r:id="rId61" display="https://link.springer.com/journal/42496" xr:uid="{00000000-0004-0000-0200-00003C000000}"/>
    <hyperlink ref="H74" r:id="rId62" display="https://link.springer.com/journal/266" xr:uid="{00000000-0004-0000-0200-00003D000000}"/>
    <hyperlink ref="H75" r:id="rId63" display="https://link.springer.com/journal/42761" xr:uid="{00000000-0004-0000-0200-00003E000000}"/>
    <hyperlink ref="H76" r:id="rId64" display="https://link.springer.com/journal/10437" xr:uid="{00000000-0004-0000-0200-00003F000000}"/>
    <hyperlink ref="H77" r:id="rId65" display="https://link.springer.com/journal/13370" xr:uid="{00000000-0004-0000-0200-000040000000}"/>
    <hyperlink ref="H78" r:id="rId66" display="https://link.springer.com/journal/12126" xr:uid="{00000000-0004-0000-0200-000041000000}"/>
    <hyperlink ref="H79" r:id="rId67" display="https://link.springer.com/journal/40003" xr:uid="{00000000-0004-0000-0200-000042000000}"/>
    <hyperlink ref="H80" r:id="rId68" display="https://link.springer.com/journal/10460" xr:uid="{00000000-0004-0000-0200-000043000000}"/>
    <hyperlink ref="H81" r:id="rId69" display="https://link.springer.com/journal/10457" xr:uid="{00000000-0004-0000-0200-000044000000}"/>
    <hyperlink ref="H82" r:id="rId70" display="https://link.springer.com/journal/13593" xr:uid="{00000000-0004-0000-0200-000045000000}"/>
    <hyperlink ref="H83" r:id="rId71" display="https://link.springer.com/journal/146" xr:uid="{00000000-0004-0000-0200-000046000000}"/>
    <hyperlink ref="H84" r:id="rId72" display="https://link.springer.com/journal/43681" xr:uid="{00000000-0004-0000-0200-000047000000}"/>
    <hyperlink ref="H85" r:id="rId73" display="https://link.springer.com/journal/10461" xr:uid="{00000000-0004-0000-0200-000048000000}"/>
    <hyperlink ref="H86" r:id="rId74" display="https://link.springer.com/journal/11869" xr:uid="{00000000-0004-0000-0200-000049000000}"/>
    <hyperlink ref="H87" r:id="rId75" display="https://link.springer.com/journal/15009" xr:uid="{00000000-0004-0000-0200-00004A000000}"/>
    <hyperlink ref="H88" r:id="rId76" display="https://link.springer.com/journal/10469" xr:uid="{00000000-0004-0000-0200-00004B000000}"/>
    <hyperlink ref="H89" r:id="rId77" display="https://link.springer.com/journal/12" xr:uid="{00000000-0004-0000-0200-00004C000000}"/>
    <hyperlink ref="H90" r:id="rId78" display="https://link.springer.com/journal/10468" xr:uid="{00000000-0004-0000-0200-00004D000000}"/>
    <hyperlink ref="H91" r:id="rId79" display="https://link.springer.com/journal/453" xr:uid="{00000000-0004-0000-0200-00004E000000}"/>
    <hyperlink ref="H92" r:id="rId80" display="https://link.springer.com/journal/15007" xr:uid="{00000000-0004-0000-0200-00004F000000}"/>
    <hyperlink ref="H93" r:id="rId81" display="https://link.springer.com/journal/40629" xr:uid="{00000000-0004-0000-0200-000050000000}"/>
    <hyperlink ref="H94" r:id="rId82" display="https://link.springer.com/journal/35" xr:uid="{00000000-0004-0000-0200-000051000000}"/>
    <hyperlink ref="H95" r:id="rId83" display="https://link.springer.com/journal/13280" xr:uid="{00000000-0004-0000-0200-000052000000}"/>
    <hyperlink ref="H96" r:id="rId84" display="https://link.springer.com/journal/12103" xr:uid="{00000000-0004-0000-0200-000053000000}"/>
    <hyperlink ref="H97" r:id="rId85" display="https://link.springer.com/journal/10465" xr:uid="{00000000-0004-0000-0200-000054000000}"/>
    <hyperlink ref="H98" r:id="rId86" display="https://link.springer.com/journal/12230" xr:uid="{00000000-0004-0000-0200-000055000000}"/>
    <hyperlink ref="H99" r:id="rId87" display="https://link.springer.com/journal/726" xr:uid="{00000000-0004-0000-0200-000056000000}"/>
    <hyperlink ref="H100" r:id="rId88" display="https://link.springer.com/journal/13162" xr:uid="{00000000-0004-0000-0200-000057000000}"/>
    <hyperlink ref="H101" r:id="rId89" display="https://link.springer.com/journal/10470" xr:uid="{00000000-0004-0000-0200-000058000000}"/>
    <hyperlink ref="H102" r:id="rId90" display="https://link.springer.com/journal/13324" xr:uid="{00000000-0004-0000-0200-000059000000}"/>
    <hyperlink ref="H103" r:id="rId91" display="https://link.springer.com/journal/10476" xr:uid="{00000000-0004-0000-0200-00005A000000}"/>
    <hyperlink ref="H104" r:id="rId92" display="https://link.springer.com/journal/216" xr:uid="{00000000-0004-0000-0200-00005B000000}"/>
    <hyperlink ref="H105" r:id="rId93" display="https://link.springer.com/journal/12565" xr:uid="{00000000-0004-0000-0200-00005C000000}"/>
    <hyperlink ref="H106" r:id="rId94" display="https://link.springer.com/journal/10456" xr:uid="{00000000-0004-0000-0200-00005D000000}"/>
    <hyperlink ref="H107" r:id="rId95" display="https://link.springer.com/journal/10071" xr:uid="{00000000-0004-0000-0200-00005E000000}"/>
    <hyperlink ref="H108" r:id="rId96" display="https://link.springer.com/journal/23" xr:uid="{00000000-0004-0000-0200-00005F000000}"/>
    <hyperlink ref="H109" r:id="rId97" display="https://link.springer.com/journal/40316" xr:uid="{00000000-0004-0000-0200-000060000000}"/>
    <hyperlink ref="H110" r:id="rId98" display="https://link.springer.com/journal/11565" xr:uid="{00000000-0004-0000-0200-000061000000}"/>
    <hyperlink ref="H111" r:id="rId99" display="https://link.springer.com/journal/10231" xr:uid="{00000000-0004-0000-0200-000062000000}"/>
    <hyperlink ref="H112" r:id="rId100" display="https://link.springer.com/journal/10439" xr:uid="{00000000-0004-0000-0200-000063000000}"/>
    <hyperlink ref="H113" r:id="rId101" display="https://link.springer.com/journal/26" xr:uid="{00000000-0004-0000-0200-000064000000}"/>
    <hyperlink ref="H114" r:id="rId102" display="https://link.springer.com/journal/40745" xr:uid="{00000000-0004-0000-0200-000065000000}"/>
    <hyperlink ref="H115" r:id="rId103" display="https://link.springer.com/journal/11881" xr:uid="{00000000-0004-0000-0200-000066000000}"/>
    <hyperlink ref="H116" r:id="rId104" display="https://link.springer.com/journal/10436" xr:uid="{00000000-0004-0000-0200-000067000000}"/>
    <hyperlink ref="H117" r:id="rId105" display="https://link.springer.com/journal/43034" xr:uid="{00000000-0004-0000-0200-000068000000}"/>
    <hyperlink ref="H118" r:id="rId106" display="https://link.springer.com/journal/10455" xr:uid="{00000000-0004-0000-0200-000069000000}"/>
    <hyperlink ref="H119" r:id="rId107" display="https://link.springer.com/journal/277" xr:uid="{00000000-0004-0000-0200-00006A000000}"/>
    <hyperlink ref="H120" r:id="rId108" display="https://link.springer.com/journal/10472" xr:uid="{00000000-0004-0000-0200-00006B000000}"/>
    <hyperlink ref="H121" r:id="rId109" display="https://link.springer.com/journal/12149" xr:uid="{00000000-0004-0000-0200-00006C000000}"/>
    <hyperlink ref="H122" r:id="rId110" display="https://link.springer.com/journal/10479" xr:uid="{00000000-0004-0000-0200-00006D000000}"/>
    <hyperlink ref="H123" r:id="rId111" display="https://link.springer.com/journal/40818" xr:uid="{00000000-0004-0000-0200-00006E000000}"/>
    <hyperlink ref="H124" r:id="rId112" display="https://link.springer.com/journal/10434" xr:uid="{00000000-0004-0000-0200-00006F000000}"/>
    <hyperlink ref="H125" r:id="rId113" display="https://link.springer.com/journal/12243" xr:uid="{00000000-0004-0000-0200-000070000000}"/>
    <hyperlink ref="H126" r:id="rId114" display="https://link.springer.com/journal/10463" xr:uid="{00000000-0004-0000-0200-000071000000}"/>
    <hyperlink ref="H127" r:id="rId115" display="https://link.springer.com/journal/44177" xr:uid="{00000000-0004-0000-0200-000072000000}"/>
    <hyperlink ref="H128" r:id="rId116" display="https://link.springer.com/journal/10482" xr:uid="{00000000-0004-0000-0200-000073000000}"/>
    <hyperlink ref="H129" r:id="rId117" display="https://link.springer.com/journal/13592" xr:uid="{00000000-0004-0000-0200-000074000000}"/>
    <hyperlink ref="H130" r:id="rId118" display="https://link.springer.com/journal/10495" xr:uid="{00000000-0004-0000-0200-000075000000}"/>
    <hyperlink ref="H131" r:id="rId119" display="https://link.springer.com/journal/200" xr:uid="{00000000-0004-0000-0200-000076000000}"/>
    <hyperlink ref="H132" r:id="rId120" display="https://link.springer.com/journal/10492" xr:uid="{00000000-0004-0000-0200-000077000000}"/>
    <hyperlink ref="H133" r:id="rId121" display="https://link.springer.com/journal/12010" xr:uid="{00000000-0004-0000-0200-000078000000}"/>
    <hyperlink ref="H134" r:id="rId122" display="https://link.springer.com/journal/10438" xr:uid="{00000000-0004-0000-0200-000079000000}"/>
    <hyperlink ref="H135" r:id="rId123" display="https://link.springer.com/journal/10485" xr:uid="{00000000-0004-0000-0200-00007A000000}"/>
    <hyperlink ref="H136" r:id="rId124" display="https://link.springer.com/journal/10443" xr:uid="{00000000-0004-0000-0200-00007B000000}"/>
    <hyperlink ref="H137" r:id="rId125" display="https://link.springer.com/journal/13355" xr:uid="{00000000-0004-0000-0200-00007C000000}"/>
    <hyperlink ref="H138" r:id="rId126" display="https://link.springer.com/journal/12518" xr:uid="{00000000-0004-0000-0200-00007D000000}"/>
    <hyperlink ref="H139" r:id="rId127" display="https://link.springer.com/journal/11770" xr:uid="{00000000-0004-0000-0200-00007E000000}"/>
    <hyperlink ref="H140" r:id="rId128" display="https://link.springer.com/journal/10489" xr:uid="{00000000-0004-0000-0200-00007F000000}"/>
    <hyperlink ref="H141" r:id="rId129" display="https://link.springer.com/journal/723" xr:uid="{00000000-0004-0000-0200-000080000000}"/>
    <hyperlink ref="H142" r:id="rId130" display="https://link.springer.com/journal/245" xr:uid="{00000000-0004-0000-0200-000081000000}"/>
    <hyperlink ref="H143" r:id="rId131" display="https://link.springer.com/journal/10483" xr:uid="{00000000-0004-0000-0200-000082000000}"/>
    <hyperlink ref="H144" r:id="rId132" display="https://link.springer.com/journal/11766" xr:uid="{00000000-0004-0000-0200-000083000000}"/>
    <hyperlink ref="H145" r:id="rId133" display="https://link.springer.com/journal/253" xr:uid="{00000000-0004-0000-0200-000084000000}"/>
    <hyperlink ref="H146" r:id="rId134" display="https://link.springer.com/journal/13204" xr:uid="{00000000-0004-0000-0200-000085000000}"/>
    <hyperlink ref="H147" r:id="rId135" display="https://link.springer.com/journal/339" xr:uid="{00000000-0004-0000-0200-000086000000}"/>
    <hyperlink ref="H148" r:id="rId136" display="https://link.springer.com/journal/340" xr:uid="{00000000-0004-0000-0200-000087000000}"/>
    <hyperlink ref="H149" r:id="rId137" display="https://link.springer.com/journal/10484" xr:uid="{00000000-0004-0000-0200-000088000000}"/>
    <hyperlink ref="H150" r:id="rId138" display="https://link.springer.com/journal/11482" xr:uid="{00000000-0004-0000-0200-000089000000}"/>
    <hyperlink ref="H151" r:id="rId139" display="https://link.springer.com/journal/11949" xr:uid="{00000000-0004-0000-0200-00008A000000}"/>
    <hyperlink ref="H152" r:id="rId140" display="https://link.springer.com/journal/12061" xr:uid="{00000000-0004-0000-0200-00008B000000}"/>
    <hyperlink ref="H153" r:id="rId141" display="https://link.springer.com/journal/10499" xr:uid="{00000000-0004-0000-0200-00008C000000}"/>
    <hyperlink ref="H154" r:id="rId142" display="https://link.springer.com/journal/10452" xr:uid="{00000000-0004-0000-0200-00008D000000}"/>
    <hyperlink ref="H155" r:id="rId143" display="https://link.springer.com/journal/10498" xr:uid="{00000000-0004-0000-0200-00008E000000}"/>
    <hyperlink ref="H156" r:id="rId144" display="https://link.springer.com/journal/27" xr:uid="{00000000-0004-0000-0200-00008F000000}"/>
    <hyperlink ref="H157" r:id="rId145" display="https://link.springer.com/journal/13369" xr:uid="{00000000-0004-0000-0200-000090000000}"/>
    <hyperlink ref="H158" r:id="rId146" display="https://link.springer.com/journal/12517" xr:uid="{00000000-0004-0000-0200-000091000000}"/>
    <hyperlink ref="H159" r:id="rId147" display="https://link.springer.com/journal/12520" xr:uid="{00000000-0004-0000-0200-000092000000}"/>
    <hyperlink ref="H160" r:id="rId148" display="https://link.springer.com/journal/11759" xr:uid="{00000000-0004-0000-0200-000093000000}"/>
    <hyperlink ref="H161" r:id="rId149" display="https://link.springer.com/journal/44150" xr:uid="{00000000-0004-0000-0200-000094000000}"/>
    <hyperlink ref="H162" r:id="rId150" display="https://link.springer.com/journal/13" xr:uid="{00000000-0004-0000-0200-000095000000}"/>
    <hyperlink ref="H163" r:id="rId151" display="https://link.springer.com/journal/10502" xr:uid="{00000000-0004-0000-0200-000096000000}"/>
    <hyperlink ref="H164" r:id="rId152" display="https://link.springer.com/journal/407" xr:uid="{00000000-0004-0000-0200-000097000000}"/>
    <hyperlink ref="H165" r:id="rId153" display="https://link.springer.com/journal/153" xr:uid="{00000000-0004-0000-0200-000098000000}"/>
    <hyperlink ref="H166" r:id="rId154" display="https://link.springer.com/journal/205" xr:uid="{00000000-0004-0000-0200-000099000000}"/>
    <hyperlink ref="H167" r:id="rId155" display="https://link.springer.com/journal/419" xr:uid="{00000000-0004-0000-0200-00009A000000}"/>
    <hyperlink ref="H168" r:id="rId156" display="https://link.springer.com/journal/43452" xr:uid="{00000000-0004-0000-0200-00009B000000}"/>
    <hyperlink ref="H169" r:id="rId157" display="https://link.springer.com/journal/11831" xr:uid="{00000000-0004-0000-0200-00009C000000}"/>
    <hyperlink ref="H170" r:id="rId158" display="https://link.springer.com/journal/403" xr:uid="{00000000-0004-0000-0200-00009D000000}"/>
    <hyperlink ref="H171" r:id="rId159" display="https://link.springer.com/journal/244" xr:uid="{00000000-0004-0000-0200-00009E000000}"/>
    <hyperlink ref="H172" r:id="rId160" display="https://link.springer.com/journal/404" xr:uid="{00000000-0004-0000-0200-00009F000000}"/>
    <hyperlink ref="H173" r:id="rId161" display="https://link.springer.com/journal/203" xr:uid="{00000000-0004-0000-0200-0000A0000000}"/>
    <hyperlink ref="H174" r:id="rId162" display="https://link.springer.com/journal/402" xr:uid="{00000000-0004-0000-0200-0000A1000000}"/>
    <hyperlink ref="H175" r:id="rId163" display="https://link.springer.com/journal/11657" xr:uid="{00000000-0004-0000-0200-0000A2000000}"/>
    <hyperlink ref="H176" r:id="rId164" display="https://link.springer.com/journal/12272" xr:uid="{00000000-0004-0000-0200-0000A3000000}"/>
    <hyperlink ref="H177" r:id="rId165" display="https://link.springer.com/journal/10508" xr:uid="{00000000-0004-0000-0200-0000A4000000}"/>
    <hyperlink ref="H178" r:id="rId166" display="https://link.springer.com/journal/204" xr:uid="{00000000-0004-0000-0200-0000A5000000}"/>
    <hyperlink ref="H179" r:id="rId167" display="https://link.springer.com/journal/705" xr:uid="{00000000-0004-0000-0200-0000A6000000}"/>
    <hyperlink ref="H180" r:id="rId168" display="https://link.springer.com/journal/737" xr:uid="{00000000-0004-0000-0200-0000A7000000}"/>
    <hyperlink ref="H181" r:id="rId169" display="https://link.springer.com/journal/10503" xr:uid="{00000000-0004-0000-0200-0000A8000000}"/>
    <hyperlink ref="H182" r:id="rId170" display="https://link.springer.com/journal/13330" xr:uid="{00000000-0004-0000-0200-0000A9000000}"/>
    <hyperlink ref="H183" r:id="rId171" display="https://link.springer.com/journal/40598" xr:uid="{00000000-0004-0000-0200-0000AA000000}"/>
    <hyperlink ref="H184" r:id="rId172" display="https://link.springer.com/journal/11829" xr:uid="{00000000-0004-0000-0200-0000AB000000}"/>
    <hyperlink ref="H185" r:id="rId173" display="https://link.springer.com/journal/142" xr:uid="{00000000-0004-0000-0200-0000AC000000}"/>
    <hyperlink ref="H186" r:id="rId174" display="https://link.springer.com/journal/10506" xr:uid="{00000000-0004-0000-0200-0000AD000000}"/>
    <hyperlink ref="H187" r:id="rId175" display="https://link.springer.com/journal/10462" xr:uid="{00000000-0004-0000-0200-0000AE000000}"/>
    <hyperlink ref="H188" r:id="rId176" display="https://link.springer.com/journal/10015" xr:uid="{00000000-0004-0000-0200-0000AF000000}"/>
    <hyperlink ref="H189" r:id="rId177" display="https://link.springer.com/journal/10308" xr:uid="{00000000-0004-0000-0200-0000B0000000}"/>
    <hyperlink ref="H190" r:id="rId178" display="https://link.springer.com/journal/12564" xr:uid="{00000000-0004-0000-0200-0000B1000000}"/>
    <hyperlink ref="H191" r:id="rId179" display="https://link.springer.com/journal/10490" xr:uid="{00000000-0004-0000-0200-0000B2000000}"/>
    <hyperlink ref="H192" r:id="rId180" display="https://link.springer.com/journal/41826" xr:uid="{00000000-0004-0000-0200-0000B3000000}"/>
    <hyperlink ref="H193" r:id="rId181" display="https://link.springer.com/journal/41649" xr:uid="{00000000-0004-0000-0200-0000B4000000}"/>
    <hyperlink ref="H194" r:id="rId182" display="https://link.springer.com/journal/13520" xr:uid="{00000000-0004-0000-0200-0000B5000000}"/>
    <hyperlink ref="H195" r:id="rId183" display="https://link.springer.com/journal/42107" xr:uid="{00000000-0004-0000-0200-0000B6000000}"/>
    <hyperlink ref="H196" r:id="rId184" display="https://link.springer.com/journal/11417" xr:uid="{00000000-0004-0000-0200-0000B7000000}"/>
    <hyperlink ref="H197" r:id="rId185" display="https://link.springer.com/journal/44204" xr:uid="{00000000-0004-0000-0200-0000B8000000}"/>
    <hyperlink ref="H198" r:id="rId186" display="https://link.springer.com/journal/10690" xr:uid="{00000000-0004-0000-0200-0000B9000000}"/>
    <hyperlink ref="H199" r:id="rId187" display="https://link.springer.com/journal/13143" xr:uid="{00000000-0004-0000-0200-0000BA000000}"/>
    <hyperlink ref="H200" r:id="rId188" display="https://link.springer.com/journal/41685" xr:uid="{00000000-0004-0000-0200-0000BB000000}"/>
    <hyperlink ref="H201" r:id="rId189" display="https://link.springer.com/journal/10182" xr:uid="{00000000-0004-0000-0200-0000BC000000}"/>
    <hyperlink ref="H202" r:id="rId190" display="https://link.springer.com/journal/11943" xr:uid="{00000000-0004-0000-0200-0000BD000000}"/>
    <hyperlink ref="H203" r:id="rId191" display="https://link.springer.com/journal/12634" xr:uid="{00000000-0004-0000-0200-0000BE000000}"/>
    <hyperlink ref="H204" r:id="rId192" display="https://link.springer.com/journal/42064" xr:uid="{00000000-0004-0000-0200-0000BF000000}"/>
    <hyperlink ref="H205" r:id="rId193" display="https://link.springer.com/journal/11443" xr:uid="{00000000-0004-0000-0200-0000C0000000}"/>
    <hyperlink ref="H206" r:id="rId194" display="https://link.springer.com/journal/11444" xr:uid="{00000000-0004-0000-0200-0000C1000000}"/>
    <hyperlink ref="H207" r:id="rId195" display="https://link.springer.com/journal/11755" xr:uid="{00000000-0004-0000-0200-0000C2000000}"/>
    <hyperlink ref="H208" r:id="rId196" display="https://link.springer.com/journal/10511" xr:uid="{00000000-0004-0000-0200-0000C3000000}"/>
    <hyperlink ref="H209" r:id="rId197" display="https://link.springer.com/journal/10509" xr:uid="{00000000-0004-0000-0200-0000C4000000}"/>
    <hyperlink ref="H210" r:id="rId198" display="https://link.springer.com/journal/11293" xr:uid="{00000000-0004-0000-0200-0000C5000000}"/>
    <hyperlink ref="H211" r:id="rId199" display="https://link.springer.com/journal/12605" xr:uid="{00000000-0004-0000-0200-0000C6000000}"/>
    <hyperlink ref="H212" r:id="rId200" display="https://link.springer.com/journal/10512" xr:uid="{00000000-0004-0000-0200-0000C7000000}"/>
    <hyperlink ref="H213" r:id="rId201" display="https://link.springer.com/journal/13414" xr:uid="{00000000-0004-0000-0200-0000C8000000}"/>
    <hyperlink ref="H214" r:id="rId202" display="https://link.springer.com/journal/35148" xr:uid="{00000000-0004-0000-0200-0000C9000000}"/>
    <hyperlink ref="H215" r:id="rId203" display="https://link.springer.com/journal/38311" xr:uid="{00000000-0004-0000-0200-0000CA000000}"/>
    <hyperlink ref="H216" r:id="rId204" display="https://link.springer.com/journal/38314" xr:uid="{00000000-0004-0000-0200-0000CB000000}"/>
    <hyperlink ref="H217" r:id="rId205" display="https://link.springer.com/journal/35658" xr:uid="{00000000-0004-0000-0200-0000CC000000}"/>
    <hyperlink ref="H218" r:id="rId206" display="https://link.springer.com/journal/35746" xr:uid="{00000000-0004-0000-0200-0000CD000000}"/>
    <hyperlink ref="H219" r:id="rId207" display="https://link.springer.com/journal/41133" xr:uid="{00000000-0004-0000-0200-0000CE000000}"/>
    <hyperlink ref="H220" r:id="rId208" display="https://link.springer.com/journal/13313" xr:uid="{00000000-0004-0000-0200-0000CF000000}"/>
    <hyperlink ref="H221" r:id="rId209" display="https://link.springer.com/journal/10515" xr:uid="{00000000-0004-0000-0200-0000D0000000}"/>
    <hyperlink ref="H222" r:id="rId210" display="https://link.springer.com/journal/11950" xr:uid="{00000000-0004-0000-0200-0000D1000000}"/>
    <hyperlink ref="H223" r:id="rId211" display="https://link.springer.com/journal/11952" xr:uid="{00000000-0004-0000-0200-0000D2000000}"/>
    <hyperlink ref="H224" r:id="rId212" display="https://link.springer.com/journal/10513" xr:uid="{00000000-0004-0000-0200-0000D3000000}"/>
    <hyperlink ref="H225" r:id="rId213" display="https://link.springer.com/journal/41104" xr:uid="{00000000-0004-0000-0200-0000D4000000}"/>
    <hyperlink ref="H226" r:id="rId214" display="https://link.springer.com/journal/42154" xr:uid="{00000000-0004-0000-0200-0000D5000000}"/>
    <hyperlink ref="H227" r:id="rId215" display="https://link.springer.com/journal/10458" xr:uid="{00000000-0004-0000-0200-0000D6000000}"/>
    <hyperlink ref="H228" r:id="rId216" display="https://link.springer.com/journal/10514" xr:uid="{00000000-0004-0000-0200-0000D7000000}"/>
    <hyperlink ref="H229" r:id="rId217" display="https://link.springer.com/journal/10516" xr:uid="{00000000-0004-0000-0200-0000D8000000}"/>
    <hyperlink ref="H230" r:id="rId218" display="https://link.springer.com/journal/43037" xr:uid="{00000000-0004-0000-0200-0000D9000000}"/>
    <hyperlink ref="H231" r:id="rId219" display="https://link.springer.com/journal/395" xr:uid="{00000000-0004-0000-0200-0000DA000000}"/>
    <hyperlink ref="H232" r:id="rId220" display="https://link.springer.com/journal/40617" xr:uid="{00000000-0004-0000-0200-0000DB000000}"/>
    <hyperlink ref="H233" r:id="rId221" display="https://link.springer.com/journal/42822" xr:uid="{00000000-0004-0000-0200-0000DC000000}"/>
    <hyperlink ref="H234" r:id="rId222" display="https://link.springer.com/journal/10519" xr:uid="{00000000-0004-0000-0200-0000DD000000}"/>
    <hyperlink ref="H235" r:id="rId223" display="https://link.springer.com/journal/13428" xr:uid="{00000000-0004-0000-0200-0000DE000000}"/>
    <hyperlink ref="H236" r:id="rId224" display="https://link.springer.com/journal/265" xr:uid="{00000000-0004-0000-0200-0000DF000000}"/>
    <hyperlink ref="H237" r:id="rId225" display="https://link.springer.com/journal/41237" xr:uid="{00000000-0004-0000-0200-0000E0000000}"/>
    <hyperlink ref="H238" r:id="rId226" display="https://link.springer.com/journal/13366" xr:uid="{00000000-0004-0000-0200-0000E1000000}"/>
    <hyperlink ref="H239" r:id="rId227" display="https://link.springer.com/journal/11609" xr:uid="{00000000-0004-0000-0200-0000E2000000}"/>
    <hyperlink ref="H240" r:id="rId228" display="https://link.springer.com/journal/11654" xr:uid="{00000000-0004-0000-0200-0000E3000000}"/>
    <hyperlink ref="H241" r:id="rId229" display="https://link.springer.com/journal/501" xr:uid="{00000000-0004-0000-0200-0000E4000000}"/>
    <hyperlink ref="H242" r:id="rId230" display="https://link.springer.com/journal/10528" xr:uid="{00000000-0004-0000-0200-0000E5000000}"/>
    <hyperlink ref="H243" r:id="rId231" display="https://link.springer.com/journal/10541" xr:uid="{00000000-0004-0000-0200-0000E6000000}"/>
    <hyperlink ref="H244" r:id="rId232" display="https://link.springer.com/journal/11827" xr:uid="{00000000-0004-0000-0200-0000E7000000}"/>
    <hyperlink ref="H245" r:id="rId233" display="https://link.springer.com/journal/11828" xr:uid="{00000000-0004-0000-0200-0000E8000000}"/>
    <hyperlink ref="H246" r:id="rId234" display="https://link.springer.com/journal/13206" xr:uid="{00000000-0004-0000-0200-0000E9000000}"/>
    <hyperlink ref="H247" r:id="rId235" display="https://link.springer.com/journal/10526" xr:uid="{00000000-0004-0000-0200-0000EA000000}"/>
    <hyperlink ref="H248" r:id="rId236" display="https://link.springer.com/journal/10532" xr:uid="{00000000-0004-0000-0200-0000EB000000}"/>
    <hyperlink ref="H249" r:id="rId237" display="https://link.springer.com/journal/42242" xr:uid="{00000000-0004-0000-0200-0000EC000000}"/>
    <hyperlink ref="H250" r:id="rId238" display="https://link.springer.com/journal/10531" xr:uid="{00000000-0004-0000-0200-0000ED000000}"/>
    <hyperlink ref="H251" r:id="rId239" display="https://link.springer.com/journal/12155" xr:uid="{00000000-0004-0000-0200-0000EE000000}"/>
    <hyperlink ref="H252" r:id="rId240" display="https://link.springer.com/journal/10533" xr:uid="{00000000-0004-0000-0200-0000EF000000}"/>
    <hyperlink ref="H253" r:id="rId241" display="https://link.springer.com/journal/10522" xr:uid="{00000000-0004-0000-0200-0000F0000000}"/>
    <hyperlink ref="H254" r:id="rId242" display="https://link.springer.com/journal/11756" xr:uid="{00000000-0004-0000-0200-0000F1000000}"/>
    <hyperlink ref="H255" r:id="rId243" display="https://link.springer.com/journal/42977" xr:uid="{00000000-0004-0000-0200-0000F2000000}"/>
    <hyperlink ref="H256" r:id="rId244" display="https://link.springer.com/journal/422" xr:uid="{00000000-0004-0000-0200-0000F3000000}"/>
    <hyperlink ref="H257" r:id="rId245" display="https://link.springer.com/journal/10530" xr:uid="{00000000-0004-0000-0200-0000F4000000}"/>
    <hyperlink ref="H258" r:id="rId246" display="https://link.springer.com/journal/13752" xr:uid="{00000000-0004-0000-0200-0000F5000000}"/>
    <hyperlink ref="H259" r:id="rId247" display="https://link.springer.com/journal/12011" xr:uid="{00000000-0004-0000-0200-0000F6000000}"/>
    <hyperlink ref="H260" r:id="rId248" display="https://link.springer.com/journal/10539" xr:uid="{00000000-0004-0000-0200-0000F7000000}"/>
    <hyperlink ref="H261" r:id="rId249" display="https://link.springer.com/journal/374" xr:uid="{00000000-0004-0000-0200-0000F8000000}"/>
    <hyperlink ref="H262" r:id="rId250" display="https://link.springer.com/journal/10525" xr:uid="{00000000-0004-0000-0200-0000F9000000}"/>
    <hyperlink ref="H263" r:id="rId251" display="https://link.springer.com/journal/13335" xr:uid="{00000000-0004-0000-0200-0000FA000000}"/>
    <hyperlink ref="H264" r:id="rId252" display="https://link.springer.com/journal/13399" xr:uid="{00000000-0004-0000-0200-0000FB000000}"/>
    <hyperlink ref="H265" r:id="rId253" display="https://link.springer.com/journal/10237" xr:uid="{00000000-0004-0000-0200-0000FC000000}"/>
    <hyperlink ref="H266" r:id="rId254" display="https://link.springer.com/journal/10527" xr:uid="{00000000-0004-0000-0200-0000FD000000}"/>
    <hyperlink ref="H267" r:id="rId255" display="https://link.springer.com/journal/43683" xr:uid="{00000000-0004-0000-0200-0000FE000000}"/>
    <hyperlink ref="H268" r:id="rId256" display="https://link.springer.com/journal/13534" xr:uid="{00000000-0004-0000-0200-0000FF000000}"/>
    <hyperlink ref="H269" r:id="rId257" display="https://link.springer.com/journal/44174" xr:uid="{00000000-0004-0000-0200-000000010000}"/>
    <hyperlink ref="H270" r:id="rId258" display="https://link.springer.com/journal/10544" xr:uid="{00000000-0004-0000-0200-000001010000}"/>
    <hyperlink ref="H271" r:id="rId259" display="https://link.springer.com/journal/10534" xr:uid="{00000000-0004-0000-0200-000002010000}"/>
    <hyperlink ref="H272" r:id="rId260" display="https://link.springer.com/journal/12104" xr:uid="{00000000-0004-0000-0200-000003010000}"/>
    <hyperlink ref="H273" r:id="rId261" display="https://link.springer.com/journal/12668" xr:uid="{00000000-0004-0000-0200-000004010000}"/>
    <hyperlink ref="H274" r:id="rId262" display="https://link.springer.com/journal/41247" xr:uid="{00000000-0004-0000-0200-000005010000}"/>
    <hyperlink ref="H275" r:id="rId263" display="https://link.springer.com/journal/12551" xr:uid="{00000000-0004-0000-0200-000006010000}"/>
    <hyperlink ref="H276" r:id="rId264" display="https://link.springer.com/journal/11439" xr:uid="{00000000-0004-0000-0200-000007010000}"/>
    <hyperlink ref="H277" r:id="rId265" display="https://link.springer.com/journal/449" xr:uid="{00000000-0004-0000-0200-000008010000}"/>
    <hyperlink ref="H278" r:id="rId266" display="https://link.springer.com/journal/12304" xr:uid="{00000000-0004-0000-0200-000009010000}"/>
    <hyperlink ref="H279" r:id="rId267" display="https://link.springer.com/journal/12268" xr:uid="{00000000-0004-0000-0200-00000A010000}"/>
    <hyperlink ref="H280" r:id="rId268" display="https://link.springer.com/journal/12257" xr:uid="{00000000-0004-0000-0200-00000B010000}"/>
    <hyperlink ref="H281" r:id="rId269" display="https://link.springer.com/journal/10529" xr:uid="{00000000-0004-0000-0200-00000C010000}"/>
    <hyperlink ref="H282" r:id="rId270" display="https://link.springer.com/journal/10543" xr:uid="{00000000-0004-0000-0200-00000D010000}"/>
    <hyperlink ref="H283" r:id="rId271" display="https://link.springer.com/journal/40590" xr:uid="{00000000-0004-0000-0200-00000E010000}"/>
    <hyperlink ref="H284" r:id="rId272" display="https://link.springer.com/journal/40574" xr:uid="{00000000-0004-0000-0200-00000F010000}"/>
    <hyperlink ref="H285" r:id="rId273" display="https://link.springer.com/journal/10546" xr:uid="{00000000-0004-0000-0200-000010010000}"/>
    <hyperlink ref="H286" r:id="rId274" display="https://link.springer.com/journal/11682" xr:uid="{00000000-0004-0000-0200-000011010000}"/>
    <hyperlink ref="H287" r:id="rId275" display="https://link.springer.com/journal/429" xr:uid="{00000000-0004-0000-0200-000012010000}"/>
    <hyperlink ref="H288" r:id="rId276" display="https://link.springer.com/journal/10548" xr:uid="{00000000-0004-0000-0200-000013010000}"/>
    <hyperlink ref="H289" r:id="rId277" display="https://link.springer.com/journal/10014" xr:uid="{00000000-0004-0000-0200-000014010000}"/>
    <hyperlink ref="H290" r:id="rId278" display="https://link.springer.com/journal/40415" xr:uid="{00000000-0004-0000-0200-000015010000}"/>
    <hyperlink ref="H291" r:id="rId279" display="https://link.springer.com/journal/43153" xr:uid="{00000000-0004-0000-0200-000016010000}"/>
    <hyperlink ref="H292" r:id="rId280" display="https://link.springer.com/journal/42770" xr:uid="{00000000-0004-0000-0200-000017010000}"/>
    <hyperlink ref="H293" r:id="rId281" display="https://link.springer.com/journal/13538" xr:uid="{00000000-0004-0000-0200-000018010000}"/>
    <hyperlink ref="H294" r:id="rId282" display="https://link.springer.com/journal/12282" xr:uid="{00000000-0004-0000-0200-000019010000}"/>
    <hyperlink ref="H295" r:id="rId283" display="https://link.springer.com/journal/10549" xr:uid="{00000000-0004-0000-0200-00001A010000}"/>
    <hyperlink ref="H296" r:id="rId284" display="https://link.springer.com/journal/12228" xr:uid="{00000000-0004-0000-0200-00001B010000}"/>
    <hyperlink ref="H297" r:id="rId285" display="https://link.springer.com/journal/12273" xr:uid="{00000000-0004-0000-0200-00001C010000}"/>
    <hyperlink ref="H298" r:id="rId286" display="https://link.springer.com/journal/42865" xr:uid="{00000000-0004-0000-0200-00001D010000}"/>
    <hyperlink ref="H299" r:id="rId287" display="https://link.springer.com/journal/10518" xr:uid="{00000000-0004-0000-0200-00001E010000}"/>
    <hyperlink ref="H300" r:id="rId288" display="https://link.springer.com/journal/10064" xr:uid="{00000000-0004-0000-0200-00001F010000}"/>
    <hyperlink ref="H301" r:id="rId289" display="https://link.springer.com/journal/128" xr:uid="{00000000-0004-0000-0200-000020010000}"/>
    <hyperlink ref="H302" r:id="rId290" display="https://link.springer.com/journal/10517" xr:uid="{00000000-0004-0000-0200-000021010000}"/>
    <hyperlink ref="H303" r:id="rId291" display="https://link.springer.com/journal/12034" xr:uid="{00000000-0004-0000-0200-000022010000}"/>
    <hyperlink ref="H304" r:id="rId292" display="https://link.springer.com/journal/11538" xr:uid="{00000000-0004-0000-0200-000023010000}"/>
    <hyperlink ref="H305" r:id="rId293" display="https://link.springer.com/journal/574" xr:uid="{00000000-0004-0000-0200-000024010000}"/>
    <hyperlink ref="H306" r:id="rId294" display="https://link.springer.com/journal/41980" xr:uid="{00000000-0004-0000-0200-000025010000}"/>
    <hyperlink ref="H307" r:id="rId295" display="https://link.springer.com/journal/11953" xr:uid="{00000000-0004-0000-0200-000026010000}"/>
    <hyperlink ref="H308" r:id="rId296" display="https://link.springer.com/journal/40840" xr:uid="{00000000-0004-0000-0200-000027010000}"/>
    <hyperlink ref="H309" r:id="rId297" display="https://link.springer.com/journal/11954" xr:uid="{00000000-0004-0000-0200-000028010000}"/>
    <hyperlink ref="H310" r:id="rId298" display="https://link.springer.com/journal/445" xr:uid="{00000000-0004-0000-0200-000029010000}"/>
    <hyperlink ref="H311" r:id="rId299" display="https://link.springer.com/journal/103" xr:uid="{00000000-0004-0000-0200-00002A010000}"/>
    <hyperlink ref="H312" r:id="rId300" display="https://link.springer.com/journal/12599" xr:uid="{00000000-0004-0000-0200-00002B010000}"/>
    <hyperlink ref="H313" r:id="rId301" display="https://link.springer.com/journal/223" xr:uid="{00000000-0004-0000-0200-00002C010000}"/>
    <hyperlink ref="H314" r:id="rId302" display="https://link.springer.com/journal/10092" xr:uid="{00000000-0004-0000-0200-00002D010000}"/>
    <hyperlink ref="H315" r:id="rId303" display="https://link.springer.com/journal/526" xr:uid="{00000000-0004-0000-0200-00002E010000}"/>
    <hyperlink ref="H316" r:id="rId304" display="https://link.springer.com/journal/12630" xr:uid="{00000000-0004-0000-0200-00002F010000}"/>
    <hyperlink ref="H317" r:id="rId305" display="https://link.springer.com/journal/41997" xr:uid="{00000000-0004-0000-0200-000030010000}"/>
    <hyperlink ref="H318" r:id="rId306" display="https://link.springer.com/journal/42330" xr:uid="{00000000-0004-0000-0200-000031010000}"/>
    <hyperlink ref="H319" r:id="rId307" display="https://link.springer.com/journal/42650" xr:uid="{00000000-0004-0000-0200-000032010000}"/>
    <hyperlink ref="H320" r:id="rId308" display="https://link.springer.com/journal/10555" xr:uid="{00000000-0004-0000-0200-000033010000}"/>
    <hyperlink ref="H321" r:id="rId309" display="https://link.springer.com/journal/10552" xr:uid="{00000000-0004-0000-0200-000034010000}"/>
    <hyperlink ref="H322" r:id="rId310" display="https://link.springer.com/journal/280" xr:uid="{00000000-0004-0000-0200-000035010000}"/>
    <hyperlink ref="H323" r:id="rId311" display="https://link.springer.com/journal/262" xr:uid="{00000000-0004-0000-0200-000036010000}"/>
    <hyperlink ref="H324" r:id="rId312" display="https://link.springer.com/journal/42823" xr:uid="{00000000-0004-0000-0200-000037010000}"/>
    <hyperlink ref="H325" r:id="rId313" display="https://link.springer.com/journal/13146" xr:uid="{00000000-0004-0000-0200-000038010000}"/>
    <hyperlink ref="H326" r:id="rId314" display="https://link.springer.com/journal/15027" xr:uid="{00000000-0004-0000-0200-000039010000}"/>
    <hyperlink ref="H327" r:id="rId315" display="https://link.springer.com/journal/270" xr:uid="{00000000-0004-0000-0200-00003A010000}"/>
    <hyperlink ref="H328" r:id="rId316" display="https://link.springer.com/journal/10557" xr:uid="{00000000-0004-0000-0200-00003B010000}"/>
    <hyperlink ref="H329" r:id="rId317" display="https://link.springer.com/journal/13239" xr:uid="{00000000-0004-0000-0200-00003C010000}"/>
    <hyperlink ref="H330" r:id="rId318" display="https://link.springer.com/journal/12928" xr:uid="{00000000-0004-0000-0200-00003D010000}"/>
    <hyperlink ref="H331" r:id="rId319" display="https://link.springer.com/journal/12012" xr:uid="{00000000-0004-0000-0200-00003E010000}"/>
    <hyperlink ref="H332" r:id="rId320" display="https://link.springer.com/journal/12604" xr:uid="{00000000-0004-0000-0200-00003F010000}"/>
    <hyperlink ref="H333" r:id="rId321" display="https://link.springer.com/journal/10562" xr:uid="{00000000-0004-0000-0200-000040010000}"/>
    <hyperlink ref="H334" r:id="rId322" display="https://link.springer.com/journal/10563" xr:uid="{00000000-0004-0000-0200-000041010000}"/>
    <hyperlink ref="H335" r:id="rId323" display="https://link.springer.com/journal/42514" xr:uid="{00000000-0004-0000-0200-000042010000}"/>
    <hyperlink ref="H336" r:id="rId324" display="https://link.springer.com/journal/42486" xr:uid="{00000000-0004-0000-0200-000043010000}"/>
    <hyperlink ref="H337" r:id="rId325" display="https://link.springer.com/journal/13272" xr:uid="{00000000-0004-0000-0200-000044010000}"/>
    <hyperlink ref="H338" r:id="rId326" display="https://link.springer.com/journal/12567" xr:uid="{00000000-0004-0000-0200-000045010000}"/>
    <hyperlink ref="H339" r:id="rId327" display="https://link.springer.com/journal/10569" xr:uid="{00000000-0004-0000-0200-000046010000}"/>
    <hyperlink ref="H340" r:id="rId328" display="https://link.springer.com/journal/10561" xr:uid="{00000000-0004-0000-0200-000047010000}"/>
    <hyperlink ref="H341" r:id="rId329" display="https://link.springer.com/journal/11821" xr:uid="{00000000-0004-0000-0200-000048010000}"/>
    <hyperlink ref="H342" r:id="rId330" display="https://link.springer.com/journal/441" xr:uid="{00000000-0004-0000-0200-000049010000}"/>
    <hyperlink ref="H343" r:id="rId331" display="https://link.springer.com/journal/12013" xr:uid="{00000000-0004-0000-0200-00004A010000}"/>
    <hyperlink ref="H344" r:id="rId332" display="https://link.springer.com/journal/10565" xr:uid="{00000000-0004-0000-0200-00004B010000}"/>
    <hyperlink ref="H345" r:id="rId333" display="https://link.springer.com/journal/12192" xr:uid="{00000000-0004-0000-0200-00004C010000}"/>
    <hyperlink ref="H346" r:id="rId334" display="https://link.springer.com/journal/12195" xr:uid="{00000000-0004-0000-0200-00004D010000}"/>
    <hyperlink ref="H347" r:id="rId335" display="https://link.springer.com/journal/18" xr:uid="{00000000-0004-0000-0200-00004E010000}"/>
    <hyperlink ref="H348" r:id="rId336" display="https://link.springer.com/journal/10571" xr:uid="{00000000-0004-0000-0200-00004F010000}"/>
    <hyperlink ref="H349" r:id="rId337" display="https://link.springer.com/journal/13402" xr:uid="{00000000-0004-0000-0200-000050010000}"/>
    <hyperlink ref="H350" r:id="rId338" display="https://link.springer.com/journal/10570" xr:uid="{00000000-0004-0000-0200-000051010000}"/>
    <hyperlink ref="H351" r:id="rId339" display="https://link.springer.com/journal/13730" xr:uid="{00000000-0004-0000-0200-000052010000}"/>
    <hyperlink ref="H352" r:id="rId340" display="https://link.springer.com/journal/10100" xr:uid="{00000000-0004-0000-0200-000053010000}"/>
    <hyperlink ref="H353" r:id="rId341" display="https://link.springer.com/journal/42976" xr:uid="{00000000-0004-0000-0200-000054010000}"/>
    <hyperlink ref="H354" r:id="rId342" display="https://link.springer.com/journal/10556" xr:uid="{00000000-0004-0000-0200-000055010000}"/>
    <hyperlink ref="H355" r:id="rId343" display="https://link.springer.com/journal/11696" xr:uid="{00000000-0004-0000-0200-000056010000}"/>
    <hyperlink ref="H356" r:id="rId344" display="https://link.springer.com/journal/40242" xr:uid="{00000000-0004-0000-0200-000057010000}"/>
    <hyperlink ref="H357" r:id="rId345" display="https://link.springer.com/journal/42250" xr:uid="{00000000-0004-0000-0200-000058010000}"/>
    <hyperlink ref="H358" r:id="rId346" display="https://link.springer.com/journal/10553" xr:uid="{00000000-0004-0000-0200-000059010000}"/>
    <hyperlink ref="H359" r:id="rId347" display="https://link.springer.com/journal/10593" xr:uid="{00000000-0004-0000-0200-00005A010000}"/>
    <hyperlink ref="H360" r:id="rId348" display="https://link.springer.com/journal/10600" xr:uid="{00000000-0004-0000-0200-00005B010000}"/>
    <hyperlink ref="H361" r:id="rId349" display="https://link.springer.com/journal/49" xr:uid="{00000000-0004-0000-0200-00005C010000}"/>
    <hyperlink ref="H362" r:id="rId350" display="https://link.springer.com/journal/12078" xr:uid="{00000000-0004-0000-0200-00005D010000}"/>
    <hyperlink ref="H363" r:id="rId351" display="https://link.springer.com/journal/40828" xr:uid="{00000000-0004-0000-0200-00005E010000}"/>
    <hyperlink ref="H364" r:id="rId352" display="https://link.springer.com/journal/10566" xr:uid="{00000000-0004-0000-0200-00005F010000}"/>
    <hyperlink ref="H365" r:id="rId353" display="https://link.springer.com/journal/10560" xr:uid="{00000000-0004-0000-0200-000060010000}"/>
    <hyperlink ref="H366" r:id="rId354" display="https://link.springer.com/journal/12187" xr:uid="{00000000-0004-0000-0200-000061010000}"/>
    <hyperlink ref="H367" r:id="rId355" display="https://link.springer.com/journal/10578" xr:uid="{00000000-0004-0000-0200-000062010000}"/>
    <hyperlink ref="H368" r:id="rId356" display="https://link.springer.com/journal/10583" xr:uid="{00000000-0004-0000-0200-000063010000}"/>
    <hyperlink ref="H369" r:id="rId357" display="https://link.springer.com/journal/381" xr:uid="{00000000-0004-0000-0200-000064010000}"/>
    <hyperlink ref="H370" r:id="rId358" display="https://link.springer.com/journal/41230" xr:uid="{00000000-0004-0000-0200-000065010000}"/>
    <hyperlink ref="H371" r:id="rId359" display="https://link.springer.com/journal/42533" xr:uid="{00000000-0004-0000-0200-000066010000}"/>
    <hyperlink ref="H372" r:id="rId360" display="https://link.springer.com/journal/13344" xr:uid="{00000000-0004-0000-0200-000067010000}"/>
    <hyperlink ref="H373" r:id="rId361" display="https://link.springer.com/journal/42379" xr:uid="{00000000-0004-0000-0200-000068010000}"/>
    <hyperlink ref="H374" r:id="rId362" display="https://link.springer.com/journal/12689" xr:uid="{00000000-0004-0000-0200-000069010000}"/>
    <hyperlink ref="H375" r:id="rId363" display="https://link.springer.com/journal/11401" xr:uid="{00000000-0004-0000-0200-00006A010000}"/>
    <hyperlink ref="H376" r:id="rId364" display="https://link.springer.com/journal/11769" xr:uid="{00000000-0004-0000-0200-00006B010000}"/>
    <hyperlink ref="H377" r:id="rId365" display="https://link.springer.com/journal/42058" xr:uid="{00000000-0004-0000-0200-00006C010000}"/>
    <hyperlink ref="H378" r:id="rId366" display="https://link.springer.com/journal/11655" xr:uid="{00000000-0004-0000-0200-00006D010000}"/>
    <hyperlink ref="H379" r:id="rId367" display="https://link.springer.com/journal/10118" xr:uid="{00000000-0004-0000-0200-00006E010000}"/>
    <hyperlink ref="H380" r:id="rId368" display="https://link.springer.com/journal/41111" xr:uid="{00000000-0004-0000-0200-00006F010000}"/>
    <hyperlink ref="H381" r:id="rId369" display="https://link.springer.com/journal/52" xr:uid="{00000000-0004-0000-0200-000070010000}"/>
    <hyperlink ref="H382" r:id="rId370" display="https://link.springer.com/journal/10337" xr:uid="{00000000-0004-0000-0200-000071010000}"/>
    <hyperlink ref="H383" r:id="rId371" display="https://link.springer.com/journal/412" xr:uid="{00000000-0004-0000-0200-000072010000}"/>
    <hyperlink ref="H384" r:id="rId372" display="https://link.springer.com/journal/10577" xr:uid="{00000000-0004-0000-0200-000073010000}"/>
    <hyperlink ref="H385" r:id="rId373" display="https://link.springer.com/journal/34" xr:uid="{00000000-0004-0000-0200-000074010000}"/>
    <hyperlink ref="H386" r:id="rId374" display="https://link.springer.com/journal/43615" xr:uid="{00000000-0004-0000-0200-000075010000}"/>
    <hyperlink ref="H387" r:id="rId375" display="https://link.springer.com/journal/42860" xr:uid="{00000000-0004-0000-0200-000076010000}"/>
    <hyperlink ref="H388" r:id="rId376" display="https://link.springer.com/journal/10098" xr:uid="{00000000-0004-0000-0200-000077010000}"/>
    <hyperlink ref="H389" r:id="rId377" display="https://link.springer.com/journal/382" xr:uid="{00000000-0004-0000-0200-000078010000}"/>
    <hyperlink ref="H390" r:id="rId378" display="https://link.springer.com/journal/10584" xr:uid="{00000000-0004-0000-0200-000079010000}"/>
    <hyperlink ref="H391" r:id="rId379" display="https://link.springer.com/journal/10585" xr:uid="{00000000-0004-0000-0200-00007A010000}"/>
    <hyperlink ref="H392" r:id="rId380" display="https://link.springer.com/journal/10238" xr:uid="{00000000-0004-0000-0200-00007B010000}"/>
    <hyperlink ref="H393" r:id="rId381" display="https://link.springer.com/journal/10157" xr:uid="{00000000-0004-0000-0200-00007C010000}"/>
    <hyperlink ref="H394" r:id="rId382" display="https://link.springer.com/journal/40336" xr:uid="{00000000-0004-0000-0200-00007D010000}"/>
    <hyperlink ref="H395" r:id="rId383" display="https://link.springer.com/journal/12094" xr:uid="{00000000-0004-0000-0200-00007E010000}"/>
    <hyperlink ref="H396" r:id="rId384" display="https://link.springer.com/journal/10286" xr:uid="{00000000-0004-0000-0200-00007F010000}"/>
    <hyperlink ref="H397" r:id="rId385" display="https://link.springer.com/journal/10567" xr:uid="{00000000-0004-0000-0200-000080010000}"/>
    <hyperlink ref="H398" r:id="rId386" display="https://link.springer.com/journal/41894" xr:uid="{00000000-0004-0000-0200-000081010000}"/>
    <hyperlink ref="H399" r:id="rId387" display="https://link.springer.com/journal/12328" xr:uid="{00000000-0004-0000-0200-000082010000}"/>
    <hyperlink ref="H400" r:id="rId388" display="https://link.springer.com/journal/62" xr:uid="{00000000-0004-0000-0200-000083010000}"/>
    <hyperlink ref="H401" r:id="rId389" display="https://link.springer.com/journal/784" xr:uid="{00000000-0004-0000-0200-000084010000}"/>
    <hyperlink ref="H402" r:id="rId390" display="https://link.springer.com/journal/392" xr:uid="{00000000-0004-0000-0200-000085010000}"/>
    <hyperlink ref="H403" r:id="rId391" display="https://link.springer.com/journal/12016" xr:uid="{00000000-0004-0000-0200-000086010000}"/>
    <hyperlink ref="H404" r:id="rId392" display="https://link.springer.com/journal/12018" xr:uid="{00000000-0004-0000-0200-000087010000}"/>
    <hyperlink ref="H405" r:id="rId393" display="https://link.springer.com/journal/10067" xr:uid="{00000000-0004-0000-0200-000088010000}"/>
    <hyperlink ref="H406" r:id="rId394" display="https://link.springer.com/journal/10615" xr:uid="{00000000-0004-0000-0200-000089010000}"/>
    <hyperlink ref="H407" r:id="rId395" display="https://link.springer.com/journal/11698" xr:uid="{00000000-0004-0000-0200-00008A010000}"/>
    <hyperlink ref="H408" r:id="rId396" display="https://link.springer.com/journal/10586" xr:uid="{00000000-0004-0000-0200-00008B010000}"/>
    <hyperlink ref="H409" r:id="rId397" display="https://link.springer.com/journal/11298" xr:uid="{00000000-0004-0000-0200-00008C010000}"/>
    <hyperlink ref="H410" r:id="rId398" display="https://link.springer.com/journal/10111" xr:uid="{00000000-0004-0000-0200-00008D010000}"/>
    <hyperlink ref="H411" r:id="rId399" display="https://link.springer.com/journal/12559" xr:uid="{00000000-0004-0000-0200-00008E010000}"/>
    <hyperlink ref="H412" r:id="rId400" display="https://link.springer.com/journal/11571" xr:uid="{00000000-0004-0000-0200-00008F010000}"/>
    <hyperlink ref="H413" r:id="rId401" display="https://link.springer.com/journal/10339" xr:uid="{00000000-0004-0000-0200-000090010000}"/>
    <hyperlink ref="H414" r:id="rId402" display="https://link.springer.com/journal/10608" xr:uid="{00000000-0004-0000-0200-000091010000}"/>
    <hyperlink ref="H415" r:id="rId403" display="https://link.springer.com/journal/13415" xr:uid="{00000000-0004-0000-0200-000092010000}"/>
    <hyperlink ref="H416" r:id="rId404" display="https://link.springer.com/journal/11955" xr:uid="{00000000-0004-0000-0200-000093010000}"/>
    <hyperlink ref="H417" r:id="rId405" display="https://link.springer.com/journal/13348" xr:uid="{00000000-0004-0000-0200-000094010000}"/>
    <hyperlink ref="H418" r:id="rId406" display="https://link.springer.com/journal/396" xr:uid="{00000000-0004-0000-0200-000095010000}"/>
    <hyperlink ref="H419" r:id="rId407" display="https://link.springer.com/journal/10595" xr:uid="{00000000-0004-0000-0200-000096010000}"/>
    <hyperlink ref="H420" r:id="rId408" display="https://link.springer.com/journal/53" xr:uid="{00000000-0004-0000-0200-000097010000}"/>
    <hyperlink ref="H421" r:id="rId409" display="https://link.springer.com/journal/493" xr:uid="{00000000-0004-0000-0200-000098010000}"/>
    <hyperlink ref="H422" r:id="rId410" display="https://link.springer.com/journal/10573" xr:uid="{00000000-0004-0000-0200-000099010000}"/>
    <hyperlink ref="H423" r:id="rId411" display="https://link.springer.com/journal/220" xr:uid="{00000000-0004-0000-0200-00009A010000}"/>
    <hyperlink ref="H424" r:id="rId412" display="https://link.springer.com/journal/40304" xr:uid="{00000000-0004-0000-0200-00009B010000}"/>
    <hyperlink ref="H425" r:id="rId413" display="https://link.springer.com/journal/42967" xr:uid="{00000000-0004-0000-0200-00009C010000}"/>
    <hyperlink ref="H426" r:id="rId414" display="https://link.springer.com/journal/42974" xr:uid="{00000000-0004-0000-0200-00009D010000}"/>
    <hyperlink ref="H427" r:id="rId415" display="https://link.springer.com/journal/10597" xr:uid="{00000000-0004-0000-0200-00009E010000}"/>
    <hyperlink ref="H428" r:id="rId416" display="https://link.springer.com/journal/580" xr:uid="{00000000-0004-0000-0200-00009F010000}"/>
    <hyperlink ref="H429" r:id="rId417" display="https://link.springer.com/journal/40627" xr:uid="{00000000-0004-0000-0200-0000A0010000}"/>
    <hyperlink ref="H430" r:id="rId418" display="https://link.springer.com/journal/11785" xr:uid="{00000000-0004-0000-0200-0000A1010000}"/>
    <hyperlink ref="H431" r:id="rId419" display="https://link.springer.com/journal/40314" xr:uid="{00000000-0004-0000-0200-0000A2010000}"/>
    <hyperlink ref="H432" r:id="rId420" display="https://link.springer.com/journal/10588" xr:uid="{00000000-0004-0000-0200-0000A3010000}"/>
    <hyperlink ref="H433" r:id="rId421" display="https://link.springer.com/journal/42113" xr:uid="{00000000-0004-0000-0200-0000A4010000}"/>
    <hyperlink ref="H434" r:id="rId422" display="https://link.springer.com/journal/37" xr:uid="{00000000-0004-0000-0200-0000A5010000}"/>
    <hyperlink ref="H435" r:id="rId423" display="https://link.springer.com/journal/10614" xr:uid="{00000000-0004-0000-0200-0000A6010000}"/>
    <hyperlink ref="H436" r:id="rId424" display="https://link.springer.com/journal/10596" xr:uid="{00000000-0004-0000-0200-0000A7010000}"/>
    <hyperlink ref="H437" r:id="rId425" display="https://link.springer.com/journal/10287" xr:uid="{00000000-0004-0000-0200-0000A8010000}"/>
    <hyperlink ref="H438" r:id="rId426" display="https://link.springer.com/journal/11470" xr:uid="{00000000-0004-0000-0200-0000A9010000}"/>
    <hyperlink ref="H439" r:id="rId427" display="https://link.springer.com/journal/10598" xr:uid="{00000000-0004-0000-0200-0000AA010000}"/>
    <hyperlink ref="H440" r:id="rId428" display="https://link.springer.com/journal/466" xr:uid="{00000000-0004-0000-0200-0000AB010000}"/>
    <hyperlink ref="H441" r:id="rId429" display="https://link.springer.com/journal/40315" xr:uid="{00000000-0004-0000-0200-0000AC010000}"/>
    <hyperlink ref="H442" r:id="rId430" display="https://link.springer.com/journal/10589" xr:uid="{00000000-0004-0000-0200-0000AD010000}"/>
    <hyperlink ref="H443" r:id="rId431" display="https://link.springer.com/journal/40571" xr:uid="{00000000-0004-0000-0200-0000AE010000}"/>
    <hyperlink ref="H444" r:id="rId432" display="https://link.springer.com/journal/180" xr:uid="{00000000-0004-0000-0200-0000AF010000}"/>
    <hyperlink ref="H445" r:id="rId433" display="https://link.springer.com/journal/10606" xr:uid="{00000000-0004-0000-0200-0000B0010000}"/>
    <hyperlink ref="H446" r:id="rId434" display="https://link.springer.com/journal/607" xr:uid="{00000000-0004-0000-0200-0000B1010000}"/>
    <hyperlink ref="H447" r:id="rId435" display="https://link.springer.com/journal/10592" xr:uid="{00000000-0004-0000-0200-0000B2010000}"/>
    <hyperlink ref="H448" r:id="rId436" display="https://link.springer.com/journal/12686" xr:uid="{00000000-0004-0000-0200-0000B3010000}"/>
    <hyperlink ref="H449" r:id="rId437" display="https://link.springer.com/journal/10602" xr:uid="{00000000-0004-0000-0200-0000B4010000}"/>
    <hyperlink ref="H450" r:id="rId438" display="https://link.springer.com/journal/10601" xr:uid="{00000000-0004-0000-0200-0000B5010000}"/>
    <hyperlink ref="H451" r:id="rId439" display="https://link.springer.com/journal/41693" xr:uid="{00000000-0004-0000-0200-0000B6010000}"/>
    <hyperlink ref="H452" r:id="rId440" display="https://link.springer.com/journal/365" xr:uid="{00000000-0004-0000-0200-0000B7010000}"/>
    <hyperlink ref="H453" r:id="rId441" display="https://link.springer.com/journal/10591" xr:uid="{00000000-0004-0000-0200-0000B8010000}"/>
    <hyperlink ref="H454" r:id="rId442" display="https://link.springer.com/journal/11562" xr:uid="{00000000-0004-0000-0200-0000B9010000}"/>
    <hyperlink ref="H455" r:id="rId443" display="https://link.springer.com/journal/12397" xr:uid="{00000000-0004-0000-0200-0000BA010000}"/>
    <hyperlink ref="H456" r:id="rId444" display="https://link.springer.com/journal/12259" xr:uid="{00000000-0004-0000-0200-0000BB010000}"/>
    <hyperlink ref="H457" r:id="rId445" display="https://link.springer.com/journal/40688" xr:uid="{00000000-0004-0000-0200-0000BC010000}"/>
    <hyperlink ref="H458" r:id="rId446" display="https://link.springer.com/journal/11007" xr:uid="{00000000-0004-0000-0200-0000BD010000}"/>
    <hyperlink ref="H459" r:id="rId447" display="https://link.springer.com/journal/161" xr:uid="{00000000-0004-0000-0200-0000BE010000}"/>
    <hyperlink ref="H460" r:id="rId448" display="https://link.springer.com/journal/410" xr:uid="{00000000-0004-0000-0200-0000BF010000}"/>
    <hyperlink ref="H461" r:id="rId449" display="https://link.springer.com/journal/11768" xr:uid="{00000000-0004-0000-0200-0000C0010000}"/>
    <hyperlink ref="H462" r:id="rId450" display="https://link.springer.com/journal/12176" xr:uid="{00000000-0004-0000-0200-0000C1010000}"/>
    <hyperlink ref="H463" r:id="rId451" display="https://link.springer.com/journal/338" xr:uid="{00000000-0004-0000-0200-0000C2010000}"/>
    <hyperlink ref="H464" r:id="rId452" display="https://link.springer.com/journal/41701" xr:uid="{00000000-0004-0000-0200-0000C3010000}"/>
    <hyperlink ref="H465" r:id="rId453" display="https://link.springer.com/journal/10604" xr:uid="{00000000-0004-0000-0200-0000C4010000}"/>
    <hyperlink ref="H466" r:id="rId454" display="https://link.springer.com/journal/10611" xr:uid="{00000000-0004-0000-0200-0000C5010000}"/>
    <hyperlink ref="H467" r:id="rId455" display="https://link.springer.com/journal/11572" xr:uid="{00000000-0004-0000-0200-0000C6010000}"/>
    <hyperlink ref="H468" r:id="rId456" display="https://link.springer.com/journal/10609" xr:uid="{00000000-0004-0000-0200-0000C7010000}"/>
    <hyperlink ref="H469" r:id="rId457" display="https://link.springer.com/journal/10612" xr:uid="{00000000-0004-0000-0200-0000C8010000}"/>
    <hyperlink ref="H470" r:id="rId458" display="https://link.springer.com/journal/12095" xr:uid="{00000000-0004-0000-0200-0000C9010000}"/>
    <hyperlink ref="H471" r:id="rId459" display="https://link.springer.com/journal/11445" xr:uid="{00000000-0004-0000-0200-0000CA010000}"/>
    <hyperlink ref="H472" r:id="rId460" display="https://link.springer.com/journal/40012" xr:uid="{00000000-0004-0000-0200-0000CB010000}"/>
    <hyperlink ref="H473" r:id="rId461" display="https://link.springer.com/journal/43638" xr:uid="{00000000-0004-0000-0200-0000CC010000}"/>
    <hyperlink ref="H474" r:id="rId462" display="https://link.springer.com/journal/11422" xr:uid="{00000000-0004-0000-0200-0000CD010000}"/>
    <hyperlink ref="H475" r:id="rId463" display="https://link.springer.com/journal/11013" xr:uid="{00000000-0004-0000-0200-0000CE010000}"/>
    <hyperlink ref="H476" r:id="rId464" display="https://link.springer.com/journal/40429" xr:uid="{00000000-0004-0000-0200-0000CF010000}"/>
    <hyperlink ref="H477" r:id="rId465" display="https://link.springer.com/journal/11882" xr:uid="{00000000-0004-0000-0200-0000D0010000}"/>
    <hyperlink ref="H478" r:id="rId466" display="https://link.springer.com/journal/40140" xr:uid="{00000000-0004-0000-0200-0000D1010000}"/>
    <hyperlink ref="H479" r:id="rId467" display="https://link.springer.com/journal/11883" xr:uid="{00000000-0004-0000-0200-0000D2010000}"/>
    <hyperlink ref="H480" r:id="rId468" display="https://link.springer.com/journal/40473" xr:uid="{00000000-0004-0000-0200-0000D3010000}"/>
    <hyperlink ref="H481" r:id="rId469" display="https://link.springer.com/journal/11884" xr:uid="{00000000-0004-0000-0200-0000D4010000}"/>
    <hyperlink ref="H482" r:id="rId470" display="https://link.springer.com/journal/12609" xr:uid="{00000000-0004-0000-0200-0000D5010000}"/>
    <hyperlink ref="H483" r:id="rId471" display="https://link.springer.com/journal/11886" xr:uid="{00000000-0004-0000-0200-0000D6010000}"/>
    <hyperlink ref="H484" r:id="rId472" display="https://link.springer.com/journal/12410" xr:uid="{00000000-0004-0000-0200-0000D7010000}"/>
    <hyperlink ref="H485" r:id="rId473" display="https://link.springer.com/journal/12170" xr:uid="{00000000-0004-0000-0200-0000D8010000}"/>
    <hyperlink ref="H486" r:id="rId474" display="https://link.springer.com/journal/40641" xr:uid="{00000000-0004-0000-0200-0000D9010000}"/>
    <hyperlink ref="H487" r:id="rId475" display="https://link.springer.com/journal/40588" xr:uid="{00000000-0004-0000-0200-0000DA010000}"/>
    <hyperlink ref="H488" r:id="rId476" display="https://link.springer.com/journal/11888" xr:uid="{00000000-0004-0000-0200-0000DB010000}"/>
    <hyperlink ref="H489" r:id="rId477" display="https://link.springer.com/journal/13671" xr:uid="{00000000-0004-0000-0200-0000DC010000}"/>
    <hyperlink ref="H490" r:id="rId478" display="https://link.springer.com/journal/40474" xr:uid="{00000000-0004-0000-0200-0000DD010000}"/>
    <hyperlink ref="H491" r:id="rId479" display="https://link.springer.com/journal/11892" xr:uid="{00000000-0004-0000-0200-0000DE010000}"/>
    <hyperlink ref="H492" r:id="rId480" display="https://link.springer.com/journal/40138" xr:uid="{00000000-0004-0000-0200-0000DF010000}"/>
    <hyperlink ref="H493" r:id="rId481" display="https://link.springer.com/journal/40572" xr:uid="{00000000-0004-0000-0200-0000E0010000}"/>
    <hyperlink ref="H494" r:id="rId482" display="https://link.springer.com/journal/40471" xr:uid="{00000000-0004-0000-0200-0000E1010000}"/>
    <hyperlink ref="H495" r:id="rId483" display="https://link.springer.com/journal/40725" xr:uid="{00000000-0004-0000-0200-0000E2010000}"/>
    <hyperlink ref="H496" r:id="rId484" display="https://link.springer.com/journal/12281" xr:uid="{00000000-0004-0000-0200-0000E3010000}"/>
    <hyperlink ref="H497" r:id="rId485" display="https://link.springer.com/journal/11894" xr:uid="{00000000-0004-0000-0200-0000E4010000}"/>
    <hyperlink ref="H498" r:id="rId486" display="https://link.springer.com/journal/40142" xr:uid="{00000000-0004-0000-0200-0000E5010000}"/>
    <hyperlink ref="H499" r:id="rId487" display="https://link.springer.com/journal/294" xr:uid="{00000000-0004-0000-0200-0000E6010000}"/>
    <hyperlink ref="H500" r:id="rId488" display="https://link.springer.com/journal/13670" xr:uid="{00000000-0004-0000-0200-0000E7010000}"/>
    <hyperlink ref="H501" r:id="rId489" display="https://link.springer.com/journal/11897" xr:uid="{00000000-0004-0000-0200-0000E8010000}"/>
    <hyperlink ref="H502" r:id="rId490" display="https://link.springer.com/journal/11899" xr:uid="{00000000-0004-0000-0200-0000E9010000}"/>
    <hyperlink ref="H503" r:id="rId491" display="https://link.springer.com/journal/11901" xr:uid="{00000000-0004-0000-0200-0000EA010000}"/>
    <hyperlink ref="H504" r:id="rId492" display="https://link.springer.com/journal/11904" xr:uid="{00000000-0004-0000-0200-0000EB010000}"/>
    <hyperlink ref="H505" r:id="rId493" display="https://link.springer.com/journal/11906" xr:uid="{00000000-0004-0000-0200-0000EC010000}"/>
    <hyperlink ref="H506" r:id="rId494" display="https://link.springer.com/journal/11908" xr:uid="{00000000-0004-0000-0200-0000ED010000}"/>
    <hyperlink ref="H507" r:id="rId495" display="https://link.springer.com/journal/40823" xr:uid="{00000000-0004-0000-0200-0000EE010000}"/>
    <hyperlink ref="H508" r:id="rId496" display="https://link.springer.com/journal/11596" xr:uid="{00000000-0004-0000-0200-0000EF010000}"/>
    <hyperlink ref="H509" r:id="rId497" display="https://link.springer.com/journal/284" xr:uid="{00000000-0004-0000-0200-0000F0010000}"/>
    <hyperlink ref="H510" r:id="rId498" display="https://link.springer.com/journal/40610" xr:uid="{00000000-0004-0000-0200-0000F1010000}"/>
    <hyperlink ref="H511" r:id="rId499" display="https://link.springer.com/journal/11910" xr:uid="{00000000-0004-0000-0200-0000F2010000}"/>
    <hyperlink ref="H512" r:id="rId500" display="https://link.springer.com/journal/13668" xr:uid="{00000000-0004-0000-0200-0000F3010000}"/>
    <hyperlink ref="H513" r:id="rId501" display="https://link.springer.com/journal/13679" xr:uid="{00000000-0004-0000-0200-0000F4010000}"/>
    <hyperlink ref="H514" r:id="rId502" display="https://link.springer.com/journal/13669" xr:uid="{00000000-0004-0000-0200-0000F5010000}"/>
    <hyperlink ref="H515" r:id="rId503" display="https://link.springer.com/journal/11912" xr:uid="{00000000-0004-0000-0200-0000F6010000}"/>
    <hyperlink ref="H516" r:id="rId504" display="https://link.springer.com/journal/40135" xr:uid="{00000000-0004-0000-0200-0000F7010000}"/>
    <hyperlink ref="H517" r:id="rId505" display="https://link.springer.com/journal/40496" xr:uid="{00000000-0004-0000-0200-0000F8010000}"/>
    <hyperlink ref="H518" r:id="rId506" display="https://link.springer.com/journal/11914" xr:uid="{00000000-0004-0000-0200-0000F9010000}"/>
    <hyperlink ref="H519" r:id="rId507" display="https://link.springer.com/journal/40136" xr:uid="{00000000-0004-0000-0200-0000FA010000}"/>
    <hyperlink ref="H520" r:id="rId508" display="https://link.springer.com/journal/11916" xr:uid="{00000000-0004-0000-0200-0000FB010000}"/>
    <hyperlink ref="H521" r:id="rId509" display="https://link.springer.com/journal/40139" xr:uid="{00000000-0004-0000-0200-0000FC010000}"/>
    <hyperlink ref="H522" r:id="rId510" display="https://link.springer.com/journal/40124" xr:uid="{00000000-0004-0000-0200-0000FD010000}"/>
    <hyperlink ref="H523" r:id="rId511" display="https://link.springer.com/journal/40495" xr:uid="{00000000-0004-0000-0200-0000FE010000}"/>
    <hyperlink ref="H524" r:id="rId512" display="https://link.springer.com/journal/40141" xr:uid="{00000000-0004-0000-0200-0000FF010000}"/>
    <hyperlink ref="H525" r:id="rId513" display="https://link.springer.com/journal/40726" xr:uid="{00000000-0004-0000-0200-000000020000}"/>
    <hyperlink ref="H526" r:id="rId514" display="https://link.springer.com/journal/11920" xr:uid="{00000000-0004-0000-0200-000001020000}"/>
    <hyperlink ref="H527" r:id="rId515" display="https://link.springer.com/journal/12144" xr:uid="{00000000-0004-0000-0200-000002020000}"/>
    <hyperlink ref="H528" r:id="rId516" display="https://link.springer.com/journal/13665" xr:uid="{00000000-0004-0000-0200-000003020000}"/>
    <hyperlink ref="H529" r:id="rId517" display="https://link.springer.com/journal/40134" xr:uid="{00000000-0004-0000-0200-000004020000}"/>
    <hyperlink ref="H530" r:id="rId518" display="https://link.springer.com/journal/12178" xr:uid="{00000000-0004-0000-0200-000005020000}"/>
    <hyperlink ref="H531" r:id="rId519" display="https://link.springer.com/journal/11926" xr:uid="{00000000-0004-0000-0200-000006020000}"/>
    <hyperlink ref="H532" r:id="rId520" display="https://link.springer.com/journal/43154" xr:uid="{00000000-0004-0000-0200-000007020000}"/>
    <hyperlink ref="H533" r:id="rId521" display="https://link.springer.com/journal/11930" xr:uid="{00000000-0004-0000-0200-000008020000}"/>
    <hyperlink ref="H534" r:id="rId522" display="https://link.springer.com/journal/40675" xr:uid="{00000000-0004-0000-0200-000009020000}"/>
    <hyperlink ref="H535" r:id="rId523" display="https://link.springer.com/journal/40778" xr:uid="{00000000-0004-0000-0200-00000A020000}"/>
    <hyperlink ref="H536" r:id="rId524" display="https://link.springer.com/journal/40137" xr:uid="{00000000-0004-0000-0200-00000B020000}"/>
    <hyperlink ref="H537" r:id="rId525" display="https://link.springer.com/journal/40518" xr:uid="{00000000-0004-0000-0200-00000C020000}"/>
    <hyperlink ref="H538" r:id="rId526" display="https://link.springer.com/journal/43152" xr:uid="{00000000-0004-0000-0200-00000D020000}"/>
    <hyperlink ref="H539" r:id="rId527" display="https://link.springer.com/journal/40472" xr:uid="{00000000-0004-0000-0200-00000E020000}"/>
    <hyperlink ref="H540" r:id="rId528" display="https://link.springer.com/journal/40719" xr:uid="{00000000-0004-0000-0200-00000F020000}"/>
    <hyperlink ref="H541" r:id="rId529" display="https://link.springer.com/journal/40521" xr:uid="{00000000-0004-0000-0200-000010020000}"/>
    <hyperlink ref="H542" r:id="rId530" display="https://link.springer.com/journal/11936" xr:uid="{00000000-0004-0000-0200-000011020000}"/>
    <hyperlink ref="H543" r:id="rId531" display="https://link.springer.com/journal/11938" xr:uid="{00000000-0004-0000-0200-000012020000}"/>
    <hyperlink ref="H544" r:id="rId532" display="https://link.springer.com/journal/40506" xr:uid="{00000000-0004-0000-0200-000013020000}"/>
    <hyperlink ref="H545" r:id="rId533" display="https://link.springer.com/journal/11940" xr:uid="{00000000-0004-0000-0200-000014020000}"/>
    <hyperlink ref="H546" r:id="rId534" display="https://link.springer.com/journal/11864" xr:uid="{00000000-0004-0000-0200-000015020000}"/>
    <hyperlink ref="H547" r:id="rId535" display="https://link.springer.com/journal/40746" xr:uid="{00000000-0004-0000-0200-000016020000}"/>
    <hyperlink ref="H548" r:id="rId536" display="https://link.springer.com/journal/40501" xr:uid="{00000000-0004-0000-0200-000017020000}"/>
    <hyperlink ref="H549" r:id="rId537" display="https://link.springer.com/journal/40674" xr:uid="{00000000-0004-0000-0200-000018020000}"/>
    <hyperlink ref="H550" r:id="rId538" display="https://link.springer.com/journal/40475" xr:uid="{00000000-0004-0000-0200-000019020000}"/>
    <hyperlink ref="H551" r:id="rId539" display="https://link.springer.com/journal/11934" xr:uid="{00000000-0004-0000-0200-00001A020000}"/>
    <hyperlink ref="H552" r:id="rId540" display="https://link.springer.com/journal/41297" xr:uid="{00000000-0004-0000-0200-00001B020000}"/>
    <hyperlink ref="H553" r:id="rId541" display="https://link.springer.com/journal/40547" xr:uid="{00000000-0004-0000-0200-00001C020000}"/>
    <hyperlink ref="H554" r:id="rId542" display="https://link.springer.com/journal/10559" xr:uid="{00000000-0004-0000-0200-00001D020000}"/>
    <hyperlink ref="H555" r:id="rId543" display="https://link.springer.com/journal/11956" xr:uid="{00000000-0004-0000-0200-00001E020000}"/>
    <hyperlink ref="H556" r:id="rId544" display="https://link.springer.com/journal/10616" xr:uid="{00000000-0004-0000-0200-00001F020000}"/>
    <hyperlink ref="H557" r:id="rId545" display="https://link.springer.com/journal/10587" xr:uid="{00000000-0004-0000-0200-000020020000}"/>
    <hyperlink ref="H558" r:id="rId546" display="https://link.springer.com/journal/11712" xr:uid="{00000000-0004-0000-0200-000021020000}"/>
    <hyperlink ref="H559" r:id="rId547" display="https://link.springer.com/journal/40199" xr:uid="{00000000-0004-0000-0200-000022020000}"/>
    <hyperlink ref="H560" r:id="rId548" display="https://link.springer.com/journal/10618" xr:uid="{00000000-0004-0000-0200-000023020000}"/>
    <hyperlink ref="H561" r:id="rId549" display="https://link.springer.com/journal/13222" xr:uid="{00000000-0004-0000-0200-000024020000}"/>
    <hyperlink ref="H562" r:id="rId550" display="https://link.springer.com/journal/11623" xr:uid="{00000000-0004-0000-0200-000025020000}"/>
    <hyperlink ref="H563" r:id="rId551" display="https://link.springer.com/journal/10645" xr:uid="{00000000-0004-0000-0200-000026020000}"/>
    <hyperlink ref="H564" r:id="rId552" display="https://link.springer.com/journal/40622" xr:uid="{00000000-0004-0000-0200-000027020000}"/>
    <hyperlink ref="H565" r:id="rId553" display="https://link.springer.com/journal/10203" xr:uid="{00000000-0004-0000-0200-000028020000}"/>
    <hyperlink ref="H566" r:id="rId554" display="https://link.springer.com/journal/101" xr:uid="{00000000-0004-0000-0200-000029020000}"/>
    <hyperlink ref="H567" r:id="rId555" display="https://link.springer.com/journal/104" xr:uid="{00000000-0004-0000-0200-00002A020000}"/>
    <hyperlink ref="H568" r:id="rId556" display="https://link.springer.com/journal/11428" xr:uid="{00000000-0004-0000-0200-00002B020000}"/>
    <hyperlink ref="H569" r:id="rId557" display="https://link.springer.com/journal/12614" xr:uid="{00000000-0004-0000-0200-00002C020000}"/>
    <hyperlink ref="H570" r:id="rId558" display="https://link.springer.com/journal/11377" xr:uid="{00000000-0004-0000-0200-00002D020000}"/>
    <hyperlink ref="H571" r:id="rId559" display="https://link.springer.com/journal/129" xr:uid="{00000000-0004-0000-0200-00002E020000}"/>
    <hyperlink ref="H572" r:id="rId560" display="https://link.springer.com/journal/105" xr:uid="{00000000-0004-0000-0200-00002F020000}"/>
    <hyperlink ref="H573" r:id="rId561" display="https://link.springer.com/journal/108" xr:uid="{00000000-0004-0000-0200-000030020000}"/>
    <hyperlink ref="H574" r:id="rId562" display="https://link.springer.com/journal/13279" xr:uid="{00000000-0004-0000-0200-000031020000}"/>
    <hyperlink ref="H575" r:id="rId563" display="https://link.springer.com/journal/12181" xr:uid="{00000000-0004-0000-0200-000032020000}"/>
    <hyperlink ref="H576" r:id="rId564" display="https://link.springer.com/journal/12285" xr:uid="{00000000-0004-0000-0200-000033020000}"/>
    <hyperlink ref="H577" r:id="rId565" display="https://link.springer.com/journal/11560" xr:uid="{00000000-0004-0000-0200-000034020000}"/>
    <hyperlink ref="H578" r:id="rId566" display="https://link.springer.com/journal/115" xr:uid="{00000000-0004-0000-0200-000035020000}"/>
    <hyperlink ref="H579" r:id="rId567" display="https://link.springer.com/journal/761" xr:uid="{00000000-0004-0000-0200-000036020000}"/>
    <hyperlink ref="H580" r:id="rId568" display="https://link.springer.com/journal/347" xr:uid="{00000000-0004-0000-0200-000037020000}"/>
    <hyperlink ref="H581" r:id="rId569" display="https://link.springer.com/journal/132" xr:uid="{00000000-0004-0000-0200-000038020000}"/>
    <hyperlink ref="H582" r:id="rId570" display="https://link.springer.com/journal/292" xr:uid="{00000000-0004-0000-0200-000039020000}"/>
    <hyperlink ref="H583" r:id="rId571" display="https://link.springer.com/journal/10405" xr:uid="{00000000-0004-0000-0200-00003A020000}"/>
    <hyperlink ref="H584" r:id="rId572" display="https://link.springer.com/journal/117" xr:uid="{00000000-0004-0000-0200-00003B020000}"/>
    <hyperlink ref="H585" r:id="rId573" display="https://link.springer.com/journal/482" xr:uid="{00000000-0004-0000-0200-00003C020000}"/>
    <hyperlink ref="H586" r:id="rId574" display="https://link.springer.com/journal/113" xr:uid="{00000000-0004-0000-0200-00003D020000}"/>
    <hyperlink ref="H587" r:id="rId575" display="https://link.springer.com/journal/120" xr:uid="{00000000-0004-0000-0200-00003E020000}"/>
    <hyperlink ref="H588" r:id="rId576" display="https://link.springer.com/journal/10617" xr:uid="{00000000-0004-0000-0200-00003F020000}"/>
    <hyperlink ref="H589" r:id="rId577" display="https://link.springer.com/journal/10623" xr:uid="{00000000-0004-0000-0200-000040020000}"/>
    <hyperlink ref="H590" r:id="rId578" display="https://link.springer.com/journal/41245" xr:uid="{00000000-0004-0000-0200-000041020000}"/>
    <hyperlink ref="H591" r:id="rId579" display="https://link.springer.com/journal/42212" xr:uid="{00000000-0004-0000-0200-000042020000}"/>
    <hyperlink ref="H592" r:id="rId580" display="https://link.springer.com/journal/427" xr:uid="{00000000-0004-0000-0200-000043020000}"/>
    <hyperlink ref="H593" r:id="rId581" display="https://link.springer.com/journal/125" xr:uid="{00000000-0004-0000-0200-000044020000}"/>
    <hyperlink ref="H594" r:id="rId582" display="https://link.springer.com/journal/13340" xr:uid="{00000000-0004-0000-0200-000045020000}"/>
    <hyperlink ref="H595" r:id="rId583" display="https://link.springer.com/journal/10624" xr:uid="{00000000-0004-0000-0200-000046020000}"/>
    <hyperlink ref="H596" r:id="rId584" display="https://link.springer.com/journal/10625" xr:uid="{00000000-0004-0000-0200-000047020000}"/>
    <hyperlink ref="H597" r:id="rId585" display="https://link.springer.com/journal/12591" xr:uid="{00000000-0004-0000-0200-000048020000}"/>
    <hyperlink ref="H598" r:id="rId586" display="https://link.springer.com/journal/10620" xr:uid="{00000000-0004-0000-0200-000049020000}"/>
    <hyperlink ref="H599" r:id="rId587" display="https://link.springer.com/journal/40751" xr:uid="{00000000-0004-0000-0200-00004A020000}"/>
    <hyperlink ref="H600" r:id="rId588" display="https://link.springer.com/journal/42521" xr:uid="{00000000-0004-0000-0200-00004B020000}"/>
    <hyperlink ref="H601" r:id="rId589" display="https://link.springer.com/journal/44206" xr:uid="{00000000-0004-0000-0200-00004C020000}"/>
    <hyperlink ref="H602" r:id="rId590" display="https://link.springer.com/journal/454" xr:uid="{00000000-0004-0000-0200-00004D020000}"/>
    <hyperlink ref="H603" r:id="rId591" display="https://link.springer.com/journal/10626" xr:uid="{00000000-0004-0000-0200-00004E020000}"/>
    <hyperlink ref="H604" r:id="rId592" display="https://link.springer.com/journal/10619" xr:uid="{00000000-0004-0000-0200-00004F020000}"/>
    <hyperlink ref="H605" r:id="rId593" display="https://link.springer.com/journal/446" xr:uid="{00000000-0004-0000-0200-000050020000}"/>
    <hyperlink ref="H606" r:id="rId594" display="https://link.springer.com/journal/15202" xr:uid="{00000000-0004-0000-0200-000051020000}"/>
    <hyperlink ref="H607" r:id="rId595" display="https://link.springer.com/journal/10633" xr:uid="{00000000-0004-0000-0200-000052020000}"/>
    <hyperlink ref="H608" r:id="rId596" display="https://link.springer.com/journal/10628" xr:uid="{00000000-0004-0000-0200-000053020000}"/>
    <hyperlink ref="H609" r:id="rId597" display="https://link.springer.com/journal/10630" xr:uid="{00000000-0004-0000-0200-000054020000}"/>
    <hyperlink ref="H610" r:id="rId598" display="https://link.springer.com/journal/10631" xr:uid="{00000000-0004-0000-0200-000055020000}"/>
    <hyperlink ref="H611" r:id="rId599" display="https://link.springer.com/journal/11471" xr:uid="{00000000-0004-0000-0200-000056020000}"/>
    <hyperlink ref="H612" r:id="rId600" display="https://link.springer.com/journal/11472" xr:uid="{00000000-0004-0000-0200-000057020000}"/>
    <hyperlink ref="H613" r:id="rId601" display="https://link.springer.com/journal/10634" xr:uid="{00000000-0004-0000-0200-000058020000}"/>
    <hyperlink ref="H614" r:id="rId602" display="https://link.springer.com/journal/11446" xr:uid="{00000000-0004-0000-0200-000059020000}"/>
    <hyperlink ref="H615" r:id="rId603" display="https://link.springer.com/journal/13346" xr:uid="{00000000-0004-0000-0200-00005A020000}"/>
    <hyperlink ref="H616" r:id="rId604" display="https://link.springer.com/journal/13235" xr:uid="{00000000-0004-0000-0200-00005B020000}"/>
    <hyperlink ref="H617" r:id="rId605" display="https://link.springer.com/journal/455" xr:uid="{00000000-0004-0000-0200-00005C020000}"/>
    <hyperlink ref="H618" r:id="rId606" display="https://link.springer.com/journal/502" xr:uid="{00000000-0004-0000-0200-00005D020000}"/>
    <hyperlink ref="H619" r:id="rId607" display="https://link.springer.com/journal/10643" xr:uid="{00000000-0004-0000-0200-00005E020000}"/>
    <hyperlink ref="H620" r:id="rId608" display="https://link.springer.com/journal/12145" xr:uid="{00000000-0004-0000-0200-00005F020000}"/>
    <hyperlink ref="H621" r:id="rId609" display="https://link.springer.com/journal/41748" xr:uid="{00000000-0004-0000-0200-000060020000}"/>
    <hyperlink ref="H622" r:id="rId610" display="https://link.springer.com/journal/11038" xr:uid="{00000000-0004-0000-0200-000061020000}"/>
    <hyperlink ref="H623" r:id="rId611" display="https://link.springer.com/journal/11803" xr:uid="{00000000-0004-0000-0200-000062020000}"/>
    <hyperlink ref="H624" r:id="rId612" display="https://link.springer.com/journal/12140" xr:uid="{00000000-0004-0000-0200-000063020000}"/>
    <hyperlink ref="H625" r:id="rId613" display="https://link.springer.com/journal/10393" xr:uid="{00000000-0004-0000-0200-000064020000}"/>
    <hyperlink ref="H626" r:id="rId614" display="https://link.springer.com/journal/40888" xr:uid="{00000000-0004-0000-0200-000065020000}"/>
    <hyperlink ref="H627" r:id="rId615" display="https://link.springer.com/journal/12231" xr:uid="{00000000-0004-0000-0200-000066020000}"/>
    <hyperlink ref="H628" r:id="rId616" display="https://link.springer.com/journal/10644" xr:uid="{00000000-0004-0000-0200-000067020000}"/>
    <hyperlink ref="H629" r:id="rId617" display="https://link.springer.com/journal/199" xr:uid="{00000000-0004-0000-0200-000068020000}"/>
    <hyperlink ref="H630" r:id="rId618" display="https://link.springer.com/journal/40505" xr:uid="{00000000-0004-0000-0200-000069020000}"/>
    <hyperlink ref="H631" r:id="rId619" display="https://link.springer.com/journal/41885" xr:uid="{00000000-0004-0000-0200-00006A020000}"/>
    <hyperlink ref="H632" r:id="rId620" display="https://link.springer.com/journal/10101" xr:uid="{00000000-0004-0000-0200-00006B020000}"/>
    <hyperlink ref="H633" r:id="rId621" display="https://link.springer.com/journal/10021" xr:uid="{00000000-0004-0000-0200-00006C020000}"/>
    <hyperlink ref="H634" r:id="rId622" display="https://link.springer.com/journal/10646" xr:uid="{00000000-0004-0000-0200-00006D020000}"/>
    <hyperlink ref="H635" r:id="rId623" display="https://link.springer.com/journal/10639" xr:uid="{00000000-0004-0000-0200-00006E020000}"/>
    <hyperlink ref="H636" r:id="rId624" display="https://link.springer.com/journal/43494" xr:uid="{00000000-0004-0000-0200-00006F020000}"/>
    <hyperlink ref="H637" r:id="rId625" display="https://link.springer.com/journal/11092" xr:uid="{00000000-0004-0000-0200-000070020000}"/>
    <hyperlink ref="H638" r:id="rId626" display="https://link.springer.com/journal/10648" xr:uid="{00000000-0004-0000-0200-000071020000}"/>
    <hyperlink ref="H639" r:id="rId627" display="https://link.springer.com/journal/10671" xr:uid="{00000000-0004-0000-0200-000072020000}"/>
    <hyperlink ref="H640" r:id="rId628" display="https://link.springer.com/journal/10649" xr:uid="{00000000-0004-0000-0200-000073020000}"/>
    <hyperlink ref="H641" r:id="rId629" display="https://link.springer.com/journal/11423" xr:uid="{00000000-0004-0000-0200-000074020000}"/>
    <hyperlink ref="H642" r:id="rId630" display="https://link.springer.com/journal/202" xr:uid="{00000000-0004-0000-0200-000075020000}"/>
    <hyperlink ref="H643" r:id="rId631" display="https://link.springer.com/journal/12678" xr:uid="{00000000-0004-0000-0200-000076020000}"/>
    <hyperlink ref="H644" r:id="rId632" display="https://link.springer.com/journal/41918" xr:uid="{00000000-0004-0000-0200-000077020000}"/>
    <hyperlink ref="H645" r:id="rId633" display="https://link.springer.com/journal/10660" xr:uid="{00000000-0004-0000-0200-000078020000}"/>
    <hyperlink ref="H646" r:id="rId634" display="https://link.springer.com/journal/12525" xr:uid="{00000000-0004-0000-0200-000079020000}"/>
    <hyperlink ref="H647" r:id="rId635" display="https://link.springer.com/journal/13391" xr:uid="{00000000-0004-0000-0200-00007A020000}"/>
    <hyperlink ref="H648" r:id="rId636" display="https://link.springer.com/journal/10140" xr:uid="{00000000-0004-0000-0200-00007B020000}"/>
    <hyperlink ref="H649" r:id="rId637" display="https://link.springer.com/journal/42247" xr:uid="{00000000-0004-0000-0200-00007C020000}"/>
    <hyperlink ref="H650" r:id="rId638" display="https://link.springer.com/journal/40825" xr:uid="{00000000-0004-0000-0200-00007D020000}"/>
    <hyperlink ref="H651" r:id="rId639" display="https://link.springer.com/journal/10663" xr:uid="{00000000-0004-0000-0200-00007E020000}"/>
    <hyperlink ref="H652" r:id="rId640" display="https://link.springer.com/journal/181" xr:uid="{00000000-0004-0000-0200-00007F020000}"/>
    <hyperlink ref="H653" r:id="rId641" display="https://link.springer.com/journal/10664" xr:uid="{00000000-0004-0000-0200-000080020000}"/>
    <hyperlink ref="H654" r:id="rId642" display="https://link.springer.com/journal/10672" xr:uid="{00000000-0004-0000-0200-000081020000}"/>
    <hyperlink ref="H655" r:id="rId643" display="https://link.springer.com/journal/12020" xr:uid="{00000000-0004-0000-0200-000082020000}"/>
    <hyperlink ref="H656" r:id="rId644" display="https://link.springer.com/journal/12022" xr:uid="{00000000-0004-0000-0200-000083020000}"/>
    <hyperlink ref="H657" r:id="rId645" display="https://link.springer.com/journal/12053" xr:uid="{00000000-0004-0000-0200-000084020000}"/>
    <hyperlink ref="H658" r:id="rId646" display="https://link.springer.com/journal/12667" xr:uid="{00000000-0004-0000-0200-000085020000}"/>
    <hyperlink ref="H659" r:id="rId647" display="https://link.springer.com/journal/40974" xr:uid="{00000000-0004-0000-0200-000086020000}"/>
    <hyperlink ref="H660" r:id="rId648" display="https://link.springer.com/journal/366" xr:uid="{00000000-0004-0000-0200-000087020000}"/>
    <hyperlink ref="H661" r:id="rId649" display="https://link.springer.com/journal/42321" xr:uid="{00000000-0004-0000-0200-000088020000}"/>
    <hyperlink ref="H662" r:id="rId650" display="https://link.springer.com/journal/11474" xr:uid="{00000000-0004-0000-0200-000089020000}"/>
    <hyperlink ref="H663" r:id="rId651" display="https://link.springer.com/journal/41959" xr:uid="{00000000-0004-0000-0200-00008A020000}"/>
    <hyperlink ref="H664" r:id="rId652" display="https://link.springer.com/journal/10669" xr:uid="{00000000-0004-0000-0200-00008B020000}"/>
    <hyperlink ref="H665" r:id="rId653" display="https://link.springer.com/journal/10668" xr:uid="{00000000-0004-0000-0200-00008C020000}"/>
    <hyperlink ref="H666" r:id="rId654" display="https://link.springer.com/journal/10651" xr:uid="{00000000-0004-0000-0200-00008D020000}"/>
    <hyperlink ref="H667" r:id="rId655" display="https://link.springer.com/journal/10640" xr:uid="{00000000-0004-0000-0200-00008E020000}"/>
    <hyperlink ref="H668" r:id="rId656" display="https://link.springer.com/journal/10641" xr:uid="{00000000-0004-0000-0200-00008F020000}"/>
    <hyperlink ref="H669" r:id="rId657" display="https://link.springer.com/journal/10311" xr:uid="{00000000-0004-0000-0200-000090020000}"/>
    <hyperlink ref="H670" r:id="rId658" display="https://link.springer.com/journal/12665" xr:uid="{00000000-0004-0000-0200-000091020000}"/>
    <hyperlink ref="H671" r:id="rId659" display="https://link.springer.com/journal/10018" xr:uid="{00000000-0004-0000-0200-000092020000}"/>
    <hyperlink ref="H672" r:id="rId660" display="https://link.springer.com/journal/10652" xr:uid="{00000000-0004-0000-0200-000093020000}"/>
    <hyperlink ref="H673" r:id="rId661" display="https://link.springer.com/journal/10653" xr:uid="{00000000-0004-0000-0200-000094020000}"/>
    <hyperlink ref="H674" r:id="rId662" display="https://link.springer.com/journal/267" xr:uid="{00000000-0004-0000-0200-000095020000}"/>
    <hyperlink ref="H675" r:id="rId663" display="https://link.springer.com/journal/10666" xr:uid="{00000000-0004-0000-0200-000096020000}"/>
    <hyperlink ref="H676" r:id="rId664" display="https://link.springer.com/journal/10661" xr:uid="{00000000-0004-0000-0200-000097020000}"/>
    <hyperlink ref="H677" r:id="rId665" display="https://link.springer.com/journal/40710" xr:uid="{00000000-0004-0000-0200-000098020000}"/>
    <hyperlink ref="H678" r:id="rId666" display="https://link.springer.com/journal/11356" xr:uid="{00000000-0004-0000-0200-000099020000}"/>
    <hyperlink ref="H679" r:id="rId667" display="https://link.springer.com/journal/42398" xr:uid="{00000000-0004-0000-0200-00009A020000}"/>
    <hyperlink ref="H680" r:id="rId668" display="https://link.springer.com/journal/13167" xr:uid="{00000000-0004-0000-0200-00009B020000}"/>
    <hyperlink ref="H681" r:id="rId669" display="https://link.springer.com/journal/12027" xr:uid="{00000000-0004-0000-0200-00009C020000}"/>
    <hyperlink ref="H682" r:id="rId670" display="https://link.springer.com/journal/10670" xr:uid="{00000000-0004-0000-0200-00009D020000}"/>
    <hyperlink ref="H683" r:id="rId671" display="https://link.springer.com/journal/10341" xr:uid="{00000000-0004-0000-0200-00009E020000}"/>
    <hyperlink ref="H684" r:id="rId672" display="https://link.springer.com/journal/10388" xr:uid="{00000000-0004-0000-0200-00009F020000}"/>
    <hyperlink ref="H685" r:id="rId673" display="https://link.springer.com/journal/12237" xr:uid="{00000000-0004-0000-0200-0000A0020000}"/>
    <hyperlink ref="H686" r:id="rId674" display="https://link.springer.com/journal/10677" xr:uid="{00000000-0004-0000-0200-0000A1020000}"/>
    <hyperlink ref="H687" r:id="rId675" display="https://link.springer.com/journal/10676" xr:uid="{00000000-0004-0000-0200-0000A2020000}"/>
    <hyperlink ref="H688" r:id="rId676" display="https://link.springer.com/journal/481" xr:uid="{00000000-0004-0000-0200-0000A3020000}"/>
    <hyperlink ref="H689" r:id="rId677" display="https://link.springer.com/journal/10681" xr:uid="{00000000-0004-0000-0200-0000A4020000}"/>
    <hyperlink ref="H690" r:id="rId678" display="https://link.springer.com/journal/40821" xr:uid="{00000000-0004-0000-0200-0000A5020000}"/>
    <hyperlink ref="H691" r:id="rId679" display="https://link.springer.com/journal/40822" xr:uid="{00000000-0004-0000-0200-0000A6020000}"/>
    <hyperlink ref="H692" r:id="rId680" display="https://link.springer.com/journal/11475" xr:uid="{00000000-0004-0000-0200-0000A7020000}"/>
    <hyperlink ref="H693" r:id="rId681" display="https://link.springer.com/journal/41207" xr:uid="{00000000-0004-0000-0200-0000A8020000}"/>
    <hyperlink ref="H694" r:id="rId682" display="https://link.springer.com/journal/13385" xr:uid="{00000000-0004-0000-0200-0000A9020000}"/>
    <hyperlink ref="H695" r:id="rId683" display="https://link.springer.com/journal/405" xr:uid="{00000000-0004-0000-0200-0000AA020000}"/>
    <hyperlink ref="H696" r:id="rId684" display="https://link.springer.com/journal/40368" xr:uid="{00000000-0004-0000-0200-0000AB020000}"/>
    <hyperlink ref="H697" r:id="rId685" display="https://link.springer.com/journal/406" xr:uid="{00000000-0004-0000-0200-0000AC020000}"/>
    <hyperlink ref="H698" r:id="rId686" display="https://link.springer.com/journal/249" xr:uid="{00000000-0004-0000-0200-0000AD020000}"/>
    <hyperlink ref="H699" r:id="rId687" display="https://link.springer.com/journal/40804" xr:uid="{00000000-0004-0000-0200-0000AE020000}"/>
    <hyperlink ref="H700" r:id="rId688" display="https://link.springer.com/journal/787" xr:uid="{00000000-0004-0000-0200-0000AF020000}"/>
    <hyperlink ref="H701" r:id="rId689" display="https://link.springer.com/journal/40698" xr:uid="{00000000-0004-0000-0200-0000B0020000}"/>
    <hyperlink ref="H702" r:id="rId690" display="https://link.springer.com/journal/217" xr:uid="{00000000-0004-0000-0200-0000B1020000}"/>
    <hyperlink ref="H703" r:id="rId691" display="https://link.springer.com/journal/41999" xr:uid="{00000000-0004-0000-0200-0000B2020000}"/>
    <hyperlink ref="H704" r:id="rId692" display="https://link.springer.com/journal/13194" xr:uid="{00000000-0004-0000-0200-0000B3020000}"/>
    <hyperlink ref="H705" r:id="rId693" display="https://link.springer.com/journal/41125" xr:uid="{00000000-0004-0000-0200-0000B4020000}"/>
    <hyperlink ref="H706" r:id="rId694" display="https://link.springer.com/journal/421" xr:uid="{00000000-0004-0000-0200-0000B5020000}"/>
    <hyperlink ref="H707" r:id="rId695" display="https://link.springer.com/journal/10096" xr:uid="{00000000-0004-0000-0200-0000B6020000}"/>
    <hyperlink ref="H708" r:id="rId696" display="https://link.springer.com/journal/228" xr:uid="{00000000-0004-0000-0200-0000B7020000}"/>
    <hyperlink ref="H709" r:id="rId697" display="https://link.springer.com/journal/40699" xr:uid="{00000000-0004-0000-0200-0000B8020000}"/>
    <hyperlink ref="H710" r:id="rId698" display="https://link.springer.com/journal/10654" xr:uid="{00000000-0004-0000-0200-0000B9020000}"/>
    <hyperlink ref="H711" r:id="rId699" display="https://link.springer.com/journal/10342" xr:uid="{00000000-0004-0000-0200-0000BA020000}"/>
    <hyperlink ref="H712" r:id="rId700" display="https://link.springer.com/journal/10657" xr:uid="{00000000-0004-0000-0200-0000BB020000}"/>
    <hyperlink ref="H713" r:id="rId701" display="https://link.springer.com/journal/40879" xr:uid="{00000000-0004-0000-0200-0000BC020000}"/>
    <hyperlink ref="H714" r:id="rId702" display="https://link.springer.com/journal/259" xr:uid="{00000000-0004-0000-0200-0000BD020000}"/>
    <hyperlink ref="H715" r:id="rId703" display="https://link.springer.com/journal/394" xr:uid="{00000000-0004-0000-0200-0000BE020000}"/>
    <hyperlink ref="H716" r:id="rId704" display="https://link.springer.com/journal/590" xr:uid="{00000000-0004-0000-0200-0000BF020000}"/>
    <hyperlink ref="H717" r:id="rId705" display="https://link.springer.com/journal/431" xr:uid="{00000000-0004-0000-0200-0000C0020000}"/>
    <hyperlink ref="H718" r:id="rId706" display="https://link.springer.com/journal/10658" xr:uid="{00000000-0004-0000-0200-0000C1020000}"/>
    <hyperlink ref="H719" r:id="rId707" display="https://link.springer.com/journal/238" xr:uid="{00000000-0004-0000-0200-0000C2020000}"/>
    <hyperlink ref="H720" r:id="rId708" display="https://link.springer.com/journal/10212" xr:uid="{00000000-0004-0000-0200-0000C3020000}"/>
    <hyperlink ref="H721" r:id="rId709" display="https://link.springer.com/journal/68" xr:uid="{00000000-0004-0000-0200-0000C4020000}"/>
    <hyperlink ref="H722" r:id="rId710" display="https://link.springer.com/journal/10344" xr:uid="{00000000-0004-0000-0200-0000C5020000}"/>
    <hyperlink ref="H723" r:id="rId711" display="https://link.springer.com/journal/107" xr:uid="{00000000-0004-0000-0200-0000C6020000}"/>
    <hyperlink ref="H724" r:id="rId712" display="https://link.springer.com/journal/10610" xr:uid="{00000000-0004-0000-0200-0000C7020000}"/>
    <hyperlink ref="H725" r:id="rId713" display="https://link.springer.com/journal/330" xr:uid="{00000000-0004-0000-0200-0000C8020000}"/>
    <hyperlink ref="H726" r:id="rId714" display="https://link.springer.com/journal/586" xr:uid="{00000000-0004-0000-0200-0000C9020000}"/>
    <hyperlink ref="H727" r:id="rId715" display="https://link.springer.com/journal/10353" xr:uid="{00000000-0004-0000-0200-0000CA020000}"/>
    <hyperlink ref="H728" r:id="rId716" display="https://link.springer.com/journal/40844" xr:uid="{00000000-0004-0000-0200-0000CB020000}"/>
    <hyperlink ref="H729" r:id="rId717" display="https://link.springer.com/journal/11692" xr:uid="{00000000-0004-0000-0200-0000CC020000}"/>
    <hyperlink ref="H730" r:id="rId718" display="https://link.springer.com/journal/10682" xr:uid="{00000000-0004-0000-0200-0000CD020000}"/>
    <hyperlink ref="H731" r:id="rId719" display="https://link.springer.com/journal/12065" xr:uid="{00000000-0004-0000-0200-0000CE020000}"/>
    <hyperlink ref="H732" r:id="rId720" display="https://link.springer.com/journal/40806" xr:uid="{00000000-0004-0000-0200-0000CF020000}"/>
    <hyperlink ref="H733" r:id="rId721" display="https://link.springer.com/journal/12530" xr:uid="{00000000-0004-0000-0200-0000D0020000}"/>
    <hyperlink ref="H734" r:id="rId722" display="https://link.springer.com/journal/10493" xr:uid="{00000000-0004-0000-0200-0000D1020000}"/>
    <hyperlink ref="H735" r:id="rId723" display="https://link.springer.com/journal/42757" xr:uid="{00000000-0004-0000-0200-0000D2020000}"/>
    <hyperlink ref="H736" r:id="rId724" display="https://link.springer.com/journal/10686" xr:uid="{00000000-0004-0000-0200-0000D3020000}"/>
    <hyperlink ref="H737" r:id="rId725" display="https://link.springer.com/journal/221" xr:uid="{00000000-0004-0000-0200-0000D4020000}"/>
    <hyperlink ref="H738" r:id="rId726" display="https://link.springer.com/journal/10683" xr:uid="{00000000-0004-0000-0200-0000D5020000}"/>
    <hyperlink ref="H739" r:id="rId727" display="https://link.springer.com/journal/11340" xr:uid="{00000000-0004-0000-0200-0000D6020000}"/>
    <hyperlink ref="H740" r:id="rId728" display="https://link.springer.com/journal/40799" xr:uid="{00000000-0004-0000-0200-0000D7020000}"/>
    <hyperlink ref="H741" r:id="rId729" display="https://link.springer.com/journal/348" xr:uid="{00000000-0004-0000-0200-0000D8020000}"/>
    <hyperlink ref="H742" r:id="rId730" display="https://link.springer.com/journal/12403" xr:uid="{00000000-0004-0000-0200-0000D9020000}"/>
    <hyperlink ref="H743" r:id="rId731" display="https://link.springer.com/journal/10687" xr:uid="{00000000-0004-0000-0200-0000DA020000}"/>
    <hyperlink ref="H744" r:id="rId732" display="https://link.springer.com/journal/792" xr:uid="{00000000-0004-0000-0200-0000DB020000}"/>
    <hyperlink ref="H745" r:id="rId733" display="https://link.springer.com/journal/10347" xr:uid="{00000000-0004-0000-0200-0000DC020000}"/>
    <hyperlink ref="H746" r:id="rId734" display="https://link.springer.com/journal/10689" xr:uid="{00000000-0004-0000-0200-0000DD020000}"/>
    <hyperlink ref="H747" r:id="rId735" display="https://link.springer.com/journal/10691" xr:uid="{00000000-0004-0000-0200-0000DE020000}"/>
    <hyperlink ref="H748" r:id="rId736" display="https://link.springer.com/journal/601" xr:uid="{00000000-0004-0000-0200-0000DF020000}"/>
    <hyperlink ref="H749" r:id="rId737" display="https://link.springer.com/journal/12221" xr:uid="{00000000-0004-0000-0200-0000E0020000}"/>
    <hyperlink ref="H750" r:id="rId738" display="https://link.springer.com/journal/10692" xr:uid="{00000000-0004-0000-0200-0000E1020000}"/>
    <hyperlink ref="H751" r:id="rId739" display="https://link.springer.com/journal/780" xr:uid="{00000000-0004-0000-0200-0000E2020000}"/>
    <hyperlink ref="H752" r:id="rId740" display="https://link.springer.com/journal/11408" xr:uid="{00000000-0004-0000-0200-0000E3020000}"/>
    <hyperlink ref="H753" r:id="rId741" display="https://link.springer.com/journal/10694" xr:uid="{00000000-0004-0000-0200-0000E4020000}"/>
    <hyperlink ref="H754" r:id="rId742" display="https://link.springer.com/journal/10695" xr:uid="{00000000-0004-0000-0200-0000E5020000}"/>
    <hyperlink ref="H755" r:id="rId743" display="https://link.springer.com/journal/12562" xr:uid="{00000000-0004-0000-0200-0000E6020000}"/>
    <hyperlink ref="H756" r:id="rId744" display="https://link.springer.com/journal/10696" xr:uid="{00000000-0004-0000-0200-0000E7020000}"/>
    <hyperlink ref="H757" r:id="rId745" display="https://link.springer.com/journal/10494" xr:uid="{00000000-0004-0000-0200-0000E8020000}"/>
    <hyperlink ref="H758" r:id="rId746" display="https://link.springer.com/journal/10697" xr:uid="{00000000-0004-0000-0200-0000E9020000}"/>
    <hyperlink ref="H759" r:id="rId747" display="https://link.springer.com/journal/12224" xr:uid="{00000000-0004-0000-0200-0000EA020000}"/>
    <hyperlink ref="H760" r:id="rId748" display="https://link.springer.com/journal/12223" xr:uid="{00000000-0004-0000-0200-0000EB020000}"/>
    <hyperlink ref="H761" r:id="rId749" display="https://link.springer.com/journal/12161" xr:uid="{00000000-0004-0000-0200-0000EC020000}"/>
    <hyperlink ref="H762" r:id="rId750" display="https://link.springer.com/journal/11947" xr:uid="{00000000-0004-0000-0200-0000ED020000}"/>
    <hyperlink ref="H763" r:id="rId751" display="https://link.springer.com/journal/12560" xr:uid="{00000000-0004-0000-0200-0000EE020000}"/>
    <hyperlink ref="H764" r:id="rId752" display="https://link.springer.com/journal/11483" xr:uid="{00000000-0004-0000-0200-0000EF020000}"/>
    <hyperlink ref="H765" r:id="rId753" display="https://link.springer.com/journal/12393" xr:uid="{00000000-0004-0000-0200-0000F0020000}"/>
    <hyperlink ref="H766" r:id="rId754" display="https://link.springer.com/journal/41055" xr:uid="{00000000-0004-0000-0200-0000F1020000}"/>
    <hyperlink ref="H767" r:id="rId755" display="https://link.springer.com/journal/10068" xr:uid="{00000000-0004-0000-0200-0000F2020000}"/>
    <hyperlink ref="H768" r:id="rId756" display="https://link.springer.com/journal/12571" xr:uid="{00000000-0004-0000-0200-0000F3020000}"/>
    <hyperlink ref="H769" r:id="rId757" display="https://link.springer.com/journal/12024" xr:uid="{00000000-0004-0000-0200-0000F4020000}"/>
    <hyperlink ref="H770" r:id="rId758" display="https://link.springer.com/journal/11419" xr:uid="{00000000-0004-0000-0200-0000F5020000}"/>
    <hyperlink ref="H771" r:id="rId759" display="https://link.springer.com/journal/11757" xr:uid="{00000000-0004-0000-0200-0000F6020000}"/>
    <hyperlink ref="H772" r:id="rId760" display="https://link.springer.com/journal/10703" xr:uid="{00000000-0004-0000-0200-0000F7020000}"/>
    <hyperlink ref="H773" r:id="rId761" display="https://link.springer.com/journal/10010" xr:uid="{00000000-0004-0000-0200-0000F8020000}"/>
    <hyperlink ref="H774" r:id="rId762" display="https://link.springer.com/journal/12312" xr:uid="{00000000-0004-0000-0200-0000F9020000}"/>
    <hyperlink ref="H775" r:id="rId763" display="https://link.springer.com/journal/451" xr:uid="{00000000-0004-0000-0200-0000FA020000}"/>
    <hyperlink ref="H776" r:id="rId764" display="https://link.springer.com/journal/10698" xr:uid="{00000000-0004-0000-0200-0000FB020000}"/>
    <hyperlink ref="H777" r:id="rId765" display="https://link.springer.com/journal/10208" xr:uid="{00000000-0004-0000-0200-0000FC020000}"/>
    <hyperlink ref="H778" r:id="rId766" display="https://link.springer.com/journal/10701" xr:uid="{00000000-0004-0000-0200-0000FD020000}"/>
    <hyperlink ref="H779" r:id="rId767" display="https://link.springer.com/journal/10699" xr:uid="{00000000-0004-0000-0200-0000FE020000}"/>
    <hyperlink ref="H780" r:id="rId768" display="https://link.springer.com/journal/11708" xr:uid="{00000000-0004-0000-0200-0000FF020000}"/>
    <hyperlink ref="H781" r:id="rId769" display="https://link.springer.com/journal/11705" xr:uid="{00000000-0004-0000-0200-000000030000}"/>
    <hyperlink ref="H782" r:id="rId770" display="https://link.springer.com/journal/11704" xr:uid="{00000000-0004-0000-0200-000001030000}"/>
    <hyperlink ref="H783" r:id="rId771" display="https://link.springer.com/journal/11707" xr:uid="{00000000-0004-0000-0200-000002030000}"/>
    <hyperlink ref="H784" r:id="rId772" display="https://link.springer.com/journal/42524" xr:uid="{00000000-0004-0000-0200-000003030000}"/>
    <hyperlink ref="H785" r:id="rId773" display="https://link.springer.com/journal/11783" xr:uid="{00000000-0004-0000-0200-000004030000}"/>
    <hyperlink ref="H786" r:id="rId774" display="https://link.springer.com/journal/11714" xr:uid="{00000000-0004-0000-0200-000005030000}"/>
    <hyperlink ref="H787" r:id="rId775" display="https://link.springer.com/journal/11706" xr:uid="{00000000-0004-0000-0200-000006030000}"/>
    <hyperlink ref="H788" r:id="rId776" display="https://link.springer.com/journal/11464" xr:uid="{00000000-0004-0000-0200-000007030000}"/>
    <hyperlink ref="H789" r:id="rId777" display="https://link.springer.com/journal/11465" xr:uid="{00000000-0004-0000-0200-000008030000}"/>
    <hyperlink ref="H790" r:id="rId778" display="https://link.springer.com/journal/11684" xr:uid="{00000000-0004-0000-0200-000009030000}"/>
    <hyperlink ref="H791" r:id="rId779" display="https://link.springer.com/journal/11467" xr:uid="{00000000-0004-0000-0200-00000A030000}"/>
    <hyperlink ref="H792" r:id="rId780" display="https://link.springer.com/journal/11709" xr:uid="{00000000-0004-0000-0200-00000B030000}"/>
    <hyperlink ref="H793" r:id="rId781" display="https://link.springer.com/journal/40647" xr:uid="{00000000-0004-0000-0200-00000C030000}"/>
    <hyperlink ref="H794" r:id="rId782" display="https://link.springer.com/journal/10142" xr:uid="{00000000-0004-0000-0200-00000D030000}"/>
    <hyperlink ref="H795" r:id="rId783" display="https://link.springer.com/journal/10688" xr:uid="{00000000-0004-0000-0200-00000E030000}"/>
    <hyperlink ref="H796" r:id="rId784" display="https://link.springer.com/journal/13225" xr:uid="{00000000-0004-0000-0200-00000F030000}"/>
    <hyperlink ref="H797" r:id="rId785" display="https://link.springer.com/journal/10700" xr:uid="{00000000-0004-0000-0200-000010030000}"/>
    <hyperlink ref="H798" r:id="rId786" display="https://link.springer.com/journal/10120" xr:uid="{00000000-0004-0000-0200-000011030000}"/>
    <hyperlink ref="H799" r:id="rId787" display="https://link.springer.com/journal/15036" xr:uid="{00000000-0004-0000-0200-000012030000}"/>
    <hyperlink ref="H800" r:id="rId788" display="https://link.springer.com/journal/772" xr:uid="{00000000-0004-0000-0200-000013030000}"/>
    <hyperlink ref="H801" r:id="rId789" display="https://link.springer.com/journal/13137" xr:uid="{00000000-0004-0000-0200-000014030000}"/>
    <hyperlink ref="H802" r:id="rId790" display="https://link.springer.com/journal/12147" xr:uid="{00000000-0004-0000-0200-000015030000}"/>
    <hyperlink ref="H803" r:id="rId791" display="https://link.springer.com/journal/10714" xr:uid="{00000000-0004-0000-0200-000016030000}"/>
    <hyperlink ref="H804" r:id="rId792" display="https://link.springer.com/journal/11748" xr:uid="{00000000-0004-0000-0200-000017030000}"/>
    <hyperlink ref="H805" r:id="rId793" display="https://link.springer.com/journal/13258" xr:uid="{00000000-0004-0000-0200-000018030000}"/>
    <hyperlink ref="H806" r:id="rId794" display="https://link.springer.com/journal/10710" xr:uid="{00000000-0004-0000-0200-000019030000}"/>
    <hyperlink ref="H807" r:id="rId795" display="https://link.springer.com/journal/10722" xr:uid="{00000000-0004-0000-0200-00001A030000}"/>
    <hyperlink ref="H808" r:id="rId796" display="https://link.springer.com/journal/10709" xr:uid="{00000000-0004-0000-0200-00001B030000}"/>
    <hyperlink ref="H809" r:id="rId797" display="https://link.springer.com/journal/42764" xr:uid="{00000000-0004-0000-0200-00001C030000}"/>
    <hyperlink ref="H810" r:id="rId798" display="https://link.springer.com/journal/11476" xr:uid="{00000000-0004-0000-0200-00001D030000}"/>
    <hyperlink ref="H811" r:id="rId799" display="https://link.springer.com/journal/13541" xr:uid="{00000000-0004-0000-0200-00001E030000}"/>
    <hyperlink ref="H812" r:id="rId800" display="https://link.springer.com/journal/12371" xr:uid="{00000000-0004-0000-0200-00001F030000}"/>
    <hyperlink ref="H813" r:id="rId801" display="https://link.springer.com/journal/10707" xr:uid="{00000000-0004-0000-0200-000020030000}"/>
    <hyperlink ref="H814" r:id="rId802" display="https://link.springer.com/journal/10708" xr:uid="{00000000-0004-0000-0200-000021030000}"/>
    <hyperlink ref="H815" r:id="rId803" display="https://link.springer.com/journal/11477" xr:uid="{00000000-0004-0000-0200-000022030000}"/>
    <hyperlink ref="H816" r:id="rId804" display="https://link.springer.com/journal/11478" xr:uid="{00000000-0004-0000-0200-000023030000}"/>
    <hyperlink ref="H817" r:id="rId805" display="https://link.springer.com/journal/367" xr:uid="{00000000-0004-0000-0200-000024030000}"/>
    <hyperlink ref="H818" r:id="rId806" display="https://link.springer.com/journal/10711" xr:uid="{00000000-0004-0000-0200-000025030000}"/>
    <hyperlink ref="H819" r:id="rId807" display="https://link.springer.com/journal/39" xr:uid="{00000000-0004-0000-0200-000026030000}"/>
    <hyperlink ref="H820" r:id="rId808" display="https://link.springer.com/journal/12303" xr:uid="{00000000-0004-0000-0200-000027030000}"/>
    <hyperlink ref="H821" r:id="rId809" display="https://link.springer.com/journal/10706" xr:uid="{00000000-0004-0000-0200-000028030000}"/>
    <hyperlink ref="H822" r:id="rId810" display="https://link.springer.com/journal/11479" xr:uid="{00000000-0004-0000-0200-000029030000}"/>
    <hyperlink ref="H823" r:id="rId811" display="https://link.springer.com/journal/12662" xr:uid="{00000000-0004-0000-0200-00002A030000}"/>
    <hyperlink ref="H824" r:id="rId812" display="https://link.springer.com/journal/11357" xr:uid="{00000000-0004-0000-0200-00002B030000}"/>
    <hyperlink ref="H825" r:id="rId813" display="https://link.springer.com/journal/10343" xr:uid="{00000000-0004-0000-0200-00002C030000}"/>
    <hyperlink ref="H826" r:id="rId814" display="https://link.springer.com/journal/10717" xr:uid="{00000000-0004-0000-0200-00002D030000}"/>
    <hyperlink ref="H827" r:id="rId815" display="https://link.springer.com/journal/10720" xr:uid="{00000000-0004-0000-0200-00002E030000}"/>
    <hyperlink ref="H828" r:id="rId816" display="https://link.springer.com/journal/40940" xr:uid="{00000000-0004-0000-0200-00002F030000}"/>
    <hyperlink ref="H829" r:id="rId817" display="https://link.springer.com/journal/43477" xr:uid="{00000000-0004-0000-0200-000030030000}"/>
    <hyperlink ref="H830" r:id="rId818" display="https://link.springer.com/journal/40171" xr:uid="{00000000-0004-0000-0200-000031030000}"/>
    <hyperlink ref="H831" r:id="rId819" display="https://link.springer.com/journal/43508" xr:uid="{00000000-0004-0000-0200-000032030000}"/>
    <hyperlink ref="H832" r:id="rId820" display="https://link.springer.com/journal/40609" xr:uid="{00000000-0004-0000-0200-000033030000}"/>
    <hyperlink ref="H833" r:id="rId821" display="https://link.springer.com/journal/44186" xr:uid="{00000000-0004-0000-0200-000034030000}"/>
    <hyperlink ref="H834" r:id="rId822" display="https://link.springer.com/journal/10719" xr:uid="{00000000-0004-0000-0200-000035030000}"/>
    <hyperlink ref="H835" r:id="rId823" display="https://link.springer.com/journal/13404" xr:uid="{00000000-0004-0000-0200-000036030000}"/>
    <hyperlink ref="H836" r:id="rId824" display="https://link.springer.com/journal/10291" xr:uid="{00000000-0004-0000-0200-000037030000}"/>
    <hyperlink ref="H837" r:id="rId825" display="https://link.springer.com/journal/417" xr:uid="{00000000-0004-0000-0200-000038030000}"/>
    <hyperlink ref="H838" r:id="rId826" display="https://link.springer.com/journal/41066" xr:uid="{00000000-0004-0000-0200-000039030000}"/>
    <hyperlink ref="H839" r:id="rId827" display="https://link.springer.com/journal/10035" xr:uid="{00000000-0004-0000-0200-00003A030000}"/>
    <hyperlink ref="H840" r:id="rId828" display="https://link.springer.com/journal/41127" xr:uid="{00000000-0004-0000-0200-00003B030000}"/>
    <hyperlink ref="H841" r:id="rId829" display="https://link.springer.com/journal/373" xr:uid="{00000000-0004-0000-0200-00003C030000}"/>
    <hyperlink ref="H842" r:id="rId830" display="https://link.springer.com/journal/12267" xr:uid="{00000000-0004-0000-0200-00003D030000}"/>
    <hyperlink ref="H843" r:id="rId831" display="https://link.springer.com/journal/10726" xr:uid="{00000000-0004-0000-0200-00003E030000}"/>
    <hyperlink ref="H844" r:id="rId832" display="https://link.springer.com/journal/767" xr:uid="{00000000-0004-0000-0200-00003F030000}"/>
    <hyperlink ref="H845" r:id="rId833" display="https://link.springer.com/journal/11612" xr:uid="{00000000-0004-0000-0200-000040030000}"/>
    <hyperlink ref="H846" r:id="rId834" display="https://link.springer.com/journal/15013" xr:uid="{00000000-0004-0000-0200-000041030000}"/>
    <hyperlink ref="H847" r:id="rId835" display="https://link.springer.com/journal/10304" xr:uid="{00000000-0004-0000-0200-000042030000}"/>
    <hyperlink ref="H848" r:id="rId836" display="https://link.springer.com/journal/13140" xr:uid="{00000000-0004-0000-0200-000043030000}"/>
    <hyperlink ref="H849" r:id="rId837" display="https://link.springer.com/journal/40803" xr:uid="{00000000-0004-0000-0200-000044030000}"/>
    <hyperlink ref="H850" r:id="rId838" display="https://link.springer.com/journal/12326" xr:uid="{00000000-0004-0000-0200-000045030000}"/>
    <hyperlink ref="H851" r:id="rId839" display="https://link.springer.com/journal/15012" xr:uid="{00000000-0004-0000-0200-000046030000}"/>
    <hyperlink ref="H852" r:id="rId840" display="https://link.springer.com/journal/12105" xr:uid="{00000000-0004-0000-0200-000047030000}"/>
    <hyperlink ref="H853" r:id="rId841" display="https://link.springer.com/journal/12553" xr:uid="{00000000-0004-0000-0200-000048030000}"/>
    <hyperlink ref="H854" r:id="rId842" display="https://link.springer.com/journal/10728" xr:uid="{00000000-0004-0000-0200-000049030000}"/>
    <hyperlink ref="H855" r:id="rId843" display="https://link.springer.com/journal/10729" xr:uid="{00000000-0004-0000-0200-00004A030000}"/>
    <hyperlink ref="H856" r:id="rId844" display="https://link.springer.com/journal/13755" xr:uid="{00000000-0004-0000-0200-00004B030000}"/>
    <hyperlink ref="H857" r:id="rId845" display="https://link.springer.com/journal/10742" xr:uid="{00000000-0004-0000-0200-00004C030000}"/>
    <hyperlink ref="H858" r:id="rId846" display="https://link.springer.com/journal/380" xr:uid="{00000000-0004-0000-0200-00004D030000}"/>
    <hyperlink ref="H859" r:id="rId847" display="https://link.springer.com/journal/10741" xr:uid="{00000000-0004-0000-0200-00004E030000}"/>
    <hyperlink ref="H860" r:id="rId848" display="https://link.springer.com/journal/231" xr:uid="{00000000-0004-0000-0200-00004F030000}"/>
    <hyperlink ref="H861" r:id="rId849" display="https://link.springer.com/journal/43877" xr:uid="{00000000-0004-0000-0200-000050030000}"/>
    <hyperlink ref="H862" r:id="rId850" display="https://link.springer.com/journal/10730" xr:uid="{00000000-0004-0000-0200-000051030000}"/>
    <hyperlink ref="H863" r:id="rId851" display="https://link.springer.com/journal/58" xr:uid="{00000000-0004-0000-0200-000052030000}"/>
    <hyperlink ref="H864" r:id="rId852" display="https://link.springer.com/journal/16024" xr:uid="{00000000-0004-0000-0200-000053030000}"/>
    <hyperlink ref="H865" r:id="rId853" display="https://link.springer.com/journal/12072" xr:uid="{00000000-0004-0000-0200-000054030000}"/>
    <hyperlink ref="H866" r:id="rId854" display="https://link.springer.com/journal/11480" xr:uid="{00000000-0004-0000-0200-000055030000}"/>
    <hyperlink ref="H867" r:id="rId855" display="https://link.springer.com/journal/10029" xr:uid="{00000000-0004-0000-0200-000056030000}"/>
    <hyperlink ref="H868" r:id="rId856" display="https://link.springer.com/journal/59" xr:uid="{00000000-0004-0000-0200-000057030000}"/>
    <hyperlink ref="H869" r:id="rId857" display="https://link.springer.com/journal/399" xr:uid="{00000000-0004-0000-0200-000058030000}"/>
    <hyperlink ref="H870" r:id="rId858" display="https://link.springer.com/journal/10733" xr:uid="{00000000-0004-0000-0200-000059030000}"/>
    <hyperlink ref="H871" r:id="rId859" display="https://link.springer.com/journal/44210" xr:uid="{00000000-0004-0000-0200-00005A030000}"/>
    <hyperlink ref="H872" r:id="rId860" display="https://link.springer.com/journal/10740" xr:uid="{00000000-0004-0000-0200-00005B030000}"/>
    <hyperlink ref="H873" r:id="rId861" display="https://link.springer.com/journal/10734" xr:uid="{00000000-0004-0000-0200-00005C030000}"/>
    <hyperlink ref="H874" r:id="rId862" display="https://link.springer.com/journal/418" xr:uid="{00000000-0004-0000-0200-00005D030000}"/>
    <hyperlink ref="H875" r:id="rId863" display="https://link.springer.com/journal/41636" xr:uid="{00000000-0004-0000-0200-00005E030000}"/>
    <hyperlink ref="H876" r:id="rId864" display="https://link.springer.com/journal/40656" xr:uid="{00000000-0004-0000-0200-00005F030000}"/>
    <hyperlink ref="H877" r:id="rId865" display="https://link.springer.com/journal/40702" xr:uid="{00000000-0004-0000-0200-000060030000}"/>
    <hyperlink ref="H878" r:id="rId866" display="https://link.springer.com/journal/106" xr:uid="{00000000-0004-0000-0200-000061030000}"/>
    <hyperlink ref="H879" r:id="rId867" display="https://link.springer.com/journal/60" xr:uid="{00000000-0004-0000-0200-000062030000}"/>
    <hyperlink ref="H880" r:id="rId868" display="https://link.springer.com/journal/41412" xr:uid="{00000000-0004-0000-0200-000063030000}"/>
    <hyperlink ref="H881" r:id="rId869" display="https://link.springer.com/journal/42000" xr:uid="{00000000-0004-0000-0200-000064030000}"/>
    <hyperlink ref="H882" r:id="rId870" display="https://link.springer.com/journal/13580" xr:uid="{00000000-0004-0000-0200-000065030000}"/>
    <hyperlink ref="H883" r:id="rId871" display="https://link.springer.com/journal/42087" xr:uid="{00000000-0004-0000-0200-000066030000}"/>
    <hyperlink ref="H884" r:id="rId872" display="https://link.springer.com/journal/13577" xr:uid="{00000000-0004-0000-0200-000067030000}"/>
    <hyperlink ref="H885" r:id="rId873" display="https://link.springer.com/journal/10745" xr:uid="{00000000-0004-0000-0200-000068030000}"/>
    <hyperlink ref="H886" r:id="rId874" display="https://link.springer.com/journal/41314" xr:uid="{00000000-0004-0000-0200-000069030000}"/>
    <hyperlink ref="H887" r:id="rId875" display="https://link.springer.com/journal/439" xr:uid="{00000000-0004-0000-0200-00006A030000}"/>
    <hyperlink ref="H888" r:id="rId876" display="https://link.springer.com/journal/12110" xr:uid="{00000000-0004-0000-0200-00006B030000}"/>
    <hyperlink ref="H889" r:id="rId877" display="https://link.springer.com/journal/10747" xr:uid="{00000000-0004-0000-0200-00006C030000}"/>
    <hyperlink ref="H890" r:id="rId878" display="https://link.springer.com/journal/12142" xr:uid="{00000000-0004-0000-0200-00006D030000}"/>
    <hyperlink ref="H891" r:id="rId879" display="https://link.springer.com/journal/10746" xr:uid="{00000000-0004-0000-0200-00006E030000}"/>
    <hyperlink ref="H892" r:id="rId880" display="https://link.springer.com/journal/42454" xr:uid="{00000000-0004-0000-0200-00006F030000}"/>
    <hyperlink ref="H893" r:id="rId881" display="https://link.springer.com/journal/41463" xr:uid="{00000000-0004-0000-0200-000070030000}"/>
    <hyperlink ref="H894" r:id="rId882" display="https://link.springer.com/journal/10743" xr:uid="{00000000-0004-0000-0200-000071030000}"/>
    <hyperlink ref="H895" r:id="rId883" display="https://link.springer.com/journal/10750" xr:uid="{00000000-0004-0000-0200-000072030000}"/>
    <hyperlink ref="H896" r:id="rId884" display="https://link.springer.com/journal/10040" xr:uid="{00000000-0004-0000-0200-000073030000}"/>
    <hyperlink ref="H897" r:id="rId885" display="https://link.springer.com/journal/10751" xr:uid="{00000000-0004-0000-0200-000074030000}"/>
    <hyperlink ref="H898" r:id="rId886" display="https://link.springer.com/journal/10228" xr:uid="{00000000-0004-0000-0200-000075030000}"/>
    <hyperlink ref="H899" r:id="rId887" display="https://link.springer.com/journal/40319" xr:uid="{00000000-0004-0000-0200-000076030000}"/>
    <hyperlink ref="H900" r:id="rId888" display="https://link.springer.com/journal/15015" xr:uid="{00000000-0004-0000-0200-000077030000}"/>
    <hyperlink ref="H901" r:id="rId889" display="https://link.springer.com/journal/251" xr:uid="{00000000-0004-0000-0200-000078030000}"/>
    <hyperlink ref="H902" r:id="rId890" display="https://link.springer.com/journal/12026" xr:uid="{00000000-0004-0000-0200-000079030000}"/>
    <hyperlink ref="H903" r:id="rId891" display="https://link.springer.com/journal/40203" xr:uid="{00000000-0004-0000-0200-00007A030000}"/>
    <hyperlink ref="H904" r:id="rId892" display="https://link.springer.com/journal/11626" xr:uid="{00000000-0004-0000-0200-00007B030000}"/>
    <hyperlink ref="H905" r:id="rId893" display="https://link.springer.com/journal/11627" xr:uid="{00000000-0004-0000-0200-00007C030000}"/>
    <hyperlink ref="H906" r:id="rId894" display="https://link.springer.com/journal/44164" xr:uid="{00000000-0004-0000-0200-00007D030000}"/>
    <hyperlink ref="H907" r:id="rId895" display="https://link.springer.com/journal/41775" xr:uid="{00000000-0004-0000-0200-00007E030000}"/>
    <hyperlink ref="H908" r:id="rId896" display="https://link.springer.com/journal/40098" xr:uid="{00000000-0004-0000-0200-00007F030000}"/>
    <hyperlink ref="H909" r:id="rId897" display="https://link.springer.com/journal/12291" xr:uid="{00000000-0004-0000-0200-000080030000}"/>
    <hyperlink ref="H910" r:id="rId898" display="https://link.springer.com/journal/12664" xr:uid="{00000000-0004-0000-0200-000081030000}"/>
    <hyperlink ref="H911" r:id="rId899" display="https://link.springer.com/journal/40944" xr:uid="{00000000-0004-0000-0200-000082030000}"/>
    <hyperlink ref="H912" r:id="rId900" display="https://link.springer.com/journal/12288" xr:uid="{00000000-0004-0000-0200-000083030000}"/>
    <hyperlink ref="H913" r:id="rId901" display="https://link.springer.com/journal/12088" xr:uid="{00000000-0004-0000-0200-000084030000}"/>
    <hyperlink ref="H914" r:id="rId902" display="https://link.springer.com/journal/43465" xr:uid="{00000000-0004-0000-0200-000085030000}"/>
    <hyperlink ref="H915" r:id="rId903" display="https://link.springer.com/journal/12070" xr:uid="{00000000-0004-0000-0200-000086030000}"/>
    <hyperlink ref="H916" r:id="rId904" display="https://link.springer.com/journal/12098" xr:uid="{00000000-0004-0000-0200-000087030000}"/>
    <hyperlink ref="H917" r:id="rId905" display="https://link.springer.com/journal/12648" xr:uid="{00000000-0004-0000-0200-000088030000}"/>
    <hyperlink ref="H918" r:id="rId906" display="https://link.springer.com/journal/13226" xr:uid="{00000000-0004-0000-0200-000089030000}"/>
    <hyperlink ref="H919" r:id="rId907" display="https://link.springer.com/journal/12262" xr:uid="{00000000-0004-0000-0200-00008A030000}"/>
    <hyperlink ref="H920" r:id="rId908" display="https://link.springer.com/journal/13193" xr:uid="{00000000-0004-0000-0200-00008B030000}"/>
    <hyperlink ref="H921" r:id="rId909" display="https://link.springer.com/journal/12055" xr:uid="{00000000-0004-0000-0200-00008C030000}"/>
    <hyperlink ref="H922" r:id="rId910" display="https://link.springer.com/journal/13312" xr:uid="{00000000-0004-0000-0200-00008D030000}"/>
    <hyperlink ref="H923" r:id="rId911" display="https://link.springer.com/journal/42360" xr:uid="{00000000-0004-0000-0200-00008E030000}"/>
    <hyperlink ref="H924" r:id="rId912" display="https://link.springer.com/journal/15010" xr:uid="{00000000-0004-0000-0200-00008F030000}"/>
    <hyperlink ref="H925" r:id="rId913" display="https://link.springer.com/journal/10753" xr:uid="{00000000-0004-0000-0200-000090030000}"/>
    <hyperlink ref="H926" r:id="rId914" display="https://link.springer.com/journal/11" xr:uid="{00000000-0004-0000-0200-000091030000}"/>
    <hyperlink ref="H927" r:id="rId915" display="https://link.springer.com/journal/10787" xr:uid="{00000000-0004-0000-0200-000092030000}"/>
    <hyperlink ref="H928" r:id="rId916" display="https://link.springer.com/journal/15034" xr:uid="{00000000-0004-0000-0200-000093030000}"/>
    <hyperlink ref="H929" r:id="rId917" display="https://link.springer.com/journal/15004" xr:uid="{00000000-0004-0000-0200-000094030000}"/>
    <hyperlink ref="H930" r:id="rId918" display="https://link.springer.com/journal/15005" xr:uid="{00000000-0004-0000-0200-000095030000}"/>
    <hyperlink ref="H931" r:id="rId919" display="https://link.springer.com/journal/287" xr:uid="{00000000-0004-0000-0200-000096030000}"/>
    <hyperlink ref="H932" r:id="rId920" display="https://link.springer.com/journal/41884" xr:uid="{00000000-0004-0000-0200-000097030000}"/>
    <hyperlink ref="H933" r:id="rId921" display="https://link.springer.com/journal/10791" xr:uid="{00000000-0004-0000-0200-000098030000}"/>
    <hyperlink ref="H934" r:id="rId922" display="https://link.springer.com/journal/10257" xr:uid="{00000000-0004-0000-0200-000099030000}"/>
    <hyperlink ref="H935" r:id="rId923" display="https://link.springer.com/journal/10796" xr:uid="{00000000-0004-0000-0200-00009A030000}"/>
    <hyperlink ref="H936" r:id="rId924" display="https://link.springer.com/journal/40558" xr:uid="{00000000-0004-0000-0200-00009B030000}"/>
    <hyperlink ref="H937" r:id="rId925" display="https://link.springer.com/journal/10799" xr:uid="{00000000-0004-0000-0200-00009C030000}"/>
    <hyperlink ref="H938" r:id="rId926" display="https://link.springer.com/journal/12212" xr:uid="{00000000-0004-0000-0200-00009D030000}"/>
    <hyperlink ref="H939" r:id="rId927" display="https://link.springer.com/journal/11334" xr:uid="{00000000-0004-0000-0200-00009E030000}"/>
    <hyperlink ref="H940" r:id="rId928" display="https://link.springer.com/journal/10755" xr:uid="{00000000-0004-0000-0200-00009F030000}"/>
    <hyperlink ref="H941" r:id="rId929" display="https://link.springer.com/journal/41062" xr:uid="{00000000-0004-0000-0200-0000A0030000}"/>
    <hyperlink ref="H942" r:id="rId930" display="https://link.springer.com/journal/10789" xr:uid="{00000000-0004-0000-0200-0000A1030000}"/>
    <hyperlink ref="H943" r:id="rId931" display="https://link.springer.com/journal/13188" xr:uid="{00000000-0004-0000-0200-0000A2030000}"/>
    <hyperlink ref="H944" r:id="rId932" display="https://link.springer.com/journal/40" xr:uid="{00000000-0004-0000-0200-0000A3030000}"/>
    <hyperlink ref="H945" r:id="rId933" display="https://link.springer.com/journal/11251" xr:uid="{00000000-0004-0000-0200-0000A4030000}"/>
    <hyperlink ref="H946" r:id="rId934" display="https://link.springer.com/journal/10786" xr:uid="{00000000-0004-0000-0200-0000A5030000}"/>
    <hyperlink ref="H947" r:id="rId935" display="https://link.springer.com/journal/20" xr:uid="{00000000-0004-0000-0200-0000A6030000}"/>
    <hyperlink ref="H948" r:id="rId936" display="https://link.springer.com/journal/40192" xr:uid="{00000000-0004-0000-0200-0000A7030000}"/>
    <hyperlink ref="H949" r:id="rId937" display="https://link.springer.com/journal/12124" xr:uid="{00000000-0004-0000-0200-0000A8030000}"/>
    <hyperlink ref="H950" r:id="rId938" display="https://link.springer.com/journal/11370" xr:uid="{00000000-0004-0000-0200-0000A9030000}"/>
    <hyperlink ref="H951" r:id="rId939" display="https://link.springer.com/journal/134" xr:uid="{00000000-0004-0000-0200-0000AA030000}"/>
    <hyperlink ref="H952" r:id="rId940" display="https://link.springer.com/journal/42411" xr:uid="{00000000-0004-0000-0200-0000AB030000}"/>
    <hyperlink ref="H953" r:id="rId941" display="https://link.springer.com/journal/10780" xr:uid="{00000000-0004-0000-0200-0000AC030000}"/>
    <hyperlink ref="H954" r:id="rId942" display="https://link.springer.com/journal/12539" xr:uid="{00000000-0004-0000-0200-0000AD030000}"/>
    <hyperlink ref="H955" r:id="rId943" display="https://link.springer.com/journal/11739" xr:uid="{00000000-0004-0000-0200-0000AE030000}"/>
    <hyperlink ref="H956" r:id="rId944" display="https://link.springer.com/journal/11294" xr:uid="{00000000-0004-0000-0200-0000AF030000}"/>
    <hyperlink ref="H957" r:id="rId945" display="https://link.springer.com/journal/10778" xr:uid="{00000000-0004-0000-0200-0000B0030000}"/>
    <hyperlink ref="H958" r:id="rId946" display="https://link.springer.com/journal/420" xr:uid="{00000000-0004-0000-0200-0000B1030000}"/>
    <hyperlink ref="H959" r:id="rId947" display="https://link.springer.com/journal/13691" xr:uid="{00000000-0004-0000-0200-0000B2030000}"/>
    <hyperlink ref="H960" r:id="rId948" display="https://link.springer.com/journal/40636" xr:uid="{00000000-0004-0000-0200-0000B3030000}"/>
    <hyperlink ref="H961" r:id="rId949" display="https://link.springer.com/journal/43576" xr:uid="{00000000-0004-0000-0200-0000B4030000}"/>
    <hyperlink ref="H962" r:id="rId950" display="https://link.springer.com/journal/43439" xr:uid="{00000000-0004-0000-0200-0000B5030000}"/>
    <hyperlink ref="H963" r:id="rId951" display="https://link.springer.com/journal/10368" xr:uid="{00000000-0004-0000-0200-0000B6030000}"/>
    <hyperlink ref="H964" r:id="rId952" display="https://link.springer.com/journal/11365" xr:uid="{00000000-0004-0000-0200-0000B7030000}"/>
    <hyperlink ref="H965" r:id="rId953" display="https://link.springer.com/journal/10784" xr:uid="{00000000-0004-0000-0200-0000B8030000}"/>
    <hyperlink ref="H966" r:id="rId954" display="https://link.springer.com/journal/10775" xr:uid="{00000000-0004-0000-0200-0000B9030000}"/>
    <hyperlink ref="H967" r:id="rId955" display="https://link.springer.com/journal/11153" xr:uid="{00000000-0004-0000-0200-0000BA030000}"/>
    <hyperlink ref="H968" r:id="rId956" display="https://link.springer.com/journal/10447" xr:uid="{00000000-0004-0000-0200-0000BB030000}"/>
    <hyperlink ref="H969" r:id="rId957" display="https://link.springer.com/journal/11196" xr:uid="{00000000-0004-0000-0200-0000BC030000}"/>
    <hyperlink ref="H970" r:id="rId958" display="https://link.springer.com/journal/12572" xr:uid="{00000000-0004-0000-0200-0000BD030000}"/>
    <hyperlink ref="H971" r:id="rId959" display="https://link.springer.com/journal/42405" xr:uid="{00000000-0004-0000-0200-0000BE030000}"/>
    <hyperlink ref="H972" r:id="rId960" display="https://link.springer.com/journal/40819" xr:uid="{00000000-0004-0000-0200-0000BF030000}"/>
    <hyperlink ref="H973" r:id="rId961" display="https://link.springer.com/journal/41042" xr:uid="{00000000-0004-0000-0200-0000C0030000}"/>
    <hyperlink ref="H974" r:id="rId962" display="https://link.springer.com/journal/40593" xr:uid="{00000000-0004-0000-0200-0000C1030000}"/>
    <hyperlink ref="H975" r:id="rId963" display="https://link.springer.com/journal/12239" xr:uid="{00000000-0004-0000-0200-0000C2030000}"/>
    <hyperlink ref="H976" r:id="rId964" display="https://link.springer.com/journal/12529" xr:uid="{00000000-0004-0000-0200-0000C3030000}"/>
    <hyperlink ref="H977" r:id="rId965" display="https://link.springer.com/journal/484" xr:uid="{00000000-0004-0000-0200-0000C4030000}"/>
    <hyperlink ref="H978" r:id="rId966" display="https://link.springer.com/journal/42380" xr:uid="{00000000-0004-0000-0200-0000C5030000}"/>
    <hyperlink ref="H979" r:id="rId967" display="https://link.springer.com/journal/40999" xr:uid="{00000000-0004-0000-0200-0000C6030000}"/>
    <hyperlink ref="H980" r:id="rId968" display="https://link.springer.com/journal/10147" xr:uid="{00000000-0004-0000-0200-0000C7030000}"/>
    <hyperlink ref="H981" r:id="rId969" display="https://link.springer.com/journal/11096" xr:uid="{00000000-0004-0000-0200-0000C8030000}"/>
    <hyperlink ref="H982" r:id="rId970" display="https://link.springer.com/journal/41811" xr:uid="{00000000-0004-0000-0200-0000C9030000}"/>
    <hyperlink ref="H983" r:id="rId971" display="https://link.springer.com/journal/384" xr:uid="{00000000-0004-0000-0200-0000CA030000}"/>
    <hyperlink ref="H984" r:id="rId972" display="https://link.springer.com/journal/42413" xr:uid="{00000000-0004-0000-0200-0000CB030000}"/>
    <hyperlink ref="H985" r:id="rId973" display="https://link.springer.com/journal/11548" xr:uid="{00000000-0004-0000-0200-0000CC030000}"/>
    <hyperlink ref="H986" r:id="rId974" display="https://link.springer.com/journal/11263" xr:uid="{00000000-0004-0000-0200-0000CD030000}"/>
    <hyperlink ref="H987" r:id="rId975" display="https://link.springer.com/journal/11412" xr:uid="{00000000-0004-0000-0200-0000CE030000}"/>
    <hyperlink ref="H988" r:id="rId976" display="https://link.springer.com/journal/12555" xr:uid="{00000000-0004-0000-0200-0000CF030000}"/>
    <hyperlink ref="H989" r:id="rId977" display="https://link.springer.com/journal/41060" xr:uid="{00000000-0004-0000-0200-0000D0030000}"/>
    <hyperlink ref="H990" r:id="rId978" display="https://link.springer.com/journal/13410" xr:uid="{00000000-0004-0000-0200-0000D1030000}"/>
    <hyperlink ref="H991" r:id="rId979" display="https://link.springer.com/journal/42803" xr:uid="{00000000-0004-0000-0200-0000D2030000}"/>
    <hyperlink ref="H992" r:id="rId980" display="https://link.springer.com/journal/40435" xr:uid="{00000000-0004-0000-0200-0000D3030000}"/>
    <hyperlink ref="H993" r:id="rId981" display="https://link.springer.com/journal/13158" xr:uid="{00000000-0004-0000-0200-0000D4030000}"/>
    <hyperlink ref="H994" r:id="rId982" display="https://link.springer.com/journal/531" xr:uid="{00000000-0004-0000-0200-0000D5030000}"/>
    <hyperlink ref="H995" r:id="rId983" display="https://link.springer.com/journal/42495" xr:uid="{00000000-0004-0000-0200-0000D6030000}"/>
    <hyperlink ref="H996" r:id="rId984" display="https://link.springer.com/journal/40095" xr:uid="{00000000-0004-0000-0200-0000D7030000}"/>
    <hyperlink ref="H997" r:id="rId985" display="https://link.springer.com/journal/42108" xr:uid="{00000000-0004-0000-0200-0000D8030000}"/>
    <hyperlink ref="H998" r:id="rId986" display="https://link.springer.com/journal/41742" xr:uid="{00000000-0004-0000-0200-0000D9030000}"/>
    <hyperlink ref="H999" r:id="rId987" display="https://link.springer.com/journal/13762" xr:uid="{00000000-0004-0000-0200-0000DA030000}"/>
    <hyperlink ref="H1000" r:id="rId988" display="https://link.springer.com/journal/40889" xr:uid="{00000000-0004-0000-0200-0000DB030000}"/>
    <hyperlink ref="H1001" r:id="rId989" display="https://link.springer.com/journal/10704" xr:uid="{00000000-0004-0000-0200-0000DC030000}"/>
    <hyperlink ref="H1002" r:id="rId990" display="https://link.springer.com/journal/40815" xr:uid="{00000000-0004-0000-0200-0000DD030000}"/>
    <hyperlink ref="H1003" r:id="rId991" display="https://link.springer.com/journal/182" xr:uid="{00000000-0004-0000-0200-0000DE030000}"/>
    <hyperlink ref="H1004" r:id="rId992" display="https://link.springer.com/journal/40891" xr:uid="{00000000-0004-0000-0200-0000DF030000}"/>
    <hyperlink ref="H1005" r:id="rId993" display="https://link.springer.com/journal/42943" xr:uid="{00000000-0004-0000-0200-0000E0030000}"/>
    <hyperlink ref="H1006" r:id="rId994" display="https://link.springer.com/journal/10754" xr:uid="{00000000-0004-0000-0200-0000E1030000}"/>
    <hyperlink ref="H1007" r:id="rId995" display="https://link.springer.com/journal/12185" xr:uid="{00000000-0004-0000-0200-0000E2030000}"/>
    <hyperlink ref="H1008" r:id="rId996" display="https://link.springer.com/journal/11407" xr:uid="{00000000-0004-0000-0200-0000E3030000}"/>
    <hyperlink ref="H1009" r:id="rId997" display="https://link.springer.com/journal/10761" xr:uid="{00000000-0004-0000-0200-0000E4030000}"/>
    <hyperlink ref="H1010" r:id="rId998" display="https://link.springer.com/journal/10207" xr:uid="{00000000-0004-0000-0200-0000E5030000}"/>
    <hyperlink ref="H1011" r:id="rId999" display="https://link.springer.com/journal/41870" xr:uid="{00000000-0004-0000-0200-0000E6030000}"/>
    <hyperlink ref="H1012" r:id="rId1000" display="https://link.springer.com/journal/41315" xr:uid="{00000000-0004-0000-0200-0000E7030000}"/>
    <hyperlink ref="H1013" r:id="rId1001" display="https://link.springer.com/journal/13177" xr:uid="{00000000-0004-0000-0200-0000E8030000}"/>
    <hyperlink ref="H1014" r:id="rId1002" display="https://link.springer.com/journal/41603" xr:uid="{00000000-0004-0000-0200-0000E9030000}"/>
    <hyperlink ref="H1015" r:id="rId1003" display="https://link.springer.com/journal/414" xr:uid="{00000000-0004-0000-0200-0000EA030000}"/>
    <hyperlink ref="H1016" r:id="rId1004" display="https://link.springer.com/journal/13042" xr:uid="{00000000-0004-0000-0200-0000EB030000}"/>
    <hyperlink ref="H1017" r:id="rId1005" display="https://link.springer.com/journal/12289" xr:uid="{00000000-0004-0000-0200-0000EC030000}"/>
    <hyperlink ref="H1018" r:id="rId1006" display="https://link.springer.com/journal/10999" xr:uid="{00000000-0004-0000-0200-0000ED030000}"/>
    <hyperlink ref="H1019" r:id="rId1007" display="https://link.springer.com/journal/11469" xr:uid="{00000000-0004-0000-0200-0000EE030000}"/>
    <hyperlink ref="H1020" r:id="rId1008" display="https://link.springer.com/journal/40962" xr:uid="{00000000-0004-0000-0200-0000EF030000}"/>
    <hyperlink ref="H1021" r:id="rId1009" display="https://link.springer.com/journal/12613" xr:uid="{00000000-0004-0000-0200-0000F0030000}"/>
    <hyperlink ref="H1022" r:id="rId1010" display="https://link.springer.com/journal/13735" xr:uid="{00000000-0004-0000-0200-0000F1030000}"/>
    <hyperlink ref="H1023" r:id="rId1011" display="https://link.springer.com/journal/10766" xr:uid="{00000000-0004-0000-0200-0000F2030000}"/>
    <hyperlink ref="H1024" r:id="rId1012" display="https://link.springer.com/journal/42947" xr:uid="{00000000-0004-0000-0200-0000F3030000}"/>
    <hyperlink ref="H1025" r:id="rId1013" display="https://link.springer.com/journal/10989" xr:uid="{00000000-0004-0000-0200-0000F4030000}"/>
    <hyperlink ref="H1026" r:id="rId1014" display="https://link.springer.com/journal/42106" xr:uid="{00000000-0004-0000-0200-0000F5030000}"/>
    <hyperlink ref="H1027" r:id="rId1015" display="https://link.springer.com/journal/10767" xr:uid="{00000000-0004-0000-0200-0000F6030000}"/>
    <hyperlink ref="H1028" r:id="rId1016" display="https://link.springer.com/journal/12541" xr:uid="{00000000-0004-0000-0200-0000F7030000}"/>
    <hyperlink ref="H1029" r:id="rId1017" display="https://link.springer.com/journal/40684" xr:uid="{00000000-0004-0000-0200-0000F8030000}"/>
    <hyperlink ref="H1030" r:id="rId1018" display="https://link.springer.com/journal/10764" xr:uid="{00000000-0004-0000-0200-0000F9030000}"/>
    <hyperlink ref="H1031" r:id="rId1019" display="https://link.springer.com/journal/40753" xr:uid="{00000000-0004-0000-0200-0000FA030000}"/>
    <hyperlink ref="H1032" r:id="rId1020" display="https://link.springer.com/journal/10763" xr:uid="{00000000-0004-0000-0200-0000FB030000}"/>
    <hyperlink ref="H1033" r:id="rId1021" display="https://link.springer.com/journal/12003" xr:uid="{00000000-0004-0000-0200-0000FC030000}"/>
    <hyperlink ref="H1034" r:id="rId1022" display="https://link.springer.com/journal/12369" xr:uid="{00000000-0004-0000-0200-0000FD030000}"/>
    <hyperlink ref="H1035" r:id="rId1023" display="https://link.springer.com/journal/10772" xr:uid="{00000000-0004-0000-0200-0000FE030000}"/>
    <hyperlink ref="H1036" r:id="rId1024" display="https://link.springer.com/journal/13296" xr:uid="{00000000-0004-0000-0200-0000FF030000}"/>
    <hyperlink ref="H1037" r:id="rId1025" display="https://link.springer.com/journal/13198" xr:uid="{00000000-0004-0000-0200-000000040000}"/>
    <hyperlink ref="H1038" r:id="rId1026" display="https://link.springer.com/journal/10798" xr:uid="{00000000-0004-0000-0200-000001040000}"/>
    <hyperlink ref="H1039" r:id="rId1027" display="https://link.springer.com/journal/12138" xr:uid="{00000000-0004-0000-0200-000002040000}"/>
    <hyperlink ref="H1040" r:id="rId1028" display="https://link.springer.com/journal/41978" xr:uid="{00000000-0004-0000-0200-000003040000}"/>
    <hyperlink ref="H1041" r:id="rId1029" display="https://link.springer.com/journal/10773" xr:uid="{00000000-0004-0000-0200-000004040000}"/>
    <hyperlink ref="H1042" r:id="rId1030" display="https://link.springer.com/journal/10765" xr:uid="{00000000-0004-0000-0200-000005040000}"/>
    <hyperlink ref="H1043" r:id="rId1031" display="https://link.springer.com/journal/42690" xr:uid="{00000000-0004-0000-0200-000006040000}"/>
    <hyperlink ref="H1044" r:id="rId1032" display="https://link.springer.com/journal/10776" xr:uid="{00000000-0004-0000-0200-000007040000}"/>
    <hyperlink ref="H1045" r:id="rId1033" display="https://link.springer.com/journal/799" xr:uid="{00000000-0004-0000-0200-000008040000}"/>
    <hyperlink ref="H1046" r:id="rId1034" display="https://link.springer.com/journal/10032" xr:uid="{00000000-0004-0000-0200-000009040000}"/>
    <hyperlink ref="H1047" r:id="rId1035" display="https://link.springer.com/journal/12008" xr:uid="{00000000-0004-0000-0200-00000A040000}"/>
    <hyperlink ref="H1048" r:id="rId1036" display="https://link.springer.com/journal/10009" xr:uid="{00000000-0004-0000-0200-00000B040000}"/>
    <hyperlink ref="H1049" r:id="rId1037" display="https://link.springer.com/journal/10123" xr:uid="{00000000-0004-0000-0200-00000C040000}"/>
    <hyperlink ref="H1050" r:id="rId1038" display="https://link.springer.com/journal/40089" xr:uid="{00000000-0004-0000-0200-00000D040000}"/>
    <hyperlink ref="H1051" r:id="rId1039" display="https://link.springer.com/journal/10792" xr:uid="{00000000-0004-0000-0200-00000E040000}"/>
    <hyperlink ref="H1052" r:id="rId1040" display="https://link.springer.com/journal/264" xr:uid="{00000000-0004-0000-0200-00000F040000}"/>
    <hyperlink ref="H1053" r:id="rId1041" display="https://link.springer.com/journal/12232" xr:uid="{00000000-0004-0000-0200-000010040000}"/>
    <hyperlink ref="H1054" r:id="rId1042" display="https://link.springer.com/journal/11159" xr:uid="{00000000-0004-0000-0200-000011040000}"/>
    <hyperlink ref="H1055" r:id="rId1043" display="https://link.springer.com/journal/12208" xr:uid="{00000000-0004-0000-0200-000012040000}"/>
    <hyperlink ref="H1056" r:id="rId1044" display="https://link.springer.com/journal/10797" xr:uid="{00000000-0004-0000-0200-000013040000}"/>
    <hyperlink ref="H1057" r:id="rId1045" display="https://link.springer.com/journal/192" xr:uid="{00000000-0004-0000-0200-000014040000}"/>
    <hyperlink ref="H1058" r:id="rId1046" display="https://link.springer.com/journal/11255" xr:uid="{00000000-0004-0000-0200-000015040000}"/>
    <hyperlink ref="H1059" r:id="rId1047" display="https://link.springer.com/journal/222" xr:uid="{00000000-0004-0000-0200-000016040000}"/>
    <hyperlink ref="H1060" r:id="rId1048" display="https://link.springer.com/journal/10637" xr:uid="{00000000-0004-0000-0200-000017040000}"/>
    <hyperlink ref="H1061" r:id="rId1049" display="https://link.springer.com/journal/11581" xr:uid="{00000000-0004-0000-0200-000018040000}"/>
    <hyperlink ref="H1062" r:id="rId1050" display="https://link.springer.com/journal/42044" xr:uid="{00000000-0004-0000-0200-000019040000}"/>
    <hyperlink ref="H1063" r:id="rId1051" display="https://link.springer.com/journal/40995" xr:uid="{00000000-0004-0000-0200-00001A040000}"/>
    <hyperlink ref="H1064" r:id="rId1052" display="https://link.springer.com/journal/40996" xr:uid="{00000000-0004-0000-0200-00001B040000}"/>
    <hyperlink ref="H1065" r:id="rId1053" display="https://link.springer.com/journal/40998" xr:uid="{00000000-0004-0000-0200-00001C040000}"/>
    <hyperlink ref="H1066" r:id="rId1054" display="https://link.springer.com/journal/40997" xr:uid="{00000000-0004-0000-0200-00001D040000}"/>
    <hyperlink ref="H1067" r:id="rId1055" display="https://link.springer.com/journal/13726" xr:uid="{00000000-0004-0000-0200-00001E040000}"/>
    <hyperlink ref="H1068" r:id="rId1056" display="https://link.springer.com/journal/11845" xr:uid="{00000000-0004-0000-0200-00001F040000}"/>
    <hyperlink ref="H1069" r:id="rId1057" display="https://link.springer.com/journal/271" xr:uid="{00000000-0004-0000-0200-000020040000}"/>
    <hyperlink ref="H1070" r:id="rId1058" display="https://link.springer.com/journal/11856" xr:uid="{00000000-0004-0000-0200-000021040000}"/>
    <hyperlink ref="H1071" r:id="rId1059" display="https://link.springer.com/journal/41683" xr:uid="{00000000-0004-0000-0200-000022040000}"/>
    <hyperlink ref="H1072" r:id="rId1060" display="https://link.springer.com/journal/35724" xr:uid="{00000000-0004-0000-0200-000023040000}"/>
    <hyperlink ref="H1073" r:id="rId1061" display="https://link.springer.com/journal/40797" xr:uid="{00000000-0004-0000-0200-000024040000}"/>
    <hyperlink ref="H1074" r:id="rId1062" display="https://link.springer.com/journal/43039" xr:uid="{00000000-0004-0000-0200-000025040000}"/>
    <hyperlink ref="H1075" r:id="rId1063" display="https://link.springer.com/journal/11485" xr:uid="{00000000-0004-0000-0200-000026040000}"/>
    <hyperlink ref="H1076" r:id="rId1064" display="https://link.springer.com/journal/11486" xr:uid="{00000000-0004-0000-0200-000027040000}"/>
    <hyperlink ref="H1077" r:id="rId1065" display="https://link.springer.com/journal/13291" xr:uid="{00000000-0004-0000-0200-000028040000}"/>
    <hyperlink ref="H1078" r:id="rId1066" display="https://link.springer.com/journal/13160" xr:uid="{00000000-0004-0000-0200-000029040000}"/>
    <hyperlink ref="H1079" r:id="rId1067" display="https://link.springer.com/journal/10384" xr:uid="{00000000-0004-0000-0200-00002A040000}"/>
    <hyperlink ref="H1080" r:id="rId1068" display="https://link.springer.com/journal/11604" xr:uid="{00000000-0004-0000-0200-00002B040000}"/>
    <hyperlink ref="H1081" r:id="rId1069" display="https://link.springer.com/journal/42081" xr:uid="{00000000-0004-0000-0200-00002C040000}"/>
    <hyperlink ref="H1082" r:id="rId1070" display="https://link.springer.com/journal/775" xr:uid="{00000000-0004-0000-0200-00002D040000}"/>
    <hyperlink ref="H1083" r:id="rId1071" display="https://link.springer.com/journal/11448" xr:uid="{00000000-0004-0000-0200-00002E040000}"/>
    <hyperlink ref="H1084" r:id="rId1072" display="https://link.springer.com/journal/10835" xr:uid="{00000000-0004-0000-0200-00002F040000}"/>
    <hyperlink ref="H1085" r:id="rId1073" display="https://link.springer.com/journal/41020" xr:uid="{00000000-0004-0000-0200-000030040000}"/>
    <hyperlink ref="H1086" r:id="rId1074" display="https://link.springer.com/journal/42791" xr:uid="{00000000-0004-0000-0200-000031040000}"/>
    <hyperlink ref="H1087" r:id="rId1075" display="https://link.springer.com/journal/11837" xr:uid="{00000000-0004-0000-0200-000032040000}"/>
    <hyperlink ref="H1088" r:id="rId1076" display="https://link.springer.com/journal/35144" xr:uid="{00000000-0004-0000-0200-000033040000}"/>
    <hyperlink ref="H1089" r:id="rId1077" display="https://link.springer.com/journal/11854" xr:uid="{00000000-0004-0000-0200-000034040000}"/>
    <hyperlink ref="H1090" r:id="rId1078" display="https://link.springer.com/journal/10838" xr:uid="{00000000-0004-0000-0200-000035040000}"/>
    <hyperlink ref="H1091" r:id="rId1079" display="https://link.springer.com/journal/41979" xr:uid="{00000000-0004-0000-0200-000036040000}"/>
    <hyperlink ref="H1092" r:id="rId1080" display="https://link.springer.com/journal/41971" xr:uid="{00000000-0004-0000-0200-000037040000}"/>
    <hyperlink ref="H1093" r:id="rId1081" display="https://link.springer.com/journal/41974" xr:uid="{00000000-0004-0000-0200-000038040000}"/>
    <hyperlink ref="H1094" r:id="rId1082" display="https://link.springer.com/journal/41975" xr:uid="{00000000-0004-0000-0200-000039040000}"/>
    <hyperlink ref="H1095" r:id="rId1083" display="https://link.springer.com/journal/41969" xr:uid="{00000000-0004-0000-0200-00003A040000}"/>
    <hyperlink ref="H1096" r:id="rId1084" display="https://link.springer.com/journal/13138" xr:uid="{00000000-0004-0000-0200-00003B040000}"/>
    <hyperlink ref="H1097" r:id="rId1085" display="https://link.springer.com/journal/41970" xr:uid="{00000000-0004-0000-0200-00003C040000}"/>
    <hyperlink ref="H1098" r:id="rId1086" display="https://link.springer.com/journal/41972" xr:uid="{00000000-0004-0000-0200-00003D040000}"/>
    <hyperlink ref="H1099" r:id="rId1087" display="https://link.springer.com/journal/10805" xr:uid="{00000000-0004-0000-0200-00003E040000}"/>
    <hyperlink ref="H1100" r:id="rId1088" display="https://link.springer.com/journal/11726" xr:uid="{00000000-0004-0000-0200-00003F040000}"/>
    <hyperlink ref="H1101" r:id="rId1089" display="https://link.springer.com/journal/10804" xr:uid="{00000000-0004-0000-0200-000040040000}"/>
    <hyperlink ref="H1102" r:id="rId1090" display="https://link.springer.com/journal/12111" xr:uid="{00000000-0004-0000-0200-000041040000}"/>
    <hyperlink ref="H1103" r:id="rId1091" display="https://link.springer.com/journal/10806" xr:uid="{00000000-0004-0000-0200-000042040000}"/>
    <hyperlink ref="H1104" r:id="rId1092" display="https://link.springer.com/journal/13253" xr:uid="{00000000-0004-0000-0200-000043040000}"/>
    <hyperlink ref="H1105" r:id="rId1093" display="https://link.springer.com/journal/10801" xr:uid="{00000000-0004-0000-0200-000044040000}"/>
    <hyperlink ref="H1106" r:id="rId1094" display="https://link.springer.com/journal/12652" xr:uid="{00000000-0004-0000-0200-000045040000}"/>
    <hyperlink ref="H1107" r:id="rId1095" display="https://link.springer.com/journal/41664" xr:uid="{00000000-0004-0000-0200-000046040000}"/>
    <hyperlink ref="H1108" r:id="rId1096" display="https://link.springer.com/journal/10809" xr:uid="{00000000-0004-0000-0200-000047040000}"/>
    <hyperlink ref="H1109" r:id="rId1097" display="https://link.springer.com/journal/540" xr:uid="{00000000-0004-0000-0200-000048040000}"/>
    <hyperlink ref="H1110" r:id="rId1098" display="https://link.springer.com/journal/41468" xr:uid="{00000000-0004-0000-0200-000049040000}"/>
    <hyperlink ref="H1111" r:id="rId1099" display="https://link.springer.com/journal/11754" xr:uid="{00000000-0004-0000-0200-00004A040000}"/>
    <hyperlink ref="H1112" r:id="rId1100" display="https://link.springer.com/journal/10800" xr:uid="{00000000-0004-0000-0200-00004B040000}"/>
    <hyperlink ref="H1113" r:id="rId1101" display="https://link.springer.com/journal/13353" xr:uid="{00000000-0004-0000-0200-00004C040000}"/>
    <hyperlink ref="H1114" r:id="rId1102" display="https://link.springer.com/journal/12190" xr:uid="{00000000-0004-0000-0200-00004D040000}"/>
    <hyperlink ref="H1115" r:id="rId1103" display="https://link.springer.com/journal/10808" xr:uid="{00000000-0004-0000-0200-00004E040000}"/>
    <hyperlink ref="H1116" r:id="rId1104" display="https://link.springer.com/journal/10811" xr:uid="{00000000-0004-0000-0200-00004F040000}"/>
    <hyperlink ref="H1117" r:id="rId1105" display="https://link.springer.com/journal/10812" xr:uid="{00000000-0004-0000-0200-000050040000}"/>
    <hyperlink ref="H1118" r:id="rId1106" display="https://link.springer.com/journal/43151" xr:uid="{00000000-0004-0000-0200-000051040000}"/>
    <hyperlink ref="H1119" r:id="rId1107" display="https://link.springer.com/journal/10816" xr:uid="{00000000-0004-0000-0200-000052040000}"/>
    <hyperlink ref="H1120" r:id="rId1108" display="https://link.springer.com/journal/10814" xr:uid="{00000000-0004-0000-0200-000053040000}"/>
    <hyperlink ref="H1121" r:id="rId1109" display="https://link.springer.com/journal/40333" xr:uid="{00000000-0004-0000-0200-000054040000}"/>
    <hyperlink ref="H1122" r:id="rId1110" display="https://link.springer.com/journal/10047" xr:uid="{00000000-0004-0000-0200-000055040000}"/>
    <hyperlink ref="H1123" r:id="rId1111" display="https://link.springer.com/journal/10815" xr:uid="{00000000-0004-0000-0200-000056040000}"/>
    <hyperlink ref="H1124" r:id="rId1112" display="https://link.springer.com/journal/12036" xr:uid="{00000000-0004-0000-0200-000057040000}"/>
    <hyperlink ref="H1125" r:id="rId1113" display="https://link.springer.com/journal/10874" xr:uid="{00000000-0004-0000-0200-000058040000}"/>
    <hyperlink ref="H1126" r:id="rId1114" display="https://link.springer.com/journal/10803" xr:uid="{00000000-0004-0000-0200-000059040000}"/>
    <hyperlink ref="H1127" r:id="rId1115" display="https://link.springer.com/journal/10817" xr:uid="{00000000-0004-0000-0200-00005A040000}"/>
    <hyperlink ref="H1128" r:id="rId1116" display="https://link.springer.com/journal/42786" xr:uid="{00000000-0004-0000-0200-00005B040000}"/>
    <hyperlink ref="H1129" r:id="rId1117" display="https://link.springer.com/journal/10864" xr:uid="{00000000-0004-0000-0200-00005C040000}"/>
    <hyperlink ref="H1130" r:id="rId1118" display="https://link.springer.com/journal/10865" xr:uid="{00000000-0004-0000-0200-00005D040000}"/>
    <hyperlink ref="H1131" r:id="rId1119" display="https://link.springer.com/journal/42421" xr:uid="{00000000-0004-0000-0200-00005E040000}"/>
    <hyperlink ref="H1132" r:id="rId1120" display="https://link.springer.com/journal/40735" xr:uid="{00000000-0004-0000-0200-00005F040000}"/>
    <hyperlink ref="H1133" r:id="rId1121" display="https://link.springer.com/journal/10818" xr:uid="{00000000-0004-0000-0200-000060040000}"/>
    <hyperlink ref="H1134" r:id="rId1122" display="https://link.springer.com/journal/10863" xr:uid="{00000000-0004-0000-0200-000061040000}"/>
    <hyperlink ref="H1135" r:id="rId1123" display="https://link.springer.com/journal/11673" xr:uid="{00000000-0004-0000-0200-000062040000}"/>
    <hyperlink ref="H1136" r:id="rId1124" display="https://link.springer.com/journal/10867" xr:uid="{00000000-0004-0000-0200-000063040000}"/>
    <hyperlink ref="H1137" r:id="rId1125" display="https://link.springer.com/journal/10858" xr:uid="{00000000-0004-0000-0200-000064040000}"/>
    <hyperlink ref="H1138" r:id="rId1126" display="https://link.springer.com/journal/42235" xr:uid="{00000000-0004-0000-0200-000065040000}"/>
    <hyperlink ref="H1139" r:id="rId1127" display="https://link.springer.com/journal/12038" xr:uid="{00000000-0004-0000-0200-000066040000}"/>
    <hyperlink ref="H1140" r:id="rId1128" display="https://link.springer.com/journal/42853" xr:uid="{00000000-0004-0000-0200-000067040000}"/>
    <hyperlink ref="H1141" r:id="rId1129" display="https://link.springer.com/journal/774" xr:uid="{00000000-0004-0000-0200-000068040000}"/>
    <hyperlink ref="H1142" r:id="rId1130" display="https://link.springer.com/journal/41024" xr:uid="{00000000-0004-0000-0200-000069040000}"/>
    <hyperlink ref="H1143" r:id="rId1131" display="https://link.springer.com/journal/10869" xr:uid="{00000000-0004-0000-0200-00006A040000}"/>
    <hyperlink ref="H1144" r:id="rId1132" display="https://link.springer.com/journal/41549" xr:uid="{00000000-0004-0000-0200-00006B040000}"/>
    <hyperlink ref="H1145" r:id="rId1133" display="https://link.springer.com/journal/11573" xr:uid="{00000000-0004-0000-0200-00006C040000}"/>
    <hyperlink ref="H1146" r:id="rId1134" display="https://link.springer.com/journal/10551" xr:uid="{00000000-0004-0000-0200-00006D040000}"/>
    <hyperlink ref="H1147" r:id="rId1135" display="https://link.springer.com/journal/13187" xr:uid="{00000000-0004-0000-0200-00006E040000}"/>
    <hyperlink ref="H1148" r:id="rId1136" display="https://link.springer.com/journal/432" xr:uid="{00000000-0004-0000-0200-00006F040000}"/>
    <hyperlink ref="H1149" r:id="rId1137" display="https://link.springer.com/journal/11764" xr:uid="{00000000-0004-0000-0200-000070040000}"/>
    <hyperlink ref="H1150" r:id="rId1138" display="https://link.springer.com/journal/12265" xr:uid="{00000000-0004-0000-0200-000071040000}"/>
    <hyperlink ref="H1151" r:id="rId1139" display="https://link.springer.com/journal/12079" xr:uid="{00000000-0004-0000-0200-000072040000}"/>
    <hyperlink ref="H1152" r:id="rId1140" display="https://link.springer.com/journal/11771" xr:uid="{00000000-0004-0000-0200-000073040000}"/>
    <hyperlink ref="H1153" r:id="rId1141" display="https://link.springer.com/journal/10870" xr:uid="{00000000-0004-0000-0200-000074040000}"/>
    <hyperlink ref="H1154" r:id="rId1142" display="https://link.springer.com/journal/10886" xr:uid="{00000000-0004-0000-0200-000075040000}"/>
    <hyperlink ref="H1155" r:id="rId1143" display="https://link.springer.com/journal/12039" xr:uid="{00000000-0004-0000-0200-000076040000}"/>
    <hyperlink ref="H1156" r:id="rId1144" display="https://link.springer.com/journal/40653" xr:uid="{00000000-0004-0000-0200-000077040000}"/>
    <hyperlink ref="H1157" r:id="rId1145" display="https://link.springer.com/journal/10826" xr:uid="{00000000-0004-0000-0200-000078040000}"/>
    <hyperlink ref="H1158" r:id="rId1146" display="https://link.springer.com/journal/11366" xr:uid="{00000000-0004-0000-0200-000079040000}"/>
    <hyperlink ref="H1159" r:id="rId1147" display="https://link.springer.com/journal/13349" xr:uid="{00000000-0004-0000-0200-00007A040000}"/>
    <hyperlink ref="H1160" r:id="rId1148" display="https://link.springer.com/journal/357" xr:uid="{00000000-0004-0000-0200-00007B040000}"/>
    <hyperlink ref="H1161" r:id="rId1149" display="https://link.springer.com/journal/10875" xr:uid="{00000000-0004-0000-0200-00007C040000}"/>
    <hyperlink ref="H1162" r:id="rId1150" display="https://link.springer.com/journal/10877" xr:uid="{00000000-0004-0000-0200-00007D040000}"/>
    <hyperlink ref="H1163" r:id="rId1151" display="https://link.springer.com/journal/10880" xr:uid="{00000000-0004-0000-0200-00007E040000}"/>
    <hyperlink ref="H1164" r:id="rId1152" display="https://link.springer.com/journal/10876" xr:uid="{00000000-0004-0000-0200-00007F040000}"/>
    <hyperlink ref="H1165" r:id="rId1153" display="https://link.springer.com/journal/11852" xr:uid="{00000000-0004-0000-0200-000080040000}"/>
    <hyperlink ref="H1166" r:id="rId1154" display="https://link.springer.com/journal/11998" xr:uid="{00000000-0004-0000-0200-000081040000}"/>
    <hyperlink ref="H1167" r:id="rId1155" display="https://link.springer.com/journal/41465" xr:uid="{00000000-0004-0000-0200-000082040000}"/>
    <hyperlink ref="H1168" r:id="rId1156" display="https://link.springer.com/journal/10878" xr:uid="{00000000-0004-0000-0200-000083040000}"/>
    <hyperlink ref="H1169" r:id="rId1157" display="https://link.springer.com/journal/11487" xr:uid="{00000000-0004-0000-0200-000084040000}"/>
    <hyperlink ref="H1170" r:id="rId1158" display="https://link.springer.com/journal/12687" xr:uid="{00000000-0004-0000-0200-000085040000}"/>
    <hyperlink ref="H1171" r:id="rId1159" display="https://link.springer.com/journal/10900" xr:uid="{00000000-0004-0000-0200-000086040000}"/>
    <hyperlink ref="H1172" r:id="rId1160" display="https://link.springer.com/journal/359" xr:uid="{00000000-0004-0000-0200-000087040000}"/>
    <hyperlink ref="H1173" r:id="rId1161" display="https://link.springer.com/journal/360" xr:uid="{00000000-0004-0000-0200-000088040000}"/>
    <hyperlink ref="H1174" r:id="rId1162" display="https://link.springer.com/journal/10825" xr:uid="{00000000-0004-0000-0200-000089040000}"/>
    <hyperlink ref="H1175" r:id="rId1163" display="https://link.springer.com/journal/10827" xr:uid="{00000000-0004-0000-0200-00008A040000}"/>
    <hyperlink ref="H1176" r:id="rId1164" display="https://link.springer.com/journal/42001" xr:uid="{00000000-0004-0000-0200-00008B040000}"/>
    <hyperlink ref="H1177" r:id="rId1165" display="https://link.springer.com/journal/11488" xr:uid="{00000000-0004-0000-0200-00008C040000}"/>
    <hyperlink ref="H1178" r:id="rId1166" display="https://link.springer.com/journal/11390" xr:uid="{00000000-0004-0000-0200-00008D040000}"/>
    <hyperlink ref="H1179" r:id="rId1167" display="https://link.springer.com/journal/11416" xr:uid="{00000000-0004-0000-0200-00008E040000}"/>
    <hyperlink ref="H1180" r:id="rId1168" display="https://link.springer.com/journal/10822" xr:uid="{00000000-0004-0000-0200-00008F040000}"/>
    <hyperlink ref="H1181" r:id="rId1169" display="https://link.springer.com/journal/40692" xr:uid="{00000000-0004-0000-0200-000090040000}"/>
    <hyperlink ref="H1182" r:id="rId1170" display="https://link.springer.com/journal/12528" xr:uid="{00000000-0004-0000-0200-000091040000}"/>
    <hyperlink ref="H1183" r:id="rId1171" display="https://link.springer.com/journal/10603" xr:uid="{00000000-0004-0000-0200-000092040000}"/>
    <hyperlink ref="H1184" r:id="rId1172" display="https://link.springer.com/journal/3" xr:uid="{00000000-0004-0000-0200-000093040000}"/>
    <hyperlink ref="H1185" r:id="rId1173" display="https://link.springer.com/journal/11957" xr:uid="{00000000-0004-0000-0200-000094040000}"/>
    <hyperlink ref="H1186" r:id="rId1174" display="https://link.springer.com/journal/11958" xr:uid="{00000000-0004-0000-0200-000095040000}"/>
    <hyperlink ref="H1187" r:id="rId1175" display="https://link.springer.com/journal/10879" xr:uid="{00000000-0004-0000-0200-000096040000}"/>
    <hyperlink ref="H1188" r:id="rId1176" display="https://link.springer.com/journal/40313" xr:uid="{00000000-0004-0000-0200-000097040000}"/>
    <hyperlink ref="H1189" r:id="rId1177" display="https://link.springer.com/journal/12892" xr:uid="{00000000-0004-0000-0200-000098040000}"/>
    <hyperlink ref="H1190" r:id="rId1178" display="https://link.springer.com/journal/10823" xr:uid="{00000000-0004-0000-0200-000099040000}"/>
    <hyperlink ref="H1191" r:id="rId1179" display="https://link.springer.com/journal/13389" xr:uid="{00000000-0004-0000-0200-00009A040000}"/>
    <hyperlink ref="H1192" r:id="rId1180" display="https://link.springer.com/journal/145" xr:uid="{00000000-0004-0000-0200-00009B040000}"/>
    <hyperlink ref="H1193" r:id="rId1181" display="https://link.springer.com/journal/41809" xr:uid="{00000000-0004-0000-0200-00009C040000}"/>
    <hyperlink ref="H1194" r:id="rId1182" display="https://link.springer.com/journal/10824" xr:uid="{00000000-0004-0000-0200-00009D040000}"/>
    <hyperlink ref="H1195" r:id="rId1183" display="https://link.springer.com/journal/42488" xr:uid="{00000000-0004-0000-0200-00009E040000}"/>
    <hyperlink ref="H1196" r:id="rId1184" display="https://link.springer.com/journal/40865" xr:uid="{00000000-0004-0000-0200-00009F040000}"/>
    <hyperlink ref="H1197" r:id="rId1185" display="https://link.springer.com/journal/10882" xr:uid="{00000000-0004-0000-0200-0000A0040000}"/>
    <hyperlink ref="H1198" r:id="rId1186" display="https://link.springer.com/journal/42240" xr:uid="{00000000-0004-0000-0200-0000A1040000}"/>
    <hyperlink ref="H1199" r:id="rId1187" display="https://link.springer.com/journal/40200" xr:uid="{00000000-0004-0000-0200-0000A2040000}"/>
    <hyperlink ref="H1200" r:id="rId1188" display="https://link.springer.com/journal/10278" xr:uid="{00000000-0004-0000-0200-0000A3040000}"/>
    <hyperlink ref="H1201" r:id="rId1189" display="https://link.springer.com/journal/40870" xr:uid="{00000000-0004-0000-0200-0000A4040000}"/>
    <hyperlink ref="H1202" r:id="rId1190" display="https://link.springer.com/journal/10883" xr:uid="{00000000-0004-0000-0200-0000A5040000}"/>
    <hyperlink ref="H1203" r:id="rId1191" display="https://link.springer.com/journal/10884" xr:uid="{00000000-0004-0000-0200-0000A6040000}"/>
    <hyperlink ref="H1204" r:id="rId1192" display="https://link.springer.com/journal/12583" xr:uid="{00000000-0004-0000-0200-0000A7040000}"/>
    <hyperlink ref="H1205" r:id="rId1193" display="https://link.springer.com/journal/12040" xr:uid="{00000000-0004-0000-0200-0000A8040000}"/>
    <hyperlink ref="H1206" r:id="rId1194" display="https://link.springer.com/journal/10831" xr:uid="{00000000-0004-0000-0200-0000A9040000}"/>
    <hyperlink ref="H1207" r:id="rId1195" display="https://link.springer.com/journal/12574" xr:uid="{00000000-0004-0000-0200-0000AA040000}"/>
    <hyperlink ref="H1208" r:id="rId1196" display="https://link.springer.com/journal/10887" xr:uid="{00000000-0004-0000-0200-0000AB040000}"/>
    <hyperlink ref="H1209" r:id="rId1197" display="https://link.springer.com/journal/11403" xr:uid="{00000000-0004-0000-0200-0000AC040000}"/>
    <hyperlink ref="H1210" r:id="rId1198" display="https://link.springer.com/journal/712" xr:uid="{00000000-0004-0000-0200-0000AD040000}"/>
    <hyperlink ref="H1211" r:id="rId1199" display="https://link.springer.com/journal/12197" xr:uid="{00000000-0004-0000-0200-0000AE040000}"/>
    <hyperlink ref="H1212" r:id="rId1200" display="https://link.springer.com/journal/41996" xr:uid="{00000000-0004-0000-0200-0000AF040000}"/>
    <hyperlink ref="H1213" r:id="rId1201" display="https://link.springer.com/journal/10833" xr:uid="{00000000-0004-0000-0200-0000B0040000}"/>
    <hyperlink ref="H1214" r:id="rId1202" display="https://link.springer.com/journal/10659" xr:uid="{00000000-0004-0000-0200-0000B1040000}"/>
    <hyperlink ref="H1215" r:id="rId1203" display="https://link.springer.com/journal/42835" xr:uid="{00000000-0004-0000-0200-0000B2040000}"/>
    <hyperlink ref="H1216" r:id="rId1204" display="https://link.springer.com/journal/10832" xr:uid="{00000000-0004-0000-0200-0000B3040000}"/>
    <hyperlink ref="H1217" r:id="rId1205" display="https://link.springer.com/journal/11664" xr:uid="{00000000-0004-0000-0200-0000B4040000}"/>
    <hyperlink ref="H1218" r:id="rId1206" display="https://link.springer.com/journal/10836" xr:uid="{00000000-0004-0000-0200-0000B5040000}"/>
    <hyperlink ref="H1219" r:id="rId1207" display="https://link.springer.com/journal/41808" xr:uid="{00000000-0004-0000-0200-0000B6040000}"/>
    <hyperlink ref="H1220" r:id="rId1208" display="https://link.springer.com/journal/40618" xr:uid="{00000000-0004-0000-0200-0000B7040000}"/>
    <hyperlink ref="H1221" r:id="rId1209" display="https://link.springer.com/journal/10665" xr:uid="{00000000-0004-0000-0200-0000B8040000}"/>
    <hyperlink ref="H1222" r:id="rId1210" display="https://link.springer.com/journal/10891" xr:uid="{00000000-0004-0000-0200-0000B9040000}"/>
    <hyperlink ref="H1223" r:id="rId1211" display="https://link.springer.com/journal/11823" xr:uid="{00000000-0004-0000-0200-0000BA040000}"/>
    <hyperlink ref="H1224" r:id="rId1212" display="https://link.springer.com/journal/40201" xr:uid="{00000000-0004-0000-0200-0000BB040000}"/>
    <hyperlink ref="H1225" r:id="rId1213" display="https://link.springer.com/journal/13412" xr:uid="{00000000-0004-0000-0200-0000BC040000}"/>
    <hyperlink ref="H1226" r:id="rId1214" display="https://link.springer.com/journal/10164" xr:uid="{00000000-0004-0000-0200-0000BD040000}"/>
    <hyperlink ref="H1227" r:id="rId1215" display="https://link.springer.com/journal/28" xr:uid="{00000000-0004-0000-0200-0000BE040000}"/>
    <hyperlink ref="H1228" r:id="rId1216" display="https://link.springer.com/journal/10893" xr:uid="{00000000-0004-0000-0200-0000BF040000}"/>
    <hyperlink ref="H1229" r:id="rId1217" display="https://link.springer.com/journal/191" xr:uid="{00000000-0004-0000-0200-0000C0040000}"/>
    <hyperlink ref="H1230" r:id="rId1218" display="https://link.springer.com/journal/11447" xr:uid="{00000000-0004-0000-0200-0000C1040000}"/>
    <hyperlink ref="H1231" r:id="rId1219" display="https://link.springer.com/journal/11292" xr:uid="{00000000-0004-0000-0200-0000C2040000}"/>
    <hyperlink ref="H1232" r:id="rId1220" display="https://link.springer.com/journal/11668" xr:uid="{00000000-0004-0000-0200-0000C3040000}"/>
    <hyperlink ref="H1233" r:id="rId1221" display="https://link.springer.com/journal/10834" xr:uid="{00000000-0004-0000-0200-0000C4040000}"/>
    <hyperlink ref="H1234" r:id="rId1222" display="https://link.springer.com/journal/10896" xr:uid="{00000000-0004-0000-0200-0000C5040000}"/>
    <hyperlink ref="H1235" r:id="rId1223" display="https://link.springer.com/journal/10693" xr:uid="{00000000-0004-0000-0200-0000C6040000}"/>
    <hyperlink ref="H1236" r:id="rId1224" display="https://link.springer.com/journal/11784" xr:uid="{00000000-0004-0000-0200-0000C7040000}"/>
    <hyperlink ref="H1237" r:id="rId1225" display="https://link.springer.com/journal/41981" xr:uid="{00000000-0004-0000-0200-0000C8040000}"/>
    <hyperlink ref="H1238" r:id="rId1226" display="https://link.springer.com/journal/10895" xr:uid="{00000000-0004-0000-0200-0000C9040000}"/>
    <hyperlink ref="H1239" r:id="rId1227" display="https://link.springer.com/journal/11694" xr:uid="{00000000-0004-0000-0200-0000CA040000}"/>
    <hyperlink ref="H1240" r:id="rId1228" display="https://link.springer.com/journal/13197" xr:uid="{00000000-0004-0000-0200-0000CB040000}"/>
    <hyperlink ref="H1241" r:id="rId1229" display="https://link.springer.com/journal/11676" xr:uid="{00000000-0004-0000-0200-0000CC040000}"/>
    <hyperlink ref="H1242" r:id="rId1230" display="https://link.springer.com/journal/41686" xr:uid="{00000000-0004-0000-0200-0000CD040000}"/>
    <hyperlink ref="H1243" r:id="rId1231" display="https://link.springer.com/journal/41" xr:uid="{00000000-0004-0000-0200-0000CE040000}"/>
    <hyperlink ref="H1244" r:id="rId1232" display="https://link.springer.com/journal/11959" xr:uid="{00000000-0004-0000-0200-0000CF040000}"/>
    <hyperlink ref="H1245" r:id="rId1233" display="https://link.springer.com/journal/10894" xr:uid="{00000000-0004-0000-0200-0000D0040000}"/>
    <hyperlink ref="H1246" r:id="rId1234" display="https://link.springer.com/journal/10899" xr:uid="{00000000-0004-0000-0200-0000D1040000}"/>
    <hyperlink ref="H1247" r:id="rId1235" display="https://link.springer.com/journal/535" xr:uid="{00000000-0004-0000-0200-0000D2040000}"/>
    <hyperlink ref="H1248" r:id="rId1236" display="https://link.springer.com/journal/12029" xr:uid="{00000000-0004-0000-0200-0000D3040000}"/>
    <hyperlink ref="H1249" r:id="rId1237" display="https://link.springer.com/journal/11605" xr:uid="{00000000-0004-0000-0200-0000D4040000}"/>
    <hyperlink ref="H1250" r:id="rId1238" display="https://link.springer.com/journal/11606" xr:uid="{00000000-0004-0000-0200-0000D5040000}"/>
    <hyperlink ref="H1251" r:id="rId1239" display="https://link.springer.com/journal/10327" xr:uid="{00000000-0004-0000-0200-0000D6040000}"/>
    <hyperlink ref="H1252" r:id="rId1240" display="https://link.springer.com/journal/12041" xr:uid="{00000000-0004-0000-0200-0000D7040000}"/>
    <hyperlink ref="H1253" r:id="rId1241" display="https://link.springer.com/journal/190" xr:uid="{00000000-0004-0000-0200-0000D8040000}"/>
    <hyperlink ref="H1254" r:id="rId1242" display="https://link.springer.com/journal/11442" xr:uid="{00000000-0004-0000-0200-0000D9040000}"/>
    <hyperlink ref="H1255" r:id="rId1243" display="https://link.springer.com/journal/10109" xr:uid="{00000000-0004-0000-0200-0000DA040000}"/>
    <hyperlink ref="H1256" r:id="rId1244" display="https://link.springer.com/journal/22" xr:uid="{00000000-0004-0000-0200-0000DB040000}"/>
    <hyperlink ref="H1257" r:id="rId1245" display="https://link.springer.com/journal/41651" xr:uid="{00000000-0004-0000-0200-0000DC040000}"/>
    <hyperlink ref="H1258" r:id="rId1246" display="https://link.springer.com/journal/40497" xr:uid="{00000000-0004-0000-0200-0000DD040000}"/>
    <hyperlink ref="H1259" r:id="rId1247" display="https://link.springer.com/journal/10898" xr:uid="{00000000-0004-0000-0200-0000DE040000}"/>
    <hyperlink ref="H1260" r:id="rId1248" display="https://link.springer.com/journal/10723" xr:uid="{00000000-0004-0000-0200-0000DF040000}"/>
    <hyperlink ref="H1261" r:id="rId1249" display="https://link.springer.com/journal/10902" xr:uid="{00000000-0004-0000-0200-0000E0040000}"/>
    <hyperlink ref="H1262" r:id="rId1250" display="https://link.springer.com/journal/41635" xr:uid="{00000000-0004-0000-0200-0000E1040000}"/>
    <hyperlink ref="H1263" r:id="rId1251" display="https://link.springer.com/journal/42843" xr:uid="{00000000-0004-0000-0200-0000E2040000}"/>
    <hyperlink ref="H1264" r:id="rId1252" display="https://link.springer.com/journal/41666" xr:uid="{00000000-0004-0000-0200-0000E3040000}"/>
    <hyperlink ref="H1265" r:id="rId1253" display="https://link.springer.com/journal/12308" xr:uid="{00000000-0004-0000-0200-0000E4040000}"/>
    <hyperlink ref="H1266" r:id="rId1254" display="https://link.springer.com/journal/10732" xr:uid="{00000000-0004-0000-0200-0000E5040000}"/>
    <hyperlink ref="H1267" r:id="rId1255" display="https://link.springer.com/journal/40062" xr:uid="{00000000-0004-0000-0200-0000E6040000}"/>
    <hyperlink ref="H1268" r:id="rId1256" display="https://link.springer.com/journal/10901" xr:uid="{00000000-0004-0000-0200-0000E7040000}"/>
    <hyperlink ref="H1269" r:id="rId1257" display="https://link.springer.com/journal/41134" xr:uid="{00000000-0004-0000-0200-0000E8040000}"/>
    <hyperlink ref="H1270" r:id="rId1258" display="https://link.springer.com/journal/42241" xr:uid="{00000000-0004-0000-0200-0000E9040000}"/>
    <hyperlink ref="H1271" r:id="rId1259" display="https://link.springer.com/journal/41513" xr:uid="{00000000-0004-0000-0200-0000EA040000}"/>
    <hyperlink ref="H1272" r:id="rId1260" display="https://link.springer.com/journal/11489" xr:uid="{00000000-0004-0000-0200-0000EB040000}"/>
    <hyperlink ref="H1273" r:id="rId1261" display="https://link.springer.com/journal/10903" xr:uid="{00000000-0004-0000-0200-0000EC040000}"/>
    <hyperlink ref="H1274" r:id="rId1262" display="https://link.springer.com/journal/10847" xr:uid="{00000000-0004-0000-0200-0000ED040000}"/>
    <hyperlink ref="H1275" r:id="rId1263" display="https://link.springer.com/journal/40961" xr:uid="{00000000-0004-0000-0200-0000EE040000}"/>
    <hyperlink ref="H1276" r:id="rId1264" display="https://link.springer.com/journal/10781" xr:uid="{00000000-0004-0000-0200-0000EF040000}"/>
    <hyperlink ref="H1277" r:id="rId1265" display="https://link.springer.com/journal/40812" xr:uid="{00000000-0004-0000-0200-0000F0040000}"/>
    <hyperlink ref="H1278" r:id="rId1266" display="https://link.springer.com/journal/10842" xr:uid="{00000000-0004-0000-0200-0000F1040000}"/>
    <hyperlink ref="H1279" r:id="rId1267" display="https://link.springer.com/journal/10762" xr:uid="{00000000-0004-0000-0200-0000F2040000}"/>
    <hyperlink ref="H1280" r:id="rId1268" display="https://link.springer.com/journal/10904" xr:uid="{00000000-0004-0000-0200-0000F3040000}"/>
    <hyperlink ref="H1281" r:id="rId1269" display="https://link.springer.com/journal/10905" xr:uid="{00000000-0004-0000-0200-0000F4040000}"/>
    <hyperlink ref="H1282" r:id="rId1270" display="https://link.springer.com/journal/10841" xr:uid="{00000000-0004-0000-0200-0000F5040000}"/>
    <hyperlink ref="H1283" r:id="rId1271" display="https://link.springer.com/journal/10846" xr:uid="{00000000-0004-0000-0200-0000F6040000}"/>
    <hyperlink ref="H1284" r:id="rId1272" display="https://link.springer.com/journal/10844" xr:uid="{00000000-0004-0000-0200-0000F7040000}"/>
    <hyperlink ref="H1285" r:id="rId1273" display="https://link.springer.com/journal/10845" xr:uid="{00000000-0004-0000-0200-0000F8040000}"/>
    <hyperlink ref="H1286" r:id="rId1274" display="https://link.springer.com/journal/10843" xr:uid="{00000000-0004-0000-0200-0000F9040000}"/>
    <hyperlink ref="H1287" r:id="rId1275" display="https://link.springer.com/journal/12134" xr:uid="{00000000-0004-0000-0200-0000FA040000}"/>
    <hyperlink ref="H1288" r:id="rId1276" display="https://link.springer.com/journal/10840" xr:uid="{00000000-0004-0000-0200-0000FB040000}"/>
    <hyperlink ref="H1289" r:id="rId1277" display="https://link.springer.com/journal/42243" xr:uid="{00000000-0004-0000-0200-0000FC040000}"/>
    <hyperlink ref="H1290" r:id="rId1278" display="https://link.springer.com/journal/12122" xr:uid="{00000000-0004-0000-0200-0000FD040000}"/>
    <hyperlink ref="H1291" r:id="rId1279" display="https://link.springer.com/journal/10849" xr:uid="{00000000-0004-0000-0200-0000FE040000}"/>
    <hyperlink ref="H1292" r:id="rId1280" display="https://link.springer.com/journal/10909" xr:uid="{00000000-0004-0000-0200-0000FF040000}"/>
    <hyperlink ref="H1293" r:id="rId1281" display="https://link.springer.com/journal/12001" xr:uid="{00000000-0004-0000-0200-000000050000}"/>
    <hyperlink ref="H1294" r:id="rId1282" display="https://link.springer.com/journal/10914" xr:uid="{00000000-0004-0000-0200-000001050000}"/>
    <hyperlink ref="H1295" r:id="rId1283" display="https://link.springer.com/journal/10997" xr:uid="{00000000-0004-0000-0200-000002050000}"/>
    <hyperlink ref="H1296" r:id="rId1284" display="https://link.springer.com/journal/187" xr:uid="{00000000-0004-0000-0200-000003050000}"/>
    <hyperlink ref="H1297" r:id="rId1285" display="https://link.springer.com/journal/11804" xr:uid="{00000000-0004-0000-0200-000004050000}"/>
    <hyperlink ref="H1298" r:id="rId1286" display="https://link.springer.com/journal/773" xr:uid="{00000000-0004-0000-0200-000005050000}"/>
    <hyperlink ref="H1299" r:id="rId1287" display="https://link.springer.com/journal/11457" xr:uid="{00000000-0004-0000-0200-000006050000}"/>
    <hyperlink ref="H1300" r:id="rId1288" display="https://link.springer.com/journal/10163" xr:uid="{00000000-0004-0000-0200-000007050000}"/>
    <hyperlink ref="H1301" r:id="rId1289" display="https://link.springer.com/journal/11665" xr:uid="{00000000-0004-0000-0200-000008050000}"/>
    <hyperlink ref="H1302" r:id="rId1290" display="https://link.springer.com/journal/10853" xr:uid="{00000000-0004-0000-0200-000009050000}"/>
    <hyperlink ref="H1303" r:id="rId1291" display="https://link.springer.com/journal/10854" xr:uid="{00000000-0004-0000-0200-00000A050000}"/>
    <hyperlink ref="H1304" r:id="rId1292" display="https://link.springer.com/journal/285" xr:uid="{00000000-0004-0000-0200-00000B050000}"/>
    <hyperlink ref="H1305" r:id="rId1293" display="https://link.springer.com/journal/10910" xr:uid="{00000000-0004-0000-0200-00000C050000}"/>
    <hyperlink ref="H1306" r:id="rId1294" display="https://link.springer.com/journal/21" xr:uid="{00000000-0004-0000-0200-00000D050000}"/>
    <hyperlink ref="H1307" r:id="rId1295" display="https://link.springer.com/journal/10851" xr:uid="{00000000-0004-0000-0200-00000E050000}"/>
    <hyperlink ref="H1308" r:id="rId1296" display="https://link.springer.com/journal/10958" xr:uid="{00000000-0004-0000-0200-00000F050000}"/>
    <hyperlink ref="H1309" r:id="rId1297" display="https://link.springer.com/journal/10857" xr:uid="{00000000-0004-0000-0200-000010050000}"/>
    <hyperlink ref="H1310" r:id="rId1298" display="https://link.springer.com/journal/12663" xr:uid="{00000000-0004-0000-0200-000011050000}"/>
    <hyperlink ref="H1311" r:id="rId1299" display="https://link.springer.com/journal/12206" xr:uid="{00000000-0004-0000-0200-000012050000}"/>
    <hyperlink ref="H1312" r:id="rId1300" display="https://link.springer.com/journal/40846" xr:uid="{00000000-0004-0000-0200-000013050000}"/>
    <hyperlink ref="H1313" r:id="rId1301" display="https://link.springer.com/journal/10912" xr:uid="{00000000-0004-0000-0200-000014050000}"/>
    <hyperlink ref="H1314" r:id="rId1302" display="https://link.springer.com/journal/10916" xr:uid="{00000000-0004-0000-0200-000015050000}"/>
    <hyperlink ref="H1315" r:id="rId1303" display="https://link.springer.com/journal/13181" xr:uid="{00000000-0004-0000-0200-000016050000}"/>
    <hyperlink ref="H1316" r:id="rId1304" display="https://link.springer.com/journal/10396" xr:uid="{00000000-0004-0000-0200-000017050000}"/>
    <hyperlink ref="H1317" r:id="rId1305" display="https://link.springer.com/journal/41965" xr:uid="{00000000-0004-0000-0200-000018050000}"/>
    <hyperlink ref="H1318" r:id="rId1306" display="https://link.springer.com/journal/13351" xr:uid="{00000000-0004-0000-0200-000019050000}"/>
    <hyperlink ref="H1319" r:id="rId1307" display="https://link.springer.com/journal/12213" xr:uid="{00000000-0004-0000-0200-00001A050000}"/>
    <hyperlink ref="H1320" r:id="rId1308" display="https://link.springer.com/journal/12275" xr:uid="{00000000-0004-0000-0200-00001B050000}"/>
    <hyperlink ref="H1321" r:id="rId1309" display="https://link.springer.com/journal/10913" xr:uid="{00000000-0004-0000-0200-00001C050000}"/>
    <hyperlink ref="H1322" r:id="rId1310" display="https://link.springer.com/journal/239" xr:uid="{00000000-0004-0000-0200-00001D050000}"/>
    <hyperlink ref="H1323" r:id="rId1311" display="https://link.springer.com/journal/10735" xr:uid="{00000000-0004-0000-0200-00001E050000}"/>
    <hyperlink ref="H1324" r:id="rId1312" display="https://link.springer.com/journal/109" xr:uid="{00000000-0004-0000-0200-00001F050000}"/>
    <hyperlink ref="H1325" r:id="rId1313" display="https://link.springer.com/journal/894" xr:uid="{00000000-0004-0000-0200-000020050000}"/>
    <hyperlink ref="H1326" r:id="rId1314" display="https://link.springer.com/journal/12031" xr:uid="{00000000-0004-0000-0200-000021050000}"/>
    <hyperlink ref="H1327" r:id="rId1315" display="https://link.springer.com/journal/11629" xr:uid="{00000000-0004-0000-0200-000022050000}"/>
    <hyperlink ref="H1328" r:id="rId1316" display="https://link.springer.com/journal/10974" xr:uid="{00000000-0004-0000-0200-000023050000}"/>
    <hyperlink ref="H1329" r:id="rId1317" display="https://link.springer.com/journal/11051" xr:uid="{00000000-0004-0000-0200-000024050000}"/>
    <hyperlink ref="H1330" r:id="rId1318" display="https://link.springer.com/journal/40097" xr:uid="{00000000-0004-0000-0200-000025050000}"/>
    <hyperlink ref="H1331" r:id="rId1319" display="https://link.springer.com/journal/11418" xr:uid="{00000000-0004-0000-0200-000026050000}"/>
    <hyperlink ref="H1332" r:id="rId1320" display="https://link.springer.com/journal/40620" xr:uid="{00000000-0004-0000-0200-000027050000}"/>
    <hyperlink ref="H1333" r:id="rId1321" display="https://link.springer.com/journal/10922" xr:uid="{00000000-0004-0000-0200-000028050000}"/>
    <hyperlink ref="H1334" r:id="rId1322" display="https://link.springer.com/journal/702" xr:uid="{00000000-0004-0000-0200-000029050000}"/>
    <hyperlink ref="H1335" r:id="rId1323" display="https://link.springer.com/journal/11481" xr:uid="{00000000-0004-0000-0200-00002A050000}"/>
    <hyperlink ref="H1336" r:id="rId1324" display="https://link.springer.com/journal/415" xr:uid="{00000000-0004-0000-0200-00002B050000}"/>
    <hyperlink ref="H1337" r:id="rId1325" display="https://link.springer.com/journal/11060" xr:uid="{00000000-0004-0000-0200-00002C050000}"/>
    <hyperlink ref="H1338" r:id="rId1326" display="https://link.springer.com/journal/13365" xr:uid="{00000000-0004-0000-0200-00002D050000}"/>
    <hyperlink ref="H1339" r:id="rId1327" display="https://link.springer.com/journal/10921" xr:uid="{00000000-0004-0000-0200-00002E050000}"/>
    <hyperlink ref="H1340" r:id="rId1328" display="https://link.springer.com/journal/332" xr:uid="{00000000-0004-0000-0200-00002F050000}"/>
    <hyperlink ref="H1341" r:id="rId1329" display="https://link.springer.com/journal/10919" xr:uid="{00000000-0004-0000-0200-000030050000}"/>
    <hyperlink ref="H1342" r:id="rId1330" display="https://link.springer.com/journal/12350" xr:uid="{00000000-0004-0000-0200-000031050000}"/>
    <hyperlink ref="H1343" r:id="rId1331" display="https://link.springer.com/journal/10926" xr:uid="{00000000-0004-0000-0200-000032050000}"/>
    <hyperlink ref="H1344" r:id="rId1332" display="https://link.springer.com/journal/40722" xr:uid="{00000000-0004-0000-0200-000033050000}"/>
    <hyperlink ref="H1345" r:id="rId1333" display="https://link.springer.com/journal/11802" xr:uid="{00000000-0004-0000-0200-000034050000}"/>
    <hyperlink ref="H1346" r:id="rId1334" display="https://link.springer.com/journal/10872" xr:uid="{00000000-0004-0000-0200-000035050000}"/>
    <hyperlink ref="H1347" r:id="rId1335" display="https://link.springer.com/journal/343" xr:uid="{00000000-0004-0000-0200-000036050000}"/>
    <hyperlink ref="H1348" r:id="rId1336" display="https://link.springer.com/journal/12596" xr:uid="{00000000-0004-0000-0200-000037050000}"/>
    <hyperlink ref="H1349" r:id="rId1337" display="https://link.springer.com/journal/10957" xr:uid="{00000000-0004-0000-0200-000038050000}"/>
    <hyperlink ref="H1350" r:id="rId1338" display="https://link.springer.com/journal/41469" xr:uid="{00000000-0004-0000-0200-000039050000}"/>
    <hyperlink ref="H1351" r:id="rId1339" display="https://link.springer.com/journal/10336" xr:uid="{00000000-0004-0000-0200-00003A050000}"/>
    <hyperlink ref="H1352" r:id="rId1340" display="https://link.springer.com/journal/56" xr:uid="{00000000-0004-0000-0200-00003B050000}"/>
    <hyperlink ref="H1353" r:id="rId1341" display="https://link.springer.com/journal/42322" xr:uid="{00000000-0004-0000-0200-00003C050000}"/>
    <hyperlink ref="H1354" r:id="rId1342" display="https://link.springer.com/journal/41783" xr:uid="{00000000-0004-0000-0200-00003D050000}"/>
    <hyperlink ref="H1355" r:id="rId1343" display="https://link.springer.com/journal/10933" xr:uid="{00000000-0004-0000-0200-00003E050000}"/>
    <hyperlink ref="H1356" r:id="rId1344" display="https://link.springer.com/journal/41982" xr:uid="{00000000-0004-0000-0200-00003F050000}"/>
    <hyperlink ref="H1357" r:id="rId1345" display="https://link.springer.com/journal/12639" xr:uid="{00000000-0004-0000-0200-000040050000}"/>
    <hyperlink ref="H1358" r:id="rId1346" display="https://link.springer.com/journal/42804" xr:uid="{00000000-0004-0000-0200-000041050000}"/>
    <hyperlink ref="H1359" r:id="rId1347" display="https://link.springer.com/journal/40817" xr:uid="{00000000-0004-0000-0200-000042050000}"/>
    <hyperlink ref="H1360" r:id="rId1348" display="https://link.springer.com/journal/42102" xr:uid="{00000000-0004-0000-0200-000043050000}"/>
    <hyperlink ref="H1361" r:id="rId1349" display="https://link.springer.com/journal/10340" xr:uid="{00000000-0004-0000-0200-000044050000}"/>
    <hyperlink ref="H1362" r:id="rId1350" display="https://link.springer.com/journal/12247" xr:uid="{00000000-0004-0000-0200-000045050000}"/>
    <hyperlink ref="H1363" r:id="rId1351" display="https://link.springer.com/journal/40005" xr:uid="{00000000-0004-0000-0200-000046050000}"/>
    <hyperlink ref="H1364" r:id="rId1352" display="https://link.springer.com/journal/10928" xr:uid="{00000000-0004-0000-0200-000047050000}"/>
    <hyperlink ref="H1365" r:id="rId1353" display="https://link.springer.com/journal/11669" xr:uid="{00000000-0004-0000-0200-000048050000}"/>
    <hyperlink ref="H1366" r:id="rId1354" display="https://link.springer.com/journal/10992" xr:uid="{00000000-0004-0000-0200-000049050000}"/>
    <hyperlink ref="H1367" r:id="rId1355" display="https://link.springer.com/journal/13105" xr:uid="{00000000-0004-0000-0200-00004A050000}"/>
    <hyperlink ref="H1368" r:id="rId1356" display="https://link.springer.com/journal/13562" xr:uid="{00000000-0004-0000-0200-00004B050000}"/>
    <hyperlink ref="H1369" r:id="rId1357" display="https://link.springer.com/journal/12374" xr:uid="{00000000-0004-0000-0200-00004C050000}"/>
    <hyperlink ref="H1370" r:id="rId1358" display="https://link.springer.com/journal/41348" xr:uid="{00000000-0004-0000-0200-00004D050000}"/>
    <hyperlink ref="H1371" r:id="rId1359" display="https://link.springer.com/journal/344" xr:uid="{00000000-0004-0000-0200-00004E050000}"/>
    <hyperlink ref="H1372" r:id="rId1360" display="https://link.springer.com/journal/42161" xr:uid="{00000000-0004-0000-0200-00004F050000}"/>
    <hyperlink ref="H1373" r:id="rId1361" display="https://link.springer.com/journal/10265" xr:uid="{00000000-0004-0000-0200-000050050000}"/>
    <hyperlink ref="H1374" r:id="rId1362" display="https://link.springer.com/journal/11896" xr:uid="{00000000-0004-0000-0200-000051050000}"/>
    <hyperlink ref="H1375" r:id="rId1363" display="https://link.springer.com/journal/42972" xr:uid="{00000000-0004-0000-0200-000052050000}"/>
    <hyperlink ref="H1376" r:id="rId1364" display="https://link.springer.com/journal/10965" xr:uid="{00000000-0004-0000-0200-000053050000}"/>
    <hyperlink ref="H1377" r:id="rId1365" display="https://link.springer.com/journal/10924" xr:uid="{00000000-0004-0000-0200-000054050000}"/>
    <hyperlink ref="H1378" r:id="rId1366" display="https://link.springer.com/journal/12062" xr:uid="{00000000-0004-0000-0200-000055050000}"/>
    <hyperlink ref="H1379" r:id="rId1367" display="https://link.springer.com/journal/148" xr:uid="{00000000-0004-0000-0200-000056050000}"/>
    <hyperlink ref="H1380" r:id="rId1368" display="https://link.springer.com/journal/12546" xr:uid="{00000000-0004-0000-0200-000057050000}"/>
    <hyperlink ref="H1381" r:id="rId1369" display="https://link.springer.com/journal/10934" xr:uid="{00000000-0004-0000-0200-000058050000}"/>
    <hyperlink ref="H1382" r:id="rId1370" display="https://link.springer.com/journal/43236" xr:uid="{00000000-0004-0000-0200-000059050000}"/>
    <hyperlink ref="H1383" r:id="rId1371" display="https://link.springer.com/journal/10935" xr:uid="{00000000-0004-0000-0200-00005A050000}"/>
    <hyperlink ref="H1384" r:id="rId1372" display="https://link.springer.com/journal/11123" xr:uid="{00000000-0004-0000-0200-00005B050000}"/>
    <hyperlink ref="H1385" r:id="rId1373" display="https://link.springer.com/journal/42485" xr:uid="{00000000-0004-0000-0200-00005C050000}"/>
    <hyperlink ref="H1386" r:id="rId1374" display="https://link.springer.com/journal/11868" xr:uid="{00000000-0004-0000-0200-00005D050000}"/>
    <hyperlink ref="H1387" r:id="rId1375" display="https://link.springer.com/journal/10936" xr:uid="{00000000-0004-0000-0200-00005E050000}"/>
    <hyperlink ref="H1388" r:id="rId1376" display="https://link.springer.com/journal/10862" xr:uid="{00000000-0004-0000-0200-00005F050000}"/>
    <hyperlink ref="H1389" r:id="rId1377" display="https://link.springer.com/journal/40737" xr:uid="{00000000-0004-0000-0200-000060050000}"/>
    <hyperlink ref="H1390" r:id="rId1378" display="https://link.springer.com/journal/10389" xr:uid="{00000000-0004-0000-0200-000061050000}"/>
    <hyperlink ref="H1391" r:id="rId1379" display="https://link.springer.com/journal/10940" xr:uid="{00000000-0004-0000-0200-000062050000}"/>
    <hyperlink ref="H1392" r:id="rId1380" display="https://link.springer.com/journal/40953" xr:uid="{00000000-0004-0000-0200-000063050000}"/>
    <hyperlink ref="H1393" r:id="rId1381" display="https://link.springer.com/journal/40615" xr:uid="{00000000-0004-0000-0200-000064050000}"/>
    <hyperlink ref="H1394" r:id="rId1382" display="https://link.springer.com/journal/10967" xr:uid="{00000000-0004-0000-0200-000065050000}"/>
    <hyperlink ref="H1395" r:id="rId1383" display="https://link.springer.com/journal/10942" xr:uid="{00000000-0004-0000-0200-000066050000}"/>
    <hyperlink ref="H1396" r:id="rId1384" display="https://link.springer.com/journal/11554" xr:uid="{00000000-0004-0000-0200-000067050000}"/>
    <hyperlink ref="H1397" r:id="rId1385" display="https://link.springer.com/journal/11149" xr:uid="{00000000-0004-0000-0200-000068050000}"/>
    <hyperlink ref="H1398" r:id="rId1386" display="https://link.springer.com/journal/40860" xr:uid="{00000000-0004-0000-0200-000069050000}"/>
    <hyperlink ref="H1399" r:id="rId1387" display="https://link.springer.com/journal/10943" xr:uid="{00000000-0004-0000-0200-00006A050000}"/>
    <hyperlink ref="H1400" r:id="rId1388" display="https://link.springer.com/journal/40839" xr:uid="{00000000-0004-0000-0200-00006B050000}"/>
    <hyperlink ref="H1401" r:id="rId1389" display="https://link.springer.com/journal/13243" xr:uid="{00000000-0004-0000-0200-00006C050000}"/>
    <hyperlink ref="H1402" r:id="rId1390" display="https://link.springer.com/journal/11166" xr:uid="{00000000-0004-0000-0200-00006D050000}"/>
    <hyperlink ref="H1403" r:id="rId1391" display="https://link.springer.com/journal/11701" xr:uid="{00000000-0004-0000-0200-00006E050000}"/>
    <hyperlink ref="H1404" r:id="rId1392" display="https://link.springer.com/journal/42464" xr:uid="{00000000-0004-0000-0200-00006F050000}"/>
    <hyperlink ref="H1405" r:id="rId1393" display="https://link.springer.com/journal/10946" xr:uid="{00000000-0004-0000-0200-000070050000}"/>
    <hyperlink ref="H1406" r:id="rId1394" display="https://link.springer.com/journal/10951" xr:uid="{00000000-0004-0000-0200-000071050000}"/>
    <hyperlink ref="H1407" r:id="rId1395" display="https://link.springer.com/journal/10956" xr:uid="{00000000-0004-0000-0200-000072050000}"/>
    <hyperlink ref="H1408" r:id="rId1396" display="https://link.springer.com/journal/42978" xr:uid="{00000000-0004-0000-0200-000073050000}"/>
    <hyperlink ref="H1409" r:id="rId1397" display="https://link.springer.com/journal/10915" xr:uid="{00000000-0004-0000-0200-000074050000}"/>
    <hyperlink ref="H1410" r:id="rId1398" display="https://link.springer.com/journal/43217" xr:uid="{00000000-0004-0000-0200-000075050000}"/>
    <hyperlink ref="H1411" r:id="rId1399" display="https://link.springer.com/journal/10950" xr:uid="{00000000-0004-0000-0200-000076050000}"/>
    <hyperlink ref="H1412" r:id="rId1400" display="https://link.springer.com/journal/12204" xr:uid="{00000000-0004-0000-0200-000077050000}"/>
    <hyperlink ref="H1413" r:id="rId1401" display="https://link.springer.com/journal/11265" xr:uid="{00000000-0004-0000-0200-000078050000}"/>
    <hyperlink ref="H1414" r:id="rId1402" display="https://link.springer.com/journal/40847" xr:uid="{00000000-0004-0000-0200-000079050000}"/>
    <hyperlink ref="H1415" r:id="rId1403" display="https://link.springer.com/journal/42729" xr:uid="{00000000-0004-0000-0200-00007A050000}"/>
    <hyperlink ref="H1416" r:id="rId1404" display="https://link.springer.com/journal/11368" xr:uid="{00000000-0004-0000-0200-00007B050000}"/>
    <hyperlink ref="H1417" r:id="rId1405" display="https://link.springer.com/journal/10971" xr:uid="{00000000-0004-0000-0200-00007C050000}"/>
    <hyperlink ref="H1418" r:id="rId1406" display="https://link.springer.com/journal/10008" xr:uid="{00000000-0004-0000-0200-00007D050000}"/>
    <hyperlink ref="H1419" r:id="rId1407" display="https://link.springer.com/journal/10953" xr:uid="{00000000-0004-0000-0200-00007E050000}"/>
    <hyperlink ref="H1420" r:id="rId1408" display="https://link.springer.com/journal/43071" xr:uid="{00000000-0004-0000-0200-00007F050000}"/>
    <hyperlink ref="H1421" r:id="rId1409" display="https://link.springer.com/journal/10955" xr:uid="{00000000-0004-0000-0200-000080050000}"/>
    <hyperlink ref="H1422" r:id="rId1410" display="https://link.springer.com/journal/42519" xr:uid="{00000000-0004-0000-0200-000081050000}"/>
    <hyperlink ref="H1423" r:id="rId1411" display="https://link.springer.com/journal/10947" xr:uid="{00000000-0004-0000-0200-000082050000}"/>
    <hyperlink ref="H1424" r:id="rId1412" display="https://link.springer.com/journal/10948" xr:uid="{00000000-0004-0000-0200-000083050000}"/>
    <hyperlink ref="H1425" r:id="rId1413" display="https://link.springer.com/journal/11961" xr:uid="{00000000-0004-0000-0200-000084050000}"/>
    <hyperlink ref="H1426" r:id="rId1414" display="https://link.springer.com/journal/11700" xr:uid="{00000000-0004-0000-0200-000085050000}"/>
    <hyperlink ref="H1427" r:id="rId1415" display="https://link.springer.com/journal/40831" xr:uid="{00000000-0004-0000-0200-000086050000}"/>
    <hyperlink ref="H1428" r:id="rId1416" display="https://link.springer.com/journal/11424" xr:uid="{00000000-0004-0000-0200-000087050000}"/>
    <hyperlink ref="H1429" r:id="rId1417" display="https://link.springer.com/journal/11518" xr:uid="{00000000-0004-0000-0200-000088050000}"/>
    <hyperlink ref="H1430" r:id="rId1418" display="https://link.springer.com/journal/41347" xr:uid="{00000000-0004-0000-0200-000089050000}"/>
    <hyperlink ref="H1431" r:id="rId1419" display="https://link.springer.com/journal/11747" xr:uid="{00000000-0004-0000-0200-00008A050000}"/>
    <hyperlink ref="H1432" r:id="rId1420" display="https://link.springer.com/journal/10162" xr:uid="{00000000-0004-0000-0200-00008B050000}"/>
    <hyperlink ref="H1433" r:id="rId1421" display="https://link.springer.com/journal/41779" xr:uid="{00000000-0004-0000-0200-00008C050000}"/>
    <hyperlink ref="H1434" r:id="rId1422" display="https://link.springer.com/journal/40430" xr:uid="{00000000-0004-0000-0200-00008D050000}"/>
    <hyperlink ref="H1435" r:id="rId1423" display="https://link.springer.com/journal/40881" xr:uid="{00000000-0004-0000-0200-00008E050000}"/>
    <hyperlink ref="H1436" r:id="rId1424" display="https://link.springer.com/journal/12594" xr:uid="{00000000-0004-0000-0200-00008F050000}"/>
    <hyperlink ref="H1437" r:id="rId1425" display="https://link.springer.com/journal/10739" xr:uid="{00000000-0004-0000-0200-000090050000}"/>
    <hyperlink ref="H1438" r:id="rId1426" display="https://link.springer.com/journal/13196" xr:uid="{00000000-0004-0000-0200-000091050000}"/>
    <hyperlink ref="H1439" r:id="rId1427" display="https://link.springer.com/journal/41745" xr:uid="{00000000-0004-0000-0200-000092050000}"/>
    <hyperlink ref="H1440" r:id="rId1428" display="https://link.springer.com/journal/41096" xr:uid="{00000000-0004-0000-0200-000093050000}"/>
    <hyperlink ref="H1441" r:id="rId1429" display="https://link.springer.com/journal/12524" xr:uid="{00000000-0004-0000-0200-000094050000}"/>
    <hyperlink ref="H1442" r:id="rId1430" display="https://link.springer.com/journal/40030" xr:uid="{00000000-0004-0000-0200-000095050000}"/>
    <hyperlink ref="H1443" r:id="rId1431" display="https://link.springer.com/journal/40031" xr:uid="{00000000-0004-0000-0200-000096050000}"/>
    <hyperlink ref="H1444" r:id="rId1432" display="https://link.springer.com/journal/40032" xr:uid="{00000000-0004-0000-0200-000097050000}"/>
    <hyperlink ref="H1445" r:id="rId1433" display="https://link.springer.com/journal/40033" xr:uid="{00000000-0004-0000-0200-000098050000}"/>
    <hyperlink ref="H1446" r:id="rId1434" display="https://link.springer.com/journal/40034" xr:uid="{00000000-0004-0000-0200-000099050000}"/>
    <hyperlink ref="H1447" r:id="rId1435" display="https://link.springer.com/journal/13738" xr:uid="{00000000-0004-0000-0200-00009A050000}"/>
    <hyperlink ref="H1448" r:id="rId1436" display="https://link.springer.com/journal/13132" xr:uid="{00000000-0004-0000-0200-00009B050000}"/>
    <hyperlink ref="H1449" r:id="rId1437" display="https://link.springer.com/journal/43207" xr:uid="{00000000-0004-0000-0200-00009C050000}"/>
    <hyperlink ref="H1450" r:id="rId1438" display="https://link.springer.com/journal/40042" xr:uid="{00000000-0004-0000-0200-00009D050000}"/>
    <hyperlink ref="H1451" r:id="rId1439" display="https://link.springer.com/journal/42952" xr:uid="{00000000-0004-0000-0200-00009E050000}"/>
    <hyperlink ref="H1452" r:id="rId1440" display="https://link.springer.com/journal/40305" xr:uid="{00000000-0004-0000-0200-00009F050000}"/>
    <hyperlink ref="H1453" r:id="rId1441" display="https://link.springer.com/journal/10959" xr:uid="{00000000-0004-0000-0200-0000A0050000}"/>
    <hyperlink ref="H1454" r:id="rId1442" display="https://link.springer.com/journal/10973" xr:uid="{00000000-0004-0000-0200-0000A1050000}"/>
    <hyperlink ref="H1455" r:id="rId1443" display="https://link.springer.com/journal/11630" xr:uid="{00000000-0004-0000-0200-0000A2050000}"/>
    <hyperlink ref="H1456" r:id="rId1444" display="https://link.springer.com/journal/11666" xr:uid="{00000000-0004-0000-0200-0000A3050000}"/>
    <hyperlink ref="H1457" r:id="rId1445" display="https://link.springer.com/journal/11239" xr:uid="{00000000-0004-0000-0200-0000A4050000}"/>
    <hyperlink ref="H1458" r:id="rId1446" display="https://link.springer.com/journal/12198" xr:uid="{00000000-0004-0000-0200-0000A5050000}"/>
    <hyperlink ref="H1459" r:id="rId1447" display="https://link.springer.com/journal/40477" xr:uid="{00000000-0004-0000-0200-0000A6050000}"/>
    <hyperlink ref="H1460" r:id="rId1448" display="https://link.springer.com/journal/11524" xr:uid="{00000000-0004-0000-0200-0000A7050000}"/>
    <hyperlink ref="H1461" r:id="rId1449" display="https://link.springer.com/journal/42417" xr:uid="{00000000-0004-0000-0200-0000A8050000}"/>
    <hyperlink ref="H1462" r:id="rId1450" display="https://link.springer.com/journal/12650" xr:uid="{00000000-0004-0000-0200-0000A9050000}"/>
    <hyperlink ref="H1463" r:id="rId1451" display="https://link.springer.com/journal/11711" xr:uid="{00000000-0004-0000-0200-0000AA050000}"/>
    <hyperlink ref="H1464" r:id="rId1452" display="https://link.springer.com/journal/11962" xr:uid="{00000000-0004-0000-0200-0000AB050000}"/>
    <hyperlink ref="H1465" r:id="rId1453" display="https://link.springer.com/journal/10963" xr:uid="{00000000-0004-0000-0200-0000AC050000}"/>
    <hyperlink ref="H1466" r:id="rId1454" display="https://link.springer.com/journal/11595" xr:uid="{00000000-0004-0000-0200-0000AD050000}"/>
    <hyperlink ref="H1467" r:id="rId1455" display="https://link.springer.com/journal/10964" xr:uid="{00000000-0004-0000-0200-0000AE050000}"/>
    <hyperlink ref="H1468" r:id="rId1456" display="https://link.springer.com/journal/11582" xr:uid="{00000000-0004-0000-0200-0000AF050000}"/>
    <hyperlink ref="H1469" r:id="rId1457" display="https://link.springer.com/journal/11585" xr:uid="{00000000-0004-0000-0200-0000B0050000}"/>
    <hyperlink ref="H1470" r:id="rId1458" display="https://link.springer.com/journal/12193" xr:uid="{00000000-0004-0000-0200-0000B1050000}"/>
    <hyperlink ref="H1471" r:id="rId1459" display="https://link.springer.com/journal/764" xr:uid="{00000000-0004-0000-0200-0000B2050000}"/>
    <hyperlink ref="H1472" r:id="rId1460" display="https://link.springer.com/journal/42439" xr:uid="{00000000-0004-0000-0200-0000B3050000}"/>
    <hyperlink ref="H1473" r:id="rId1461" display="https://link.springer.com/journal/42410" xr:uid="{00000000-0004-0000-0200-0000B4050000}"/>
    <hyperlink ref="H1474" r:id="rId1462" display="https://link.springer.com/journal/12225" xr:uid="{00000000-0004-0000-0200-0000B5050000}"/>
    <hyperlink ref="H1475" r:id="rId1463" display="https://link.springer.com/journal/13218" xr:uid="{00000000-0004-0000-0200-0000B6050000}"/>
    <hyperlink ref="H1476" r:id="rId1464" display="https://link.springer.com/journal/11963" xr:uid="{00000000-0004-0000-0200-0000B7050000}"/>
    <hyperlink ref="H1477" r:id="rId1465" display="https://link.springer.com/journal/10975" xr:uid="{00000000-0004-0000-0200-0000B8050000}"/>
    <hyperlink ref="H1478" r:id="rId1466" display="https://link.springer.com/journal/42489" xr:uid="{00000000-0004-0000-0200-0000B9050000}"/>
    <hyperlink ref="H1479" r:id="rId1467" display="https://link.springer.com/journal/167" xr:uid="{00000000-0004-0000-0200-0000BA050000}"/>
    <hyperlink ref="H1480" r:id="rId1468" display="https://link.springer.com/journal/43205" xr:uid="{00000000-0004-0000-0200-0000BB050000}"/>
    <hyperlink ref="H1481" r:id="rId1469" display="https://link.springer.com/journal/10115" xr:uid="{00000000-0004-0000-0200-0000BC050000}"/>
    <hyperlink ref="H1482" r:id="rId1470" display="https://link.springer.com/journal/13367" xr:uid="{00000000-0004-0000-0200-0000BD050000}"/>
    <hyperlink ref="H1483" r:id="rId1471" display="https://link.springer.com/journal/11814" xr:uid="{00000000-0004-0000-0200-0000BE050000}"/>
    <hyperlink ref="H1484" r:id="rId1472" display="https://link.springer.com/journal/12205" xr:uid="{00000000-0004-0000-0200-0000BF050000}"/>
    <hyperlink ref="H1485" r:id="rId1473" display="https://link.springer.com/journal/11577" xr:uid="{00000000-0004-0000-0200-0000C0050000}"/>
    <hyperlink ref="H1486" r:id="rId1474" display="https://link.springer.com/journal/44007" xr:uid="{00000000-0004-0000-0200-0000C1050000}"/>
    <hyperlink ref="H1487" r:id="rId1475" display="https://link.springer.com/journal/11547" xr:uid="{00000000-0004-0000-0200-0000C2050000}"/>
    <hyperlink ref="H1488" r:id="rId1476" display="https://link.springer.com/journal/40766" xr:uid="{00000000-0004-0000-0200-0000C3050000}"/>
    <hyperlink ref="H1489" r:id="rId1477" display="https://link.springer.com/journal/11355" xr:uid="{00000000-0004-0000-0200-0000C4050000}"/>
    <hyperlink ref="H1490" r:id="rId1478" display="https://link.springer.com/journal/10980" xr:uid="{00000000-0004-0000-0200-0000C5050000}"/>
    <hyperlink ref="H1491" r:id="rId1479" display="https://link.springer.com/journal/10346" xr:uid="{00000000-0004-0000-0200-0000C6050000}"/>
    <hyperlink ref="H1492" r:id="rId1480" display="https://link.springer.com/journal/423" xr:uid="{00000000-0004-0000-0200-0000C7050000}"/>
    <hyperlink ref="H1493" r:id="rId1481" display="https://link.springer.com/journal/10993" xr:uid="{00000000-0004-0000-0200-0000C8050000}"/>
    <hyperlink ref="H1494" r:id="rId1482" display="https://link.springer.com/journal/10579" xr:uid="{00000000-0004-0000-0200-0000C9050000}"/>
    <hyperlink ref="H1495" r:id="rId1483" display="https://link.springer.com/journal/41547" xr:uid="{00000000-0004-0000-0200-0000CA050000}"/>
    <hyperlink ref="H1496" r:id="rId1484" display="https://link.springer.com/journal/40516" xr:uid="{00000000-0004-0000-0200-0000CB050000}"/>
    <hyperlink ref="H1497" r:id="rId1485" display="https://link.springer.com/journal/10103" xr:uid="{00000000-0004-0000-0200-0000CC050000}"/>
    <hyperlink ref="H1498" r:id="rId1486" display="https://link.springer.com/journal/10978" xr:uid="{00000000-0004-0000-0200-0000CD050000}"/>
    <hyperlink ref="H1499" r:id="rId1487" display="https://link.springer.com/journal/10982" xr:uid="{00000000-0004-0000-0200-0000CE050000}"/>
    <hyperlink ref="H1500" r:id="rId1488" display="https://link.springer.com/journal/13420" xr:uid="{00000000-0004-0000-0200-0000CF050000}"/>
    <hyperlink ref="H1501" r:id="rId1489" display="https://link.springer.com/journal/10984" xr:uid="{00000000-0004-0000-0200-0000D0050000}"/>
    <hyperlink ref="H1502" r:id="rId1490" display="https://link.springer.com/journal/40619" xr:uid="{00000000-0004-0000-0200-0000D1050000}"/>
    <hyperlink ref="H1503" r:id="rId1491" display="https://link.springer.com/journal/11005" xr:uid="{00000000-0004-0000-0200-0000D2050000}"/>
    <hyperlink ref="H1504" r:id="rId1492" display="https://link.springer.com/journal/12076" xr:uid="{00000000-0004-0000-0200-0000D3050000}"/>
    <hyperlink ref="H1505" r:id="rId1493" display="https://link.springer.com/journal/41872" xr:uid="{00000000-0004-0000-0200-0000D4050000}"/>
    <hyperlink ref="H1506" r:id="rId1494" display="https://link.springer.com/journal/10985" xr:uid="{00000000-0004-0000-0200-0000D5050000}"/>
    <hyperlink ref="H1507" r:id="rId1495" display="https://link.springer.com/journal/10201" xr:uid="{00000000-0004-0000-0200-0000D6050000}"/>
    <hyperlink ref="H1508" r:id="rId1496" display="https://link.springer.com/journal/10988" xr:uid="{00000000-0004-0000-0200-0000D7050000}"/>
    <hyperlink ref="H1509" r:id="rId1497" display="https://link.springer.com/journal/41025" xr:uid="{00000000-0004-0000-0200-0000D8050000}"/>
    <hyperlink ref="H1510" r:id="rId1498" display="https://link.springer.com/journal/10987" xr:uid="{00000000-0004-0000-0200-0000D9050000}"/>
    <hyperlink ref="H1511" r:id="rId1499" display="https://link.springer.com/journal/10986" xr:uid="{00000000-0004-0000-0200-0000DA050000}"/>
    <hyperlink ref="H1512" r:id="rId1500" display="https://link.springer.com/journal/10991" xr:uid="{00000000-0004-0000-0200-0000DB050000}"/>
    <hyperlink ref="H1513" r:id="rId1501" display="https://link.springer.com/journal/12202" xr:uid="{00000000-0004-0000-0200-0000DC050000}"/>
    <hyperlink ref="H1514" r:id="rId1502" display="https://link.springer.com/journal/11787" xr:uid="{00000000-0004-0000-0200-0000DD050000}"/>
    <hyperlink ref="H1515" r:id="rId1503" display="https://link.springer.com/journal/408" xr:uid="{00000000-0004-0000-0200-0000DE050000}"/>
    <hyperlink ref="H1516" r:id="rId1504" display="https://link.springer.com/journal/11633" xr:uid="{00000000-0004-0000-0200-0000DF050000}"/>
    <hyperlink ref="H1517" r:id="rId1505" display="https://link.springer.com/journal/10994" xr:uid="{00000000-0004-0000-0200-0000E0050000}"/>
    <hyperlink ref="H1518" r:id="rId1506" display="https://link.springer.com/journal/138" xr:uid="{00000000-0004-0000-0200-0000E1050000}"/>
    <hyperlink ref="H1519" r:id="rId1507" display="https://link.springer.com/journal/13233" xr:uid="{00000000-0004-0000-0200-0000E2050000}"/>
    <hyperlink ref="H1520" r:id="rId1508" display="https://link.springer.com/journal/10334" xr:uid="{00000000-0004-0000-0200-0000E3050000}"/>
    <hyperlink ref="H1521" r:id="rId1509" display="https://link.springer.com/journal/13364" xr:uid="{00000000-0004-0000-0200-0000E4050000}"/>
    <hyperlink ref="H1522" r:id="rId1510" display="https://link.springer.com/journal/42991" xr:uid="{00000000-0004-0000-0200-0000E5050000}"/>
    <hyperlink ref="H1523" r:id="rId1511" display="https://link.springer.com/journal/335" xr:uid="{00000000-0004-0000-0200-0000E6050000}"/>
    <hyperlink ref="H1524" r:id="rId1512" display="https://link.springer.com/journal/11575" xr:uid="{00000000-0004-0000-0200-0000E7050000}"/>
    <hyperlink ref="H1525" r:id="rId1513" display="https://link.springer.com/journal/11301" xr:uid="{00000000-0004-0000-0200-0000E8050000}"/>
    <hyperlink ref="H1526" r:id="rId1514" display="https://link.springer.com/journal/337" xr:uid="{00000000-0004-0000-0200-0000E9050000}"/>
    <hyperlink ref="H1527" r:id="rId1515" display="https://link.springer.com/journal/229" xr:uid="{00000000-0004-0000-0200-0000EA050000}"/>
    <hyperlink ref="H1528" r:id="rId1516" display="https://link.springer.com/journal/12647" xr:uid="{00000000-0004-0000-0200-0000EB050000}"/>
    <hyperlink ref="H1529" r:id="rId1517" display="https://link.springer.com/journal/12526" xr:uid="{00000000-0004-0000-0200-0000EC050000}"/>
    <hyperlink ref="H1530" r:id="rId1518" display="https://link.springer.com/journal/227" xr:uid="{00000000-0004-0000-0200-0000ED050000}"/>
    <hyperlink ref="H1531" r:id="rId1519" display="https://link.springer.com/journal/10126" xr:uid="{00000000-0004-0000-0200-0000EE050000}"/>
    <hyperlink ref="H1532" r:id="rId1520" display="https://link.springer.com/journal/11001" xr:uid="{00000000-0004-0000-0200-0000EF050000}"/>
    <hyperlink ref="H1533" r:id="rId1521" display="https://link.springer.com/journal/42995" xr:uid="{00000000-0004-0000-0200-0000F0050000}"/>
    <hyperlink ref="H1534" r:id="rId1522" display="https://link.springer.com/journal/40868" xr:uid="{00000000-0004-0000-0200-0000F1050000}"/>
    <hyperlink ref="H1535" r:id="rId1523" display="https://link.springer.com/journal/40152" xr:uid="{00000000-0004-0000-0200-0000F2050000}"/>
    <hyperlink ref="H1536" r:id="rId1524" display="https://link.springer.com/journal/11002" xr:uid="{00000000-0004-0000-0200-0000F3050000}"/>
    <hyperlink ref="H1537" r:id="rId1525" display="https://link.springer.com/journal/11527" xr:uid="{00000000-0004-0000-0200-0000F4050000}"/>
    <hyperlink ref="H1538" r:id="rId1526" display="https://link.springer.com/journal/42824" xr:uid="{00000000-0004-0000-0200-0000F5050000}"/>
    <hyperlink ref="H1539" r:id="rId1527" display="https://link.springer.com/journal/11003" xr:uid="{00000000-0004-0000-0200-0000F6050000}"/>
    <hyperlink ref="H1540" r:id="rId1528" display="https://link.springer.com/journal/10995" xr:uid="{00000000-0004-0000-0200-0000F7050000}"/>
    <hyperlink ref="H1541" r:id="rId1529" display="https://link.springer.com/journal/11004" xr:uid="{00000000-0004-0000-0200-0000F8050000}"/>
    <hyperlink ref="H1542" r:id="rId1530" display="https://link.springer.com/journal/186" xr:uid="{00000000-0004-0000-0200-0000F9050000}"/>
    <hyperlink ref="H1543" r:id="rId1531" display="https://link.springer.com/journal/12004" xr:uid="{00000000-0004-0000-0200-0000FA050000}"/>
    <hyperlink ref="H1544" r:id="rId1532" display="https://link.springer.com/journal/12608" xr:uid="{00000000-0004-0000-0200-0000FB050000}"/>
    <hyperlink ref="H1545" r:id="rId1533" display="https://link.springer.com/journal/11006" xr:uid="{00000000-0004-0000-0200-0000FC050000}"/>
    <hyperlink ref="H1546" r:id="rId1534" display="https://link.springer.com/journal/11040" xr:uid="{00000000-0004-0000-0200-0000FD050000}"/>
    <hyperlink ref="H1547" r:id="rId1535" display="https://link.springer.com/journal/10107" xr:uid="{00000000-0004-0000-0200-0000FE050000}"/>
    <hyperlink ref="H1548" r:id="rId1536" display="https://link.springer.com/journal/12532" xr:uid="{00000000-0004-0000-0200-0000FF050000}"/>
    <hyperlink ref="H1549" r:id="rId1537" display="https://link.springer.com/journal/40096" xr:uid="{00000000-0004-0000-0200-000000060000}"/>
    <hyperlink ref="H1550" r:id="rId1538" display="https://link.springer.com/journal/11579" xr:uid="{00000000-0004-0000-0200-000001060000}"/>
    <hyperlink ref="H1551" r:id="rId1539" display="https://link.springer.com/journal/13394" xr:uid="{00000000-0004-0000-0200-000002060000}"/>
    <hyperlink ref="H1552" r:id="rId1540" display="https://link.springer.com/journal/11786" xr:uid="{00000000-0004-0000-0200-000003060000}"/>
    <hyperlink ref="H1553" r:id="rId1541" display="https://link.springer.com/journal/498" xr:uid="{00000000-0004-0000-0200-000004060000}"/>
    <hyperlink ref="H1554" r:id="rId1542" display="https://link.springer.com/journal/208" xr:uid="{00000000-0004-0000-0200-000005060000}"/>
    <hyperlink ref="H1555" r:id="rId1543" display="https://link.springer.com/journal/591" xr:uid="{00000000-0004-0000-0200-000006060000}"/>
    <hyperlink ref="H1556" r:id="rId1544" display="https://link.springer.com/journal/209" xr:uid="{00000000-0004-0000-0200-000007060000}"/>
    <hyperlink ref="H1557" r:id="rId1545" display="https://link.springer.com/journal/11018" xr:uid="{00000000-0004-0000-0200-000008060000}"/>
    <hyperlink ref="H1558" r:id="rId1546" display="https://link.springer.com/journal/11012" xr:uid="{00000000-0004-0000-0200-000009060000}"/>
    <hyperlink ref="H1559" r:id="rId1547" display="https://link.springer.com/journal/11029" xr:uid="{00000000-0004-0000-0200-00000A060000}"/>
    <hyperlink ref="H1560" r:id="rId1548" display="https://link.springer.com/journal/42558" xr:uid="{00000000-0004-0000-0200-00000B060000}"/>
    <hyperlink ref="H1561" r:id="rId1549" display="https://link.springer.com/journal/11964" xr:uid="{00000000-0004-0000-0200-00000C060000}"/>
    <hyperlink ref="H1562" r:id="rId1550" display="https://link.springer.com/journal/11043" xr:uid="{00000000-0004-0000-0200-00000D060000}"/>
    <hyperlink ref="H1563" r:id="rId1551" display="https://link.springer.com/journal/11517" xr:uid="{00000000-0004-0000-0200-00000E060000}"/>
    <hyperlink ref="H1564" r:id="rId1552" display="https://link.springer.com/journal/430" xr:uid="{00000000-0004-0000-0200-00000F060000}"/>
    <hyperlink ref="H1565" r:id="rId1553" display="https://link.springer.com/journal/795" xr:uid="{00000000-0004-0000-0200-000010060000}"/>
    <hyperlink ref="H1566" r:id="rId1554" display="https://link.springer.com/journal/12032" xr:uid="{00000000-0004-0000-0200-000011060000}"/>
    <hyperlink ref="H1567" r:id="rId1555" display="https://link.springer.com/journal/40670" xr:uid="{00000000-0004-0000-0200-000012060000}"/>
    <hyperlink ref="H1568" r:id="rId1556" display="https://link.springer.com/journal/44" xr:uid="{00000000-0004-0000-0200-000013060000}"/>
    <hyperlink ref="H1569" r:id="rId1557" display="https://link.springer.com/journal/11019" xr:uid="{00000000-0004-0000-0200-000014060000}"/>
    <hyperlink ref="H1570" r:id="rId1558" display="https://link.springer.com/journal/42990" xr:uid="{00000000-0004-0000-0200-000015060000}"/>
    <hyperlink ref="H1571" r:id="rId1559" display="https://link.springer.com/journal/9" xr:uid="{00000000-0004-0000-0200-000016060000}"/>
    <hyperlink ref="H1572" r:id="rId1560" display="https://link.springer.com/journal/63" xr:uid="{00000000-0004-0000-0200-000017060000}"/>
    <hyperlink ref="H1573" r:id="rId1561" display="https://link.springer.com/journal/350" xr:uid="{00000000-0004-0000-0200-000018060000}"/>
    <hyperlink ref="H1574" r:id="rId1562" display="https://link.springer.com/journal/42755" xr:uid="{00000000-0004-0000-0200-000019060000}"/>
    <hyperlink ref="H1575" r:id="rId1563" display="https://link.springer.com/journal/12293" xr:uid="{00000000-0004-0000-0200-00001A060000}"/>
    <hyperlink ref="H1576" r:id="rId1564" display="https://link.springer.com/journal/12254" xr:uid="{00000000-0004-0000-0200-00001B060000}"/>
    <hyperlink ref="H1577" r:id="rId1565" display="https://link.springer.com/journal/13421" xr:uid="{00000000-0004-0000-0200-00001C060000}"/>
    <hyperlink ref="H1578" r:id="rId1566" display="https://link.springer.com/journal/11011" xr:uid="{00000000-0004-0000-0200-00001D060000}"/>
    <hyperlink ref="H1579" r:id="rId1567" display="https://link.springer.com/journal/11306" xr:uid="{00000000-0004-0000-0200-00001E060000}"/>
    <hyperlink ref="H1580" r:id="rId1568" display="https://link.springer.com/journal/11409" xr:uid="{00000000-0004-0000-0200-00001F060000}"/>
    <hyperlink ref="H1581" r:id="rId1569" display="https://link.springer.com/journal/11041" xr:uid="{00000000-0004-0000-0200-000020060000}"/>
    <hyperlink ref="H1582" r:id="rId1570" display="https://link.springer.com/journal/13632" xr:uid="{00000000-0004-0000-0200-000021060000}"/>
    <hyperlink ref="H1583" r:id="rId1571" display="https://link.springer.com/journal/11661" xr:uid="{00000000-0004-0000-0200-000022060000}"/>
    <hyperlink ref="H1584" r:id="rId1572" display="https://link.springer.com/journal/11663" xr:uid="{00000000-0004-0000-0200-000023060000}"/>
    <hyperlink ref="H1585" r:id="rId1573" display="https://link.springer.com/journal/11015" xr:uid="{00000000-0004-0000-0200-000024060000}"/>
    <hyperlink ref="H1586" r:id="rId1574" display="https://link.springer.com/journal/12540" xr:uid="{00000000-0004-0000-0200-000025060000}"/>
    <hyperlink ref="H1587" r:id="rId1575" display="https://link.springer.com/journal/11016" xr:uid="{00000000-0004-0000-0200-000026060000}"/>
    <hyperlink ref="H1588" r:id="rId1576" display="https://link.springer.com/journal/703" xr:uid="{00000000-0004-0000-0200-000027060000}"/>
    <hyperlink ref="H1589" r:id="rId1577" display="https://link.springer.com/journal/11009" xr:uid="{00000000-0004-0000-0200-000028060000}"/>
    <hyperlink ref="H1590" r:id="rId1578" display="https://link.springer.com/journal/184" xr:uid="{00000000-0004-0000-0200-000029060000}"/>
    <hyperlink ref="H1591" r:id="rId1579" display="https://link.springer.com/journal/40300" xr:uid="{00000000-0004-0000-0200-00002A060000}"/>
    <hyperlink ref="H1592" r:id="rId1580" display="https://link.springer.com/journal/248" xr:uid="{00000000-0004-0000-0200-00002B060000}"/>
    <hyperlink ref="H1593" r:id="rId1581" display="https://link.springer.com/journal/11021" xr:uid="{00000000-0004-0000-0200-00002C060000}"/>
    <hyperlink ref="H1594" r:id="rId1582" display="https://link.springer.com/journal/604" xr:uid="{00000000-0004-0000-0200-00002D060000}"/>
    <hyperlink ref="H1595" r:id="rId1583" display="https://link.springer.com/journal/10404" xr:uid="{00000000-0004-0000-0200-00002E060000}"/>
    <hyperlink ref="H1596" r:id="rId1584" display="https://link.springer.com/journal/12217" xr:uid="{00000000-0004-0000-0200-00002F060000}"/>
    <hyperlink ref="H1597" r:id="rId1585" display="https://link.springer.com/journal/542" xr:uid="{00000000-0004-0000-0200-000030060000}"/>
    <hyperlink ref="H1598" r:id="rId1586" display="https://link.springer.com/journal/32" xr:uid="{00000000-0004-0000-0200-000031060000}"/>
    <hyperlink ref="H1599" r:id="rId1587" display="https://link.springer.com/journal/11299" xr:uid="{00000000-0004-0000-0200-000032060000}"/>
    <hyperlink ref="H1600" r:id="rId1588" display="https://link.springer.com/journal/12671" xr:uid="{00000000-0004-0000-0200-000033060000}"/>
    <hyperlink ref="H1601" r:id="rId1589" display="https://link.springer.com/journal/11023" xr:uid="{00000000-0004-0000-0200-000034060000}"/>
    <hyperlink ref="H1602" r:id="rId1590" display="https://link.springer.com/journal/10230" xr:uid="{00000000-0004-0000-0200-000035060000}"/>
    <hyperlink ref="H1603" r:id="rId1591" display="https://link.springer.com/journal/13563" xr:uid="{00000000-0004-0000-0200-000036060000}"/>
    <hyperlink ref="H1604" r:id="rId1592" display="https://link.springer.com/journal/126" xr:uid="{00000000-0004-0000-0200-000037060000}"/>
    <hyperlink ref="H1605" r:id="rId1593" display="https://link.springer.com/journal/710" xr:uid="{00000000-0004-0000-0200-000038060000}"/>
    <hyperlink ref="H1606" r:id="rId1594" display="https://link.springer.com/journal/11024" xr:uid="{00000000-0004-0000-0200-000039060000}"/>
    <hyperlink ref="H1607" r:id="rId1595" display="https://link.springer.com/journal/42461" xr:uid="{00000000-0004-0000-0200-00003A060000}"/>
    <hyperlink ref="H1608" r:id="rId1596" display="https://link.springer.com/journal/11027" xr:uid="{00000000-0004-0000-0200-00003B060000}"/>
    <hyperlink ref="H1609" r:id="rId1597" display="https://link.springer.com/journal/15006" xr:uid="{00000000-0004-0000-0200-00003C060000}"/>
    <hyperlink ref="H1610" r:id="rId1598" display="https://link.springer.com/journal/11036" xr:uid="{00000000-0004-0000-0200-00003D060000}"/>
    <hyperlink ref="H1611" r:id="rId1599" display="https://link.springer.com/journal/40808" xr:uid="{00000000-0004-0000-0200-00003E060000}"/>
    <hyperlink ref="H1612" r:id="rId1600" display="https://link.springer.com/journal/13273" xr:uid="{00000000-0004-0000-0200-00003F060000}"/>
    <hyperlink ref="H1613" r:id="rId1601" display="https://link.springer.com/journal/11010" xr:uid="{00000000-0004-0000-0200-000040060000}"/>
    <hyperlink ref="H1614" r:id="rId1602" display="https://link.springer.com/journal/11008" xr:uid="{00000000-0004-0000-0200-000041060000}"/>
    <hyperlink ref="H1615" r:id="rId1603" display="https://link.springer.com/journal/11033" xr:uid="{00000000-0004-0000-0200-000042060000}"/>
    <hyperlink ref="H1616" r:id="rId1604" display="https://link.springer.com/journal/12033" xr:uid="{00000000-0004-0000-0200-000043060000}"/>
    <hyperlink ref="H1617" r:id="rId1605" display="https://link.springer.com/journal/11032" xr:uid="{00000000-0004-0000-0200-000044060000}"/>
    <hyperlink ref="H1618" r:id="rId1606" display="https://link.springer.com/journal/11030" xr:uid="{00000000-0004-0000-0200-000045060000}"/>
    <hyperlink ref="H1619" r:id="rId1607" display="https://link.springer.com/journal/438" xr:uid="{00000000-0004-0000-0200-000046060000}"/>
    <hyperlink ref="H1620" r:id="rId1608" display="https://link.springer.com/journal/11965" xr:uid="{00000000-0004-0000-0200-000047060000}"/>
    <hyperlink ref="H1621" r:id="rId1609" display="https://link.springer.com/journal/11307" xr:uid="{00000000-0004-0000-0200-000048060000}"/>
    <hyperlink ref="H1622" r:id="rId1610" display="https://link.springer.com/journal/12035" xr:uid="{00000000-0004-0000-0200-000049060000}"/>
    <hyperlink ref="H1623" r:id="rId1611" display="https://link.springer.com/journal/40592" xr:uid="{00000000-0004-0000-0200-00004A060000}"/>
    <hyperlink ref="H1624" r:id="rId1612" display="https://link.springer.com/journal/706" xr:uid="{00000000-0004-0000-0200-00004B060000}"/>
    <hyperlink ref="H1625" r:id="rId1613" display="https://link.springer.com/journal/605" xr:uid="{00000000-0004-0000-0200-00004C060000}"/>
    <hyperlink ref="H1626" r:id="rId1614" display="https://link.springer.com/journal/112" xr:uid="{00000000-0004-0000-0200-00004D060000}"/>
    <hyperlink ref="H1627" r:id="rId1615" display="https://link.springer.com/journal/11525" xr:uid="{00000000-0004-0000-0200-00004E060000}"/>
    <hyperlink ref="H1628" r:id="rId1616" display="https://link.springer.com/journal/11966" xr:uid="{00000000-0004-0000-0200-00004F060000}"/>
    <hyperlink ref="H1629" r:id="rId1617" display="https://link.springer.com/journal/11967" xr:uid="{00000000-0004-0000-0200-000050060000}"/>
    <hyperlink ref="H1630" r:id="rId1618" display="https://link.springer.com/journal/11968" xr:uid="{00000000-0004-0000-0200-000051060000}"/>
    <hyperlink ref="H1631" r:id="rId1619" display="https://link.springer.com/journal/11969" xr:uid="{00000000-0004-0000-0200-000052060000}"/>
    <hyperlink ref="H1632" r:id="rId1620" display="https://link.springer.com/journal/11970" xr:uid="{00000000-0004-0000-0200-000053060000}"/>
    <hyperlink ref="H1633" r:id="rId1621" display="https://link.springer.com/journal/11971" xr:uid="{00000000-0004-0000-0200-000054060000}"/>
    <hyperlink ref="H1634" r:id="rId1622" display="https://link.springer.com/journal/11972" xr:uid="{00000000-0004-0000-0200-000055060000}"/>
    <hyperlink ref="H1635" r:id="rId1623" display="https://link.springer.com/journal/11973" xr:uid="{00000000-0004-0000-0200-000056060000}"/>
    <hyperlink ref="H1636" r:id="rId1624" display="https://link.springer.com/journal/11031" xr:uid="{00000000-0004-0000-0200-000057060000}"/>
    <hyperlink ref="H1637" r:id="rId1625" display="https://link.springer.com/journal/35146" xr:uid="{00000000-0004-0000-0200-000058060000}"/>
    <hyperlink ref="H1638" r:id="rId1626" display="https://link.springer.com/journal/38313" xr:uid="{00000000-0004-0000-0200-000059060000}"/>
    <hyperlink ref="H1639" r:id="rId1627" display="https://link.springer.com/journal/11044" xr:uid="{00000000-0004-0000-0200-00005A060000}"/>
    <hyperlink ref="H1640" r:id="rId1628" display="https://link.springer.com/journal/11045" xr:uid="{00000000-0004-0000-0200-00005B060000}"/>
    <hyperlink ref="H1641" r:id="rId1629" display="https://link.springer.com/journal/530" xr:uid="{00000000-0004-0000-0200-00005C060000}"/>
    <hyperlink ref="H1642" r:id="rId1630" display="https://link.springer.com/journal/11042" xr:uid="{00000000-0004-0000-0200-00005D060000}"/>
    <hyperlink ref="H1643" r:id="rId1631" display="https://link.springer.com/journal/41939" xr:uid="{00000000-0004-0000-0200-00005E060000}"/>
    <hyperlink ref="H1644" r:id="rId1632" display="https://link.springer.com/journal/42493" xr:uid="{00000000-0004-0000-0200-00005F060000}"/>
    <hyperlink ref="H1645" r:id="rId1633" display="https://link.springer.com/journal/12306" xr:uid="{00000000-0004-0000-0200-000060060000}"/>
    <hyperlink ref="H1646" r:id="rId1634" display="https://link.springer.com/journal/11557" xr:uid="{00000000-0004-0000-0200-000061060000}"/>
    <hyperlink ref="H1647" r:id="rId1635" display="https://link.springer.com/journal/11046" xr:uid="{00000000-0004-0000-0200-000062060000}"/>
    <hyperlink ref="H1648" r:id="rId1636" display="https://link.springer.com/journal/572" xr:uid="{00000000-0004-0000-0200-000063060000}"/>
    <hyperlink ref="H1649" r:id="rId1637" display="https://link.springer.com/journal/12550" xr:uid="{00000000-0004-0000-0200-000064060000}"/>
    <hyperlink ref="H1650" r:id="rId1638" display="https://link.springer.com/journal/12274" xr:uid="{00000000-0004-0000-0200-000065060000}"/>
    <hyperlink ref="H1651" r:id="rId1639" display="https://link.springer.com/journal/12201" xr:uid="{00000000-0004-0000-0200-000066060000}"/>
    <hyperlink ref="H1652" r:id="rId1640" display="https://link.springer.com/journal/41204" xr:uid="{00000000-0004-0000-0200-000067060000}"/>
    <hyperlink ref="H1653" r:id="rId1641" display="https://link.springer.com/journal/40009" xr:uid="{00000000-0004-0000-0200-000068060000}"/>
    <hyperlink ref="H1654" r:id="rId1642" display="https://link.springer.com/journal/10357" xr:uid="{00000000-0004-0000-0200-000069060000}"/>
    <hyperlink ref="H1655" r:id="rId1643" display="https://link.springer.com/journal/11047" xr:uid="{00000000-0004-0000-0200-00006A060000}"/>
    <hyperlink ref="H1656" r:id="rId1644" display="https://link.springer.com/journal/11069" xr:uid="{00000000-0004-0000-0200-00006B060000}"/>
    <hyperlink ref="H1657" r:id="rId1645" display="https://link.springer.com/journal/11049" xr:uid="{00000000-0004-0000-0200-00006C060000}"/>
    <hyperlink ref="H1658" r:id="rId1646" display="https://link.springer.com/journal/11050" xr:uid="{00000000-0004-0000-0200-00006D060000}"/>
    <hyperlink ref="H1659" r:id="rId1647" display="https://link.springer.com/journal/11053" xr:uid="{00000000-0004-0000-0200-00006E060000}"/>
    <hyperlink ref="H1660" r:id="rId1648" display="https://link.springer.com/journal/210" xr:uid="{00000000-0004-0000-0200-00006F060000}"/>
    <hyperlink ref="H1661" r:id="rId1649" display="https://link.springer.com/journal/11059" xr:uid="{00000000-0004-0000-0200-000070060000}"/>
    <hyperlink ref="H1662" r:id="rId1650" display="https://link.springer.com/journal/11061" xr:uid="{00000000-0004-0000-0200-000071060000}"/>
    <hyperlink ref="H1663" r:id="rId1651" display="https://link.springer.com/journal/13744" xr:uid="{00000000-0004-0000-0200-000072060000}"/>
    <hyperlink ref="H1664" r:id="rId1652" display="https://link.springer.com/journal/40802" xr:uid="{00000000-0004-0000-0200-000073060000}"/>
    <hyperlink ref="H1665" r:id="rId1653" display="https://link.springer.com/journal/13721" xr:uid="{00000000-0004-0000-0200-000074060000}"/>
    <hyperlink ref="H1666" r:id="rId1654" display="https://link.springer.com/journal/11067" xr:uid="{00000000-0004-0000-0200-000075060000}"/>
    <hyperlink ref="H1667" r:id="rId1655" display="https://link.springer.com/journal/42520" xr:uid="{00000000-0004-0000-0200-000076060000}"/>
    <hyperlink ref="H1668" r:id="rId1656" display="https://link.springer.com/journal/521" xr:uid="{00000000-0004-0000-0200-000077060000}"/>
    <hyperlink ref="H1669" r:id="rId1657" display="https://link.springer.com/journal/11063" xr:uid="{00000000-0004-0000-0200-000078060000}"/>
    <hyperlink ref="H1670" r:id="rId1658" display="https://link.springer.com/journal/11710" xr:uid="{00000000-0004-0000-0200-000079060000}"/>
    <hyperlink ref="H1671" r:id="rId1659" display="https://link.springer.com/journal/11064" xr:uid="{00000000-0004-0000-0200-00007A060000}"/>
    <hyperlink ref="H1672" r:id="rId1660" display="https://link.springer.com/journal/12028" xr:uid="{00000000-0004-0000-0200-00007B060000}"/>
    <hyperlink ref="H1673" r:id="rId1661" display="https://link.springer.com/journal/12152" xr:uid="{00000000-0004-0000-0200-00007C060000}"/>
    <hyperlink ref="H1674" r:id="rId1662" display="https://link.springer.com/journal/10048" xr:uid="{00000000-0004-0000-0200-00007D060000}"/>
    <hyperlink ref="H1675" r:id="rId1663" display="https://link.springer.com/journal/12021" xr:uid="{00000000-0004-0000-0200-00007E060000}"/>
    <hyperlink ref="H1676" r:id="rId1664" display="https://link.springer.com/journal/10072" xr:uid="{00000000-0004-0000-0200-00007F060000}"/>
    <hyperlink ref="H1677" r:id="rId1665" display="https://link.springer.com/journal/12017" xr:uid="{00000000-0004-0000-0200-000080060000}"/>
    <hyperlink ref="H1678" r:id="rId1666" display="https://link.springer.com/journal/11062" xr:uid="{00000000-0004-0000-0200-000081060000}"/>
    <hyperlink ref="H1679" r:id="rId1667" display="https://link.springer.com/journal/40211" xr:uid="{00000000-0004-0000-0200-000082060000}"/>
    <hyperlink ref="H1680" r:id="rId1668" display="https://link.springer.com/journal/11065" xr:uid="{00000000-0004-0000-0200-000083060000}"/>
    <hyperlink ref="H1681" r:id="rId1669" display="https://link.springer.com/journal/234" xr:uid="{00000000-0004-0000-0200-000084060000}"/>
    <hyperlink ref="H1682" r:id="rId1670" display="https://link.springer.com/journal/11055" xr:uid="{00000000-0004-0000-0200-000085060000}"/>
    <hyperlink ref="H1683" r:id="rId1671" display="https://link.springer.com/journal/12264" xr:uid="{00000000-0004-0000-0200-000086060000}"/>
    <hyperlink ref="H1684" r:id="rId1672" display="https://link.springer.com/journal/10143" xr:uid="{00000000-0004-0000-0200-000087060000}"/>
    <hyperlink ref="H1685" r:id="rId1673" display="https://link.springer.com/journal/13311" xr:uid="{00000000-0004-0000-0200-000088060000}"/>
    <hyperlink ref="H1686" r:id="rId1674" display="https://link.springer.com/journal/12640" xr:uid="{00000000-0004-0000-0200-000089060000}"/>
    <hyperlink ref="H1687" r:id="rId1675" display="https://link.springer.com/journal/11056" xr:uid="{00000000-0004-0000-0200-00008A060000}"/>
    <hyperlink ref="H1688" r:id="rId1676" display="https://link.springer.com/journal/354" xr:uid="{00000000-0004-0000-0200-00008B060000}"/>
    <hyperlink ref="H1689" r:id="rId1677" display="https://link.springer.com/journal/40841" xr:uid="{00000000-0004-0000-0200-00008C060000}"/>
    <hyperlink ref="H1690" r:id="rId1678" display="https://link.springer.com/journal/4" xr:uid="{00000000-0004-0000-0200-00008D060000}"/>
    <hyperlink ref="H1691" r:id="rId1679" display="https://link.springer.com/journal/30" xr:uid="{00000000-0004-0000-0200-00008E060000}"/>
    <hyperlink ref="H1692" r:id="rId1680" display="https://link.springer.com/journal/11071" xr:uid="{00000000-0004-0000-0200-00008F060000}"/>
    <hyperlink ref="H1693" r:id="rId1681" display="https://link.springer.com/journal/10049" xr:uid="{00000000-0004-0000-0200-000090060000}"/>
    <hyperlink ref="H1694" r:id="rId1682" display="https://link.springer.com/journal/13139" xr:uid="{00000000-0004-0000-0200-000091060000}"/>
    <hyperlink ref="H1695" r:id="rId1683" display="https://link.springer.com/journal/41365" xr:uid="{00000000-0004-0000-0200-000092060000}"/>
    <hyperlink ref="H1696" r:id="rId1684" display="https://link.springer.com/journal/11075" xr:uid="{00000000-0004-0000-0200-000093060000}"/>
    <hyperlink ref="H1697" r:id="rId1685" display="https://link.springer.com/journal/12258" xr:uid="{00000000-0004-0000-0200-000094060000}"/>
    <hyperlink ref="H1698" r:id="rId1686" display="https://link.springer.com/journal/211" xr:uid="{00000000-0004-0000-0200-000095060000}"/>
    <hyperlink ref="H1699" r:id="rId1687" display="https://link.springer.com/journal/10705" xr:uid="{00000000-0004-0000-0200-000096060000}"/>
    <hyperlink ref="H1700" r:id="rId1688" display="https://link.springer.com/journal/41110" xr:uid="{00000000-0004-0000-0200-000097060000}"/>
    <hyperlink ref="H1701" r:id="rId1689" display="https://link.springer.com/journal/11678" xr:uid="{00000000-0004-0000-0200-000098060000}"/>
    <hyperlink ref="H1702" r:id="rId1690" display="https://link.springer.com/journal/11695" xr:uid="{00000000-0004-0000-0200-000099060000}"/>
    <hyperlink ref="H1703" r:id="rId1691" display="https://link.springer.com/journal/41542" xr:uid="{00000000-0004-0000-0200-00009A060000}"/>
    <hyperlink ref="H1704" r:id="rId1692" display="https://link.springer.com/journal/10236" xr:uid="{00000000-0004-0000-0200-00009B060000}"/>
    <hyperlink ref="H1705" r:id="rId1693" display="https://link.springer.com/journal/12601" xr:uid="{00000000-0004-0000-0200-00009C060000}"/>
    <hyperlink ref="H1706" r:id="rId1694" display="https://link.springer.com/journal/11491" xr:uid="{00000000-0004-0000-0200-00009D060000}"/>
    <hyperlink ref="H1707" r:id="rId1695" display="https://link.springer.com/journal/10266" xr:uid="{00000000-0004-0000-0200-00009E060000}"/>
    <hyperlink ref="H1708" r:id="rId1696" display="https://link.springer.com/journal/442" xr:uid="{00000000-0004-0000-0200-00009F060000}"/>
    <hyperlink ref="H1709" r:id="rId1697" display="https://link.springer.com/journal/11079" xr:uid="{00000000-0004-0000-0200-0000A0060000}"/>
    <hyperlink ref="H1710" r:id="rId1698" display="https://link.springer.com/journal/12351" xr:uid="{00000000-0004-0000-0200-0000A1060000}"/>
    <hyperlink ref="H1711" r:id="rId1699" display="https://link.springer.com/journal/12063" xr:uid="{00000000-0004-0000-0200-0000A2060000}"/>
    <hyperlink ref="H1712" r:id="rId1700" display="https://link.springer.com/journal/43069" xr:uid="{00000000-0004-0000-0200-0000A3060000}"/>
    <hyperlink ref="H1713" r:id="rId1701" display="https://link.springer.com/journal/64" xr:uid="{00000000-0004-0000-0200-0000A4060000}"/>
    <hyperlink ref="H1714" r:id="rId1702" display="https://link.springer.com/journal/12597" xr:uid="{00000000-0004-0000-0200-0000A5060000}"/>
    <hyperlink ref="H1715" r:id="rId1703" display="https://link.springer.com/journal/11082" xr:uid="{00000000-0004-0000-0200-0000A6060000}"/>
    <hyperlink ref="H1716" r:id="rId1704" display="https://link.springer.com/journal/12005" xr:uid="{00000000-0004-0000-0200-0000A7060000}"/>
    <hyperlink ref="H1717" r:id="rId1705" display="https://link.springer.com/journal/10043" xr:uid="{00000000-0004-0000-0200-0000A8060000}"/>
    <hyperlink ref="H1718" r:id="rId1706" display="https://link.springer.com/journal/11449" xr:uid="{00000000-0004-0000-0200-0000A9060000}"/>
    <hyperlink ref="H1719" r:id="rId1707" display="https://link.springer.com/journal/11081" xr:uid="{00000000-0004-0000-0200-0000AA060000}"/>
    <hyperlink ref="H1720" r:id="rId1708" display="https://link.springer.com/journal/11590" xr:uid="{00000000-0004-0000-0200-0000AB060000}"/>
    <hyperlink ref="H1721" r:id="rId1709" display="https://link.springer.com/journal/11801" xr:uid="{00000000-0004-0000-0200-0000AC060000}"/>
    <hyperlink ref="H1722" r:id="rId1710" display="https://link.springer.com/journal/11974" xr:uid="{00000000-0004-0000-0200-0000AD060000}"/>
    <hyperlink ref="H1723" r:id="rId1711" display="https://link.springer.com/journal/291" xr:uid="{00000000-0004-0000-0200-0000AE060000}"/>
    <hyperlink ref="H1724" r:id="rId1712" display="https://link.springer.com/journal/10006" xr:uid="{00000000-0004-0000-0200-0000AF060000}"/>
    <hyperlink ref="H1725" r:id="rId1713" display="https://link.springer.com/journal/11282" xr:uid="{00000000-0004-0000-0200-0000B0060000}"/>
    <hyperlink ref="H1726" r:id="rId1714" display="https://link.springer.com/journal/11083" xr:uid="{00000000-0004-0000-0200-0000B1060000}"/>
    <hyperlink ref="H1727" r:id="rId1715" display="https://link.springer.com/journal/13165" xr:uid="{00000000-0004-0000-0200-0000B2060000}"/>
    <hyperlink ref="H1728" r:id="rId1716" display="https://link.springer.com/journal/11613" xr:uid="{00000000-0004-0000-0200-0000B3060000}"/>
    <hyperlink ref="H1729" r:id="rId1717" display="https://link.springer.com/journal/13127" xr:uid="{00000000-0004-0000-0200-0000B4060000}"/>
    <hyperlink ref="H1730" r:id="rId1718" display="https://link.springer.com/journal/11084" xr:uid="{00000000-0004-0000-0200-0000B5060000}"/>
    <hyperlink ref="H1731" r:id="rId1719" display="https://link.springer.com/journal/43388" xr:uid="{00000000-0004-0000-0200-0000B6060000}"/>
    <hyperlink ref="H1732" r:id="rId1720" display="https://link.springer.com/journal/15002" xr:uid="{00000000-0004-0000-0200-0000B7060000}"/>
    <hyperlink ref="H1733" r:id="rId1721" display="https://link.springer.com/journal/198" xr:uid="{00000000-0004-0000-0200-0000B8060000}"/>
    <hyperlink ref="H1734" r:id="rId1722" display="https://link.springer.com/journal/506" xr:uid="{00000000-0004-0000-0200-0000B9060000}"/>
    <hyperlink ref="H1735" r:id="rId1723" display="https://link.springer.com/journal/11614" xr:uid="{00000000-0004-0000-0200-0000BA060000}"/>
    <hyperlink ref="H1736" r:id="rId1724" display="https://link.springer.com/journal/11085" xr:uid="{00000000-0004-0000-0200-0000BB060000}"/>
    <hyperlink ref="H1737" r:id="rId1725" display="https://link.springer.com/journal/10333" xr:uid="{00000000-0004-0000-0200-0000BC060000}"/>
    <hyperlink ref="H1738" r:id="rId1726" display="https://link.springer.com/journal/15014" xr:uid="{00000000-0004-0000-0200-0000BD060000}"/>
    <hyperlink ref="H1739" r:id="rId1727" display="https://link.springer.com/journal/608" xr:uid="{00000000-0004-0000-0200-0000BE060000}"/>
    <hyperlink ref="H1740" r:id="rId1728" display="https://link.springer.com/journal/12607" xr:uid="{00000000-0004-0000-0200-0000BF060000}"/>
    <hyperlink ref="H1741" r:id="rId1729" display="https://link.springer.com/journal/12549" xr:uid="{00000000-0004-0000-0200-0000C0060000}"/>
    <hyperlink ref="H1742" r:id="rId1730" display="https://link.springer.com/journal/11492" xr:uid="{00000000-0004-0000-0200-0000C1060000}"/>
    <hyperlink ref="H1743" r:id="rId1731" display="https://link.springer.com/journal/12542" xr:uid="{00000000-0004-0000-0200-0000C2060000}"/>
    <hyperlink ref="H1744" r:id="rId1732" display="https://link.springer.com/journal/436" xr:uid="{00000000-0004-0000-0200-0000C3060000}"/>
    <hyperlink ref="H1745" r:id="rId1733" display="https://link.springer.com/journal/42985" xr:uid="{00000000-0004-0000-0200-0000C4060000}"/>
    <hyperlink ref="H1746" r:id="rId1734" display="https://link.springer.com/journal/11089" xr:uid="{00000000-0004-0000-0200-0000C5060000}"/>
    <hyperlink ref="H1747" r:id="rId1735" display="https://link.springer.com/journal/10044" xr:uid="{00000000-0004-0000-0200-0000C6060000}"/>
    <hyperlink ref="H1748" r:id="rId1736" display="https://link.springer.com/journal/11493" xr:uid="{00000000-0004-0000-0200-0000C7060000}"/>
    <hyperlink ref="H1749" r:id="rId1737" display="https://link.springer.com/journal/246" xr:uid="{00000000-0004-0000-0200-0000C8060000}"/>
    <hyperlink ref="H1750" r:id="rId1738" display="https://link.springer.com/journal/467" xr:uid="{00000000-0004-0000-0200-0000C9060000}"/>
    <hyperlink ref="H1751" r:id="rId1739" display="https://link.springer.com/journal/247" xr:uid="{00000000-0004-0000-0200-0000CA060000}"/>
    <hyperlink ref="H1752" r:id="rId1740" display="https://link.springer.com/journal/383" xr:uid="{00000000-0004-0000-0200-0000CB060000}"/>
    <hyperlink ref="H1753" r:id="rId1741" display="https://link.springer.com/journal/12083" xr:uid="{00000000-0004-0000-0200-0000CC060000}"/>
    <hyperlink ref="H1754" r:id="rId1742" display="https://link.springer.com/journal/42543" xr:uid="{00000000-0004-0000-0200-0000CD060000}"/>
    <hyperlink ref="H1755" r:id="rId1743" display="https://link.springer.com/journal/10998" xr:uid="{00000000-0004-0000-0200-0000CE060000}"/>
    <hyperlink ref="H1756" r:id="rId1744" display="https://link.springer.com/journal/779" xr:uid="{00000000-0004-0000-0200-0000CF060000}"/>
    <hyperlink ref="H1757" r:id="rId1745" display="https://link.springer.com/journal/40614" xr:uid="{00000000-0004-0000-0200-0000D0060000}"/>
    <hyperlink ref="H1758" r:id="rId1746" display="https://link.springer.com/journal/11494" xr:uid="{00000000-0004-0000-0200-0000D1060000}"/>
    <hyperlink ref="H1759" r:id="rId1747" display="https://link.springer.com/journal/11495" xr:uid="{00000000-0004-0000-0200-0000D2060000}"/>
    <hyperlink ref="H1760" r:id="rId1748" display="https://link.springer.com/journal/41064" xr:uid="{00000000-0004-0000-0200-0000D3060000}"/>
    <hyperlink ref="H1761" r:id="rId1749" display="https://link.springer.com/journal/41906" xr:uid="{00000000-0004-0000-0200-0000D4060000}"/>
    <hyperlink ref="H1762" r:id="rId1750" display="https://link.springer.com/journal/424" xr:uid="{00000000-0004-0000-0200-0000D5060000}"/>
    <hyperlink ref="H1763" r:id="rId1751" display="https://link.springer.com/journal/11094" xr:uid="{00000000-0004-0000-0200-0000D6060000}"/>
    <hyperlink ref="H1764" r:id="rId1752" display="https://link.springer.com/journal/11095" xr:uid="{00000000-0004-0000-0200-0000D7060000}"/>
    <hyperlink ref="H1765" r:id="rId1753" display="https://link.springer.com/journal/43440" xr:uid="{00000000-0004-0000-0200-0000D8060000}"/>
    <hyperlink ref="H1766" r:id="rId1754" display="https://link.springer.com/journal/11097" xr:uid="{00000000-0004-0000-0200-0000D9060000}"/>
    <hyperlink ref="H1767" r:id="rId1755" display="https://link.springer.com/journal/43657" xr:uid="{00000000-0004-0000-0200-0000DA060000}"/>
    <hyperlink ref="H1768" r:id="rId1756" display="https://link.springer.com/journal/11406" xr:uid="{00000000-0004-0000-0200-0000DB060000}"/>
    <hyperlink ref="H1769" r:id="rId1757" display="https://link.springer.com/journal/11098" xr:uid="{00000000-0004-0000-0200-0000DC060000}"/>
    <hyperlink ref="H1770" r:id="rId1758" display="https://link.springer.com/journal/13347" xr:uid="{00000000-0004-0000-0200-0000DD060000}"/>
    <hyperlink ref="H1771" r:id="rId1759" display="https://link.springer.com/journal/40926" xr:uid="{00000000-0004-0000-0200-0000DE060000}"/>
    <hyperlink ref="H1772" r:id="rId1760" display="https://link.springer.com/journal/11107" xr:uid="{00000000-0004-0000-0200-0000DF060000}"/>
    <hyperlink ref="H1773" r:id="rId1761" display="https://link.springer.com/journal/11120" xr:uid="{00000000-0004-0000-0200-0000E0060000}"/>
    <hyperlink ref="H1774" r:id="rId1762" display="https://link.springer.com/journal/13246" xr:uid="{00000000-0004-0000-0200-0000E1060000}"/>
    <hyperlink ref="H1775" r:id="rId1763" display="https://link.springer.com/journal/40334" xr:uid="{00000000-0004-0000-0200-0000E2060000}"/>
    <hyperlink ref="H1776" r:id="rId1764" display="https://link.springer.com/journal/269" xr:uid="{00000000-0004-0000-0200-0000E3060000}"/>
    <hyperlink ref="H1777" r:id="rId1765" display="https://link.springer.com/journal/16" xr:uid="{00000000-0004-0000-0200-0000E4060000}"/>
    <hyperlink ref="H1778" r:id="rId1766" display="https://link.springer.com/journal/11450" xr:uid="{00000000-0004-0000-0200-0000E5060000}"/>
    <hyperlink ref="H1779" r:id="rId1767" display="https://link.springer.com/journal/11508" xr:uid="{00000000-0004-0000-0200-0000E6060000}"/>
    <hyperlink ref="H1780" r:id="rId1768" display="https://link.springer.com/journal/11567" xr:uid="{00000000-0004-0000-0200-0000E7060000}"/>
    <hyperlink ref="H1781" r:id="rId1769" display="https://link.springer.com/journal/11451" xr:uid="{00000000-0004-0000-0200-0000E8060000}"/>
    <hyperlink ref="H1782" r:id="rId1770" display="https://link.springer.com/journal/11975" xr:uid="{00000000-0004-0000-0200-0000E9060000}"/>
    <hyperlink ref="H1783" r:id="rId1771" display="https://link.springer.com/journal/12298" xr:uid="{00000000-0004-0000-0200-0000EA060000}"/>
    <hyperlink ref="H1784" r:id="rId1772" display="https://link.springer.com/journal/11101" xr:uid="{00000000-0004-0000-0200-0000EB060000}"/>
    <hyperlink ref="H1785" r:id="rId1773" display="https://link.springer.com/journal/12600" xr:uid="{00000000-0004-0000-0200-0000EC060000}"/>
    <hyperlink ref="H1786" r:id="rId1774" display="https://link.springer.com/journal/11102" xr:uid="{00000000-0004-0000-0200-0000ED060000}"/>
    <hyperlink ref="H1787" r:id="rId1775" display="https://link.springer.com/journal/11104" xr:uid="{00000000-0004-0000-0200-0000EE060000}"/>
    <hyperlink ref="H1788" r:id="rId1776" display="https://link.springer.com/journal/11816" xr:uid="{00000000-0004-0000-0200-0000EF060000}"/>
    <hyperlink ref="H1789" r:id="rId1777" display="https://link.springer.com/journal/299" xr:uid="{00000000-0004-0000-0200-0000F0060000}"/>
    <hyperlink ref="H1790" r:id="rId1778" display="https://link.springer.com/journal/11240" xr:uid="{00000000-0004-0000-0200-0000F1060000}"/>
    <hyperlink ref="H1791" r:id="rId1779" display="https://link.springer.com/journal/11258" xr:uid="{00000000-0004-0000-0200-0000F2060000}"/>
    <hyperlink ref="H1792" r:id="rId1780" display="https://link.springer.com/journal/11130" xr:uid="{00000000-0004-0000-0200-0000F3060000}"/>
    <hyperlink ref="H1793" r:id="rId1781" display="https://link.springer.com/journal/10725" xr:uid="{00000000-0004-0000-0200-0000F4060000}"/>
    <hyperlink ref="H1794" r:id="rId1782" display="https://link.springer.com/journal/11103" xr:uid="{00000000-0004-0000-0200-0000F5060000}"/>
    <hyperlink ref="H1795" r:id="rId1783" display="https://link.springer.com/journal/11105" xr:uid="{00000000-0004-0000-0200-0000F6060000}"/>
    <hyperlink ref="H1796" r:id="rId1784" display="https://link.springer.com/journal/40502" xr:uid="{00000000-0004-0000-0200-0000F7060000}"/>
    <hyperlink ref="H1797" r:id="rId1785" display="https://link.springer.com/journal/497" xr:uid="{00000000-0004-0000-0200-0000F8060000}"/>
    <hyperlink ref="H1798" r:id="rId1786" display="https://link.springer.com/journal/606" xr:uid="{00000000-0004-0000-0200-0000F9060000}"/>
    <hyperlink ref="H1799" r:id="rId1787" display="https://link.springer.com/journal/425" xr:uid="{00000000-0004-0000-0200-0000FA060000}"/>
    <hyperlink ref="H1800" r:id="rId1788" display="https://link.springer.com/journal/11090" xr:uid="{00000000-0004-0000-0200-0000FB060000}"/>
    <hyperlink ref="H1801" r:id="rId1789" display="https://link.springer.com/journal/11452" xr:uid="{00000000-0004-0000-0200-0000FC060000}"/>
    <hyperlink ref="H1802" r:id="rId1790" display="https://link.springer.com/journal/11468" xr:uid="{00000000-0004-0000-0200-0000FD060000}"/>
    <hyperlink ref="H1803" r:id="rId1791" display="https://link.springer.com/journal/15033" xr:uid="{00000000-0004-0000-0200-0000FE060000}"/>
    <hyperlink ref="H1804" r:id="rId1792" display="https://link.springer.com/journal/300" xr:uid="{00000000-0004-0000-0200-0000FF060000}"/>
    <hyperlink ref="H1805" r:id="rId1793" display="https://link.springer.com/journal/11077" xr:uid="{00000000-0004-0000-0200-000000070000}"/>
    <hyperlink ref="H1806" r:id="rId1794" display="https://link.springer.com/journal/11109" xr:uid="{00000000-0004-0000-0200-000001070000}"/>
    <hyperlink ref="H1807" r:id="rId1795" display="https://link.springer.com/journal/11615" xr:uid="{00000000-0004-0000-0200-000002070000}"/>
    <hyperlink ref="H1808" r:id="rId1796" display="https://link.springer.com/journal/289" xr:uid="{00000000-0004-0000-0200-000003070000}"/>
    <hyperlink ref="H1809" r:id="rId1797" display="https://link.springer.com/journal/11529" xr:uid="{00000000-0004-0000-0200-000004070000}"/>
    <hyperlink ref="H1810" r:id="rId1798" display="https://link.springer.com/journal/41050" xr:uid="{00000000-0004-0000-0200-000005070000}"/>
    <hyperlink ref="H1811" r:id="rId1799" display="https://link.springer.com/journal/11111" xr:uid="{00000000-0004-0000-0200-000006070000}"/>
    <hyperlink ref="H1812" r:id="rId1800" display="https://link.springer.com/journal/11113" xr:uid="{00000000-0004-0000-0200-000007070000}"/>
    <hyperlink ref="H1813" r:id="rId1801" display="https://link.springer.com/journal/10258" xr:uid="{00000000-0004-0000-0200-000008070000}"/>
    <hyperlink ref="H1814" r:id="rId1802" display="https://link.springer.com/journal/11117" xr:uid="{00000000-0004-0000-0200-000009070000}"/>
    <hyperlink ref="H1815" r:id="rId1803" display="https://link.springer.com/journal/42438" xr:uid="{00000000-0004-0000-0200-00000A070000}"/>
    <hyperlink ref="H1816" r:id="rId1804" display="https://link.springer.com/journal/11540" xr:uid="{00000000-0004-0000-0200-00000B070000}"/>
    <hyperlink ref="H1817" r:id="rId1805" display="https://link.springer.com/journal/11118" xr:uid="{00000000-0004-0000-0200-00000C070000}"/>
    <hyperlink ref="H1818" r:id="rId1806" display="https://link.springer.com/journal/11106" xr:uid="{00000000-0004-0000-0200-00000D070000}"/>
    <hyperlink ref="H1819" r:id="rId1807" display="https://link.springer.com/journal/10749" xr:uid="{00000000-0004-0000-0200-00000E070000}"/>
    <hyperlink ref="H1820" r:id="rId1808" display="https://link.springer.com/journal/12043" xr:uid="{00000000-0004-0000-0200-00000F070000}"/>
    <hyperlink ref="H1821" r:id="rId1809" display="https://link.springer.com/journal/11553" xr:uid="{00000000-0004-0000-0200-000010070000}"/>
    <hyperlink ref="H1822" r:id="rId1810" display="https://link.springer.com/journal/11119" xr:uid="{00000000-0004-0000-0200-000011070000}"/>
    <hyperlink ref="H1823" r:id="rId1811" display="https://link.springer.com/journal/11121" xr:uid="{00000000-0004-0000-0200-000012070000}"/>
    <hyperlink ref="H1824" r:id="rId1812" display="https://link.springer.com/journal/10329" xr:uid="{00000000-0004-0000-0200-000013070000}"/>
    <hyperlink ref="H1825" r:id="rId1813" display="https://link.springer.com/journal/440" xr:uid="{00000000-0004-0000-0200-000014070000}"/>
    <hyperlink ref="H1826" r:id="rId1814" display="https://link.springer.com/journal/12602" xr:uid="{00000000-0004-0000-0200-000015070000}"/>
    <hyperlink ref="H1827" r:id="rId1815" display="https://link.springer.com/journal/11122" xr:uid="{00000000-0004-0000-0200-000016070000}"/>
    <hyperlink ref="H1828" r:id="rId1816" display="https://link.springer.com/journal/735" xr:uid="{00000000-0004-0000-0200-000017070000}"/>
    <hyperlink ref="H1829" r:id="rId1817" display="https://link.springer.com/journal/12044" xr:uid="{00000000-0004-0000-0200-000018070000}"/>
    <hyperlink ref="H1830" r:id="rId1818" display="https://link.springer.com/journal/40010" xr:uid="{00000000-0004-0000-0200-000019070000}"/>
    <hyperlink ref="H1831" r:id="rId1819" display="https://link.springer.com/journal/40011" xr:uid="{00000000-0004-0000-0200-00001A070000}"/>
    <hyperlink ref="H1832" r:id="rId1820" display="https://link.springer.com/journal/11501" xr:uid="{00000000-0004-0000-0200-00001B070000}"/>
    <hyperlink ref="H1833" r:id="rId1821" display="https://link.springer.com/journal/12595" xr:uid="{00000000-0004-0000-0200-00001C070000}"/>
    <hyperlink ref="H1834" r:id="rId1822" display="https://link.springer.com/journal/41660" xr:uid="{00000000-0004-0000-0200-00001D070000}"/>
    <hyperlink ref="H1835" r:id="rId1823" display="https://link.springer.com/journal/11740" xr:uid="{00000000-0004-0000-0200-00001E070000}"/>
    <hyperlink ref="H1836" r:id="rId1824" display="https://link.springer.com/journal/11086" xr:uid="{00000000-0004-0000-0200-00001F070000}"/>
    <hyperlink ref="H1837" r:id="rId1825" display="https://link.springer.com/journal/40964" xr:uid="{00000000-0004-0000-0200-000020070000}"/>
    <hyperlink ref="H1838" r:id="rId1826" display="https://link.springer.com/journal/13748" xr:uid="{00000000-0004-0000-0200-000021070000}"/>
    <hyperlink ref="H1839" r:id="rId1827" display="https://link.springer.com/journal/40204" xr:uid="{00000000-0004-0000-0200-000022070000}"/>
    <hyperlink ref="H1840" r:id="rId1828" display="https://link.springer.com/journal/11125" xr:uid="{00000000-0004-0000-0200-000023070000}"/>
    <hyperlink ref="H1841" r:id="rId1829" display="https://link.springer.com/journal/11124" xr:uid="{00000000-0004-0000-0200-000024070000}"/>
    <hyperlink ref="H1842" r:id="rId1830" display="https://link.springer.com/journal/709" xr:uid="{00000000-0004-0000-0200-000025070000}"/>
    <hyperlink ref="H1843" r:id="rId1831" display="https://link.springer.com/journal/11126" xr:uid="{00000000-0004-0000-0200-000026070000}"/>
    <hyperlink ref="H1844" r:id="rId1832" display="https://link.springer.com/journal/12207" xr:uid="{00000000-0004-0000-0200-000027070000}"/>
    <hyperlink ref="H1845" r:id="rId1833" display="https://link.springer.com/journal/426" xr:uid="{00000000-0004-0000-0200-000028070000}"/>
    <hyperlink ref="H1846" r:id="rId1834" display="https://link.springer.com/journal/12646" xr:uid="{00000000-0004-0000-0200-000029070000}"/>
    <hyperlink ref="H1847" r:id="rId1835" display="https://link.springer.com/journal/11336" xr:uid="{00000000-0004-0000-0200-00002A070000}"/>
    <hyperlink ref="H1848" r:id="rId1836" display="https://link.springer.com/journal/13423" xr:uid="{00000000-0004-0000-0200-00002B070000}"/>
    <hyperlink ref="H1849" r:id="rId1837" display="https://link.springer.com/journal/213" xr:uid="{00000000-0004-0000-0200-00002C070000}"/>
    <hyperlink ref="H1850" r:id="rId1838" display="https://link.springer.com/journal/739" xr:uid="{00000000-0004-0000-0200-00002D070000}"/>
    <hyperlink ref="H1851" r:id="rId1839" display="https://link.springer.com/journal/278" xr:uid="{00000000-0004-0000-0200-00002E070000}"/>
    <hyperlink ref="H1852" r:id="rId1840" display="https://link.springer.com/journal/729" xr:uid="{00000000-0004-0000-0200-00002F070000}"/>
    <hyperlink ref="H1853" r:id="rId1841" display="https://link.springer.com/journal/11127" xr:uid="{00000000-0004-0000-0200-000030070000}"/>
    <hyperlink ref="H1854" r:id="rId1842" display="https://link.springer.com/journal/11115" xr:uid="{00000000-0004-0000-0200-000031070000}"/>
    <hyperlink ref="H1855" r:id="rId1843" display="https://link.springer.com/journal/12469" xr:uid="{00000000-0004-0000-0200-000032070000}"/>
    <hyperlink ref="H1856" r:id="rId1844" display="https://link.springer.com/journal/12109" xr:uid="{00000000-0004-0000-0200-000033070000}"/>
    <hyperlink ref="H1857" r:id="rId1845" display="https://link.springer.com/journal/11616" xr:uid="{00000000-0004-0000-0200-000034070000}"/>
    <hyperlink ref="H1858" r:id="rId1846" display="https://link.springer.com/journal/24" xr:uid="{00000000-0004-0000-0200-000035070000}"/>
    <hyperlink ref="H1859" r:id="rId1847" display="https://link.springer.com/journal/11302" xr:uid="{00000000-0004-0000-0200-000036070000}"/>
    <hyperlink ref="H1860" r:id="rId1848" display="https://link.springer.com/journal/11133" xr:uid="{00000000-0004-0000-0200-000037070000}"/>
    <hyperlink ref="H1861" r:id="rId1849" display="https://link.springer.com/journal/12346" xr:uid="{00000000-0004-0000-0200-000038070000}"/>
    <hyperlink ref="H1862" r:id="rId1850" display="https://link.springer.com/journal/11135" xr:uid="{00000000-0004-0000-0200-000039070000}"/>
    <hyperlink ref="H1863" r:id="rId1851" display="https://link.springer.com/journal/41233" xr:uid="{00000000-0004-0000-0200-00003A070000}"/>
    <hyperlink ref="H1864" r:id="rId1852" display="https://link.springer.com/journal/11136" xr:uid="{00000000-0004-0000-0200-00003B070000}"/>
    <hyperlink ref="H1865" r:id="rId1853" display="https://link.springer.com/journal/11129" xr:uid="{00000000-0004-0000-0200-00003C070000}"/>
    <hyperlink ref="H1866" r:id="rId1854" display="https://link.springer.com/journal/11128" xr:uid="{00000000-0004-0000-0200-00003D070000}"/>
    <hyperlink ref="H1867" r:id="rId1855" display="https://link.springer.com/journal/42484" xr:uid="{00000000-0004-0000-0200-00003E070000}"/>
    <hyperlink ref="H1868" r:id="rId1856" display="https://link.springer.com/journal/40509" xr:uid="{00000000-0004-0000-0200-00003F070000}"/>
    <hyperlink ref="H1869" r:id="rId1857" display="https://link.springer.com/journal/11134" xr:uid="{00000000-0004-0000-0200-000040070000}"/>
    <hyperlink ref="H1870" r:id="rId1858" display="https://link.springer.com/journal/12552" xr:uid="{00000000-0004-0000-0200-000041070000}"/>
    <hyperlink ref="H1871" r:id="rId1859" display="https://link.springer.com/journal/411" xr:uid="{00000000-0004-0000-0200-000042070000}"/>
    <hyperlink ref="H1872" r:id="rId1860" display="https://link.springer.com/journal/41605" xr:uid="{00000000-0004-0000-0200-000043070000}"/>
    <hyperlink ref="H1873" r:id="rId1861" display="https://link.springer.com/journal/11137" xr:uid="{00000000-0004-0000-0200-000044070000}"/>
    <hyperlink ref="H1874" r:id="rId1862" display="https://link.springer.com/journal/11976" xr:uid="{00000000-0004-0000-0200-000045070000}"/>
    <hyperlink ref="H1875" r:id="rId1863" display="https://link.springer.com/journal/12194" xr:uid="{00000000-0004-0000-0200-000046070000}"/>
    <hyperlink ref="H1876" r:id="rId1864" display="https://link.springer.com/journal/11141" xr:uid="{00000000-0004-0000-0200-000047070000}"/>
    <hyperlink ref="H1877" r:id="rId1865" display="https://link.springer.com/journal/12598" xr:uid="{00000000-0004-0000-0200-000048070000}"/>
    <hyperlink ref="H1878" r:id="rId1866" display="https://link.springer.com/journal/11144" xr:uid="{00000000-0004-0000-0200-000049070000}"/>
    <hyperlink ref="H1879" r:id="rId1867" display="https://link.springer.com/journal/11145" xr:uid="{00000000-0004-0000-0200-00004A070000}"/>
    <hyperlink ref="H1880" r:id="rId1868" display="https://link.springer.com/journal/11241" xr:uid="{00000000-0004-0000-0200-00004B070000}"/>
    <hyperlink ref="H1881" r:id="rId1869" display="https://link.springer.com/journal/194" xr:uid="{00000000-0004-0000-0200-00004C070000}"/>
    <hyperlink ref="H1882" r:id="rId1870" display="https://link.springer.com/journal/11148" xr:uid="{00000000-0004-0000-0200-00004D070000}"/>
    <hyperlink ref="H1883" r:id="rId1871" display="https://link.springer.com/journal/40883" xr:uid="{00000000-0004-0000-0200-00004E070000}"/>
    <hyperlink ref="H1884" r:id="rId1872" display="https://link.springer.com/journal/10113" xr:uid="{00000000-0004-0000-0200-00004F070000}"/>
    <hyperlink ref="H1885" r:id="rId1873" display="https://link.springer.com/journal/13393" xr:uid="{00000000-0004-0000-0200-000050070000}"/>
    <hyperlink ref="H1886" r:id="rId1874" display="https://link.springer.com/journal/11819" xr:uid="{00000000-0004-0000-0200-000051070000}"/>
    <hyperlink ref="H1887" r:id="rId1875" display="https://link.springer.com/journal/41976" xr:uid="{00000000-0004-0000-0200-000052070000}"/>
    <hyperlink ref="H1888" r:id="rId1876" display="https://link.springer.com/journal/12215" xr:uid="{00000000-0004-0000-0200-000053070000}"/>
    <hyperlink ref="H1889" r:id="rId1877" display="https://link.springer.com/journal/12210" xr:uid="{00000000-0004-0000-0200-000054070000}"/>
    <hyperlink ref="H1890" r:id="rId1878" display="https://link.springer.com/journal/43032" xr:uid="{00000000-0004-0000-0200-000055070000}"/>
    <hyperlink ref="H1891" r:id="rId1879" display="https://link.springer.com/journal/766" xr:uid="{00000000-0004-0000-0200-000056070000}"/>
    <hyperlink ref="H1892" r:id="rId1880" display="https://link.springer.com/journal/11158" xr:uid="{00000000-0004-0000-0200-000057070000}"/>
    <hyperlink ref="H1893" r:id="rId1881" display="https://link.springer.com/journal/163" xr:uid="{00000000-0004-0000-0200-000058070000}"/>
    <hyperlink ref="H1894" r:id="rId1882" display="https://link.springer.com/journal/11162" xr:uid="{00000000-0004-0000-0200-000059070000}"/>
    <hyperlink ref="H1895" r:id="rId1883" display="https://link.springer.com/journal/40993" xr:uid="{00000000-0004-0000-0200-00005A070000}"/>
    <hyperlink ref="H1896" r:id="rId1884" display="https://link.springer.com/journal/11165" xr:uid="{00000000-0004-0000-0200-00005B070000}"/>
    <hyperlink ref="H1897" r:id="rId1885" display="https://link.springer.com/journal/40687" xr:uid="{00000000-0004-0000-0200-00005C070000}"/>
    <hyperlink ref="H1898" r:id="rId1886" display="https://link.springer.com/journal/42600" xr:uid="{00000000-0004-0000-0200-00005D070000}"/>
    <hyperlink ref="H1899" r:id="rId1887" display="https://link.springer.com/journal/11164" xr:uid="{00000000-0004-0000-0200-00005E070000}"/>
    <hyperlink ref="H1900" r:id="rId1888" display="https://link.springer.com/journal/10802" xr:uid="{00000000-0004-0000-0200-00005F070000}"/>
    <hyperlink ref="H1901" r:id="rId1889" display="https://link.springer.com/journal/12045" xr:uid="{00000000-0004-0000-0200-000060070000}"/>
    <hyperlink ref="H1902" r:id="rId1890" display="https://link.springer.com/journal/25" xr:uid="{00000000-0004-0000-0200-000061070000}"/>
    <hyperlink ref="H1903" r:id="rId1891" display="https://link.springer.com/journal/40489" xr:uid="{00000000-0004-0000-0200-000062070000}"/>
    <hyperlink ref="H1904" r:id="rId1892" display="https://link.springer.com/journal/11142" xr:uid="{00000000-0004-0000-0200-000063070000}"/>
    <hyperlink ref="H1905" r:id="rId1893" display="https://link.springer.com/journal/41130" xr:uid="{00000000-0004-0000-0200-000064070000}"/>
    <hyperlink ref="H1906" r:id="rId1894" display="https://link.springer.com/journal/11147" xr:uid="{00000000-0004-0000-0200-000065070000}"/>
    <hyperlink ref="H1907" r:id="rId1895" display="https://link.springer.com/journal/10058" xr:uid="{00000000-0004-0000-0200-000066070000}"/>
    <hyperlink ref="H1908" r:id="rId1896" display="https://link.springer.com/journal/11150" xr:uid="{00000000-0004-0000-0200-000067070000}"/>
    <hyperlink ref="H1909" r:id="rId1897" display="https://link.springer.com/journal/43253" xr:uid="{00000000-0004-0000-0200-000068070000}"/>
    <hyperlink ref="H1910" r:id="rId1898" display="https://link.springer.com/journal/11151" xr:uid="{00000000-0004-0000-0200-000069070000}"/>
    <hyperlink ref="H1911" r:id="rId1899" display="https://link.springer.com/journal/11846" xr:uid="{00000000-0004-0000-0200-00006A070000}"/>
    <hyperlink ref="H1912" r:id="rId1900" display="https://link.springer.com/journal/13164" xr:uid="{00000000-0004-0000-0200-00006B070000}"/>
    <hyperlink ref="H1913" r:id="rId1901" display="https://link.springer.com/journal/11156" xr:uid="{00000000-0004-0000-0200-00006C070000}"/>
    <hyperlink ref="H1914" r:id="rId1902" display="https://link.springer.com/journal/10037" xr:uid="{00000000-0004-0000-0200-00006D070000}"/>
    <hyperlink ref="H1915" r:id="rId1903" display="https://link.springer.com/journal/13644" xr:uid="{00000000-0004-0000-0200-00006E070000}"/>
    <hyperlink ref="H1916" r:id="rId1904" display="https://link.springer.com/journal/10290" xr:uid="{00000000-0004-0000-0200-00006F070000}"/>
    <hyperlink ref="H1917" r:id="rId1905" display="https://link.springer.com/journal/13392" xr:uid="{00000000-0004-0000-0200-000070070000}"/>
    <hyperlink ref="H1918" r:id="rId1906" display="https://link.springer.com/journal/11154" xr:uid="{00000000-0004-0000-0200-000071070000}"/>
    <hyperlink ref="H1919" r:id="rId1907" display="https://link.springer.com/journal/11157" xr:uid="{00000000-0004-0000-0200-000072070000}"/>
    <hyperlink ref="H1920" r:id="rId1908" display="https://link.springer.com/journal/11160" xr:uid="{00000000-0004-0000-0200-000073070000}"/>
    <hyperlink ref="H1921" r:id="rId1909" display="https://link.springer.com/journal/44169" xr:uid="{00000000-0004-0000-0200-000074070000}"/>
    <hyperlink ref="H1922" r:id="rId1910" display="https://link.springer.com/journal/41614" xr:uid="{00000000-0004-0000-0200-000075070000}"/>
    <hyperlink ref="H1923" r:id="rId1911" display="https://link.springer.com/journal/43450" xr:uid="{00000000-0004-0000-0200-000076070000}"/>
    <hyperlink ref="H1924" r:id="rId1912" display="https://link.springer.com/journal/13398" xr:uid="{00000000-0004-0000-0200-000077070000}"/>
    <hyperlink ref="H1925" r:id="rId1913" display="https://link.springer.com/journal/13163" xr:uid="{00000000-0004-0000-0200-000078070000}"/>
    <hyperlink ref="H1926" r:id="rId1914" display="https://link.springer.com/journal/397" xr:uid="{00000000-0004-0000-0200-000079070000}"/>
    <hyperlink ref="H1927" r:id="rId1915" display="https://link.springer.com/journal/12688" xr:uid="{00000000-0004-0000-0200-00007A070000}"/>
    <hyperlink ref="H1928" r:id="rId1916" display="https://link.springer.com/journal/296" xr:uid="{00000000-0004-0000-0200-00007B070000}"/>
    <hyperlink ref="H1929" r:id="rId1917" display="https://link.springer.com/journal/11587" xr:uid="{00000000-0004-0000-0200-00007C070000}"/>
    <hyperlink ref="H1930" r:id="rId1918" display="https://link.springer.com/journal/603" xr:uid="{00000000-0004-0000-0200-00007D070000}"/>
    <hyperlink ref="H1931" r:id="rId1919" display="https://link.springer.com/journal/11977" xr:uid="{00000000-0004-0000-0200-00007E070000}"/>
    <hyperlink ref="H1932" r:id="rId1920" display="https://link.springer.com/journal/11978" xr:uid="{00000000-0004-0000-0200-00007F070000}"/>
    <hyperlink ref="H1933" r:id="rId1921" display="https://link.springer.com/journal/11172" xr:uid="{00000000-0004-0000-0200-000080070000}"/>
    <hyperlink ref="H1934" r:id="rId1922" display="https://link.springer.com/journal/11979" xr:uid="{00000000-0004-0000-0200-000081070000}"/>
    <hyperlink ref="H1935" r:id="rId1923" display="https://link.springer.com/journal/11980" xr:uid="{00000000-0004-0000-0200-000082070000}"/>
    <hyperlink ref="H1936" r:id="rId1924" display="https://link.springer.com/journal/11167" xr:uid="{00000000-0004-0000-0200-000083070000}"/>
    <hyperlink ref="H1937" r:id="rId1925" display="https://link.springer.com/journal/13168" xr:uid="{00000000-0004-0000-0200-000084070000}"/>
    <hyperlink ref="H1938" r:id="rId1926" display="https://link.springer.com/journal/11171" xr:uid="{00000000-0004-0000-0200-000085070000}"/>
    <hyperlink ref="H1939" r:id="rId1927" display="https://link.springer.com/journal/11173" xr:uid="{00000000-0004-0000-0200-000086070000}"/>
    <hyperlink ref="H1940" r:id="rId1928" display="https://link.springer.com/journal/11174" xr:uid="{00000000-0004-0000-0200-000087070000}"/>
    <hyperlink ref="H1941" r:id="rId1929" display="https://link.springer.com/journal/11184" xr:uid="{00000000-0004-0000-0200-000088070000}"/>
    <hyperlink ref="H1942" r:id="rId1930" display="https://link.springer.com/journal/11175" xr:uid="{00000000-0004-0000-0200-000089070000}"/>
    <hyperlink ref="H1943" r:id="rId1931" display="https://link.springer.com/journal/11176" xr:uid="{00000000-0004-0000-0200-00008A070000}"/>
    <hyperlink ref="H1944" r:id="rId1932" display="https://link.springer.com/journal/11177" xr:uid="{00000000-0004-0000-0200-00008B070000}"/>
    <hyperlink ref="H1945" r:id="rId1933" display="https://link.springer.com/journal/11502" xr:uid="{00000000-0004-0000-0200-00008C070000}"/>
    <hyperlink ref="H1946" r:id="rId1934" display="https://link.springer.com/journal/11179" xr:uid="{00000000-0004-0000-0200-00008D070000}"/>
    <hyperlink ref="H1947" r:id="rId1935" display="https://link.springer.com/journal/11503" xr:uid="{00000000-0004-0000-0200-00008E070000}"/>
    <hyperlink ref="H1948" r:id="rId1936" display="https://link.springer.com/journal/11181" xr:uid="{00000000-0004-0000-0200-00008F070000}"/>
    <hyperlink ref="H1949" r:id="rId1937" display="https://link.springer.com/journal/11981" xr:uid="{00000000-0004-0000-0200-000090070000}"/>
    <hyperlink ref="H1950" r:id="rId1938" display="https://link.springer.com/journal/11178" xr:uid="{00000000-0004-0000-0200-000091070000}"/>
    <hyperlink ref="H1951" r:id="rId1939" display="https://link.springer.com/journal/11720" xr:uid="{00000000-0004-0000-0200-000092070000}"/>
    <hyperlink ref="H1952" r:id="rId1940" display="https://link.springer.com/journal/11504" xr:uid="{00000000-0004-0000-0200-000093070000}"/>
    <hyperlink ref="H1953" r:id="rId1941" display="https://link.springer.com/journal/11826" xr:uid="{00000000-0004-0000-0200-000094070000}"/>
    <hyperlink ref="H1954" r:id="rId1942" display="https://link.springer.com/journal/11183" xr:uid="{00000000-0004-0000-0200-000095070000}"/>
    <hyperlink ref="H1955" r:id="rId1943" display="https://link.springer.com/journal/11185" xr:uid="{00000000-0004-0000-0200-000096070000}"/>
    <hyperlink ref="H1956" r:id="rId1944" display="https://link.springer.com/journal/11982" xr:uid="{00000000-0004-0000-0200-000097070000}"/>
    <hyperlink ref="H1957" r:id="rId1945" display="https://link.springer.com/journal/11505" xr:uid="{00000000-0004-0000-0200-000098070000}"/>
    <hyperlink ref="H1958" r:id="rId1946" display="https://link.springer.com/journal/11983" xr:uid="{00000000-0004-0000-0200-000099070000}"/>
    <hyperlink ref="H1959" r:id="rId1947" display="https://link.springer.com/journal/11180" xr:uid="{00000000-0004-0000-0200-00009A070000}"/>
    <hyperlink ref="H1960" r:id="rId1948" display="https://link.springer.com/journal/11182" xr:uid="{00000000-0004-0000-0200-00009B070000}"/>
    <hyperlink ref="H1961" r:id="rId1949" display="https://link.springer.com/journal/12046" xr:uid="{00000000-0004-0000-0200-00009C070000}"/>
    <hyperlink ref="H1962" r:id="rId1950" display="https://link.springer.com/journal/42797" xr:uid="{00000000-0004-0000-0200-00009D070000}"/>
    <hyperlink ref="H1963" r:id="rId1951" display="https://link.springer.com/journal/13572" xr:uid="{00000000-0004-0000-0200-00009E070000}"/>
    <hyperlink ref="H1964" r:id="rId1952" display="https://link.springer.com/journal/40863" xr:uid="{00000000-0004-0000-0200-00009F070000}"/>
    <hyperlink ref="H1965" r:id="rId1953" display="https://link.springer.com/journal/940" xr:uid="{00000000-0004-0000-0200-0000A0070000}"/>
    <hyperlink ref="H1966" r:id="rId1954" display="https://link.springer.com/journal/12310" xr:uid="{00000000-0004-0000-0200-0000A1070000}"/>
    <hyperlink ref="H1967" r:id="rId1955" display="https://link.springer.com/journal/43472" xr:uid="{00000000-0004-0000-0200-0000A2070000}"/>
    <hyperlink ref="H1968" r:id="rId1956" display="https://link.springer.com/journal/11191" xr:uid="{00000000-0004-0000-0200-0000A3070000}"/>
    <hyperlink ref="H1969" r:id="rId1957" display="https://link.springer.com/journal/11948" xr:uid="{00000000-0004-0000-0200-0000A4070000}"/>
    <hyperlink ref="H1970" r:id="rId1958" display="https://link.springer.com/journal/11426" xr:uid="{00000000-0004-0000-0200-0000A5070000}"/>
    <hyperlink ref="H1971" r:id="rId1959" display="https://link.springer.com/journal/11430" xr:uid="{00000000-0004-0000-0200-0000A6070000}"/>
    <hyperlink ref="H1972" r:id="rId1960" display="https://link.springer.com/journal/11432" xr:uid="{00000000-0004-0000-0200-0000A7070000}"/>
    <hyperlink ref="H1973" r:id="rId1961" display="https://link.springer.com/journal/11427" xr:uid="{00000000-0004-0000-0200-0000A8070000}"/>
    <hyperlink ref="H1974" r:id="rId1962" display="https://link.springer.com/journal/40843" xr:uid="{00000000-0004-0000-0200-0000A9070000}"/>
    <hyperlink ref="H1975" r:id="rId1963" display="https://link.springer.com/journal/11425" xr:uid="{00000000-0004-0000-0200-0000AA070000}"/>
    <hyperlink ref="H1976" r:id="rId1964" display="https://link.springer.com/journal/11433" xr:uid="{00000000-0004-0000-0200-0000AB070000}"/>
    <hyperlink ref="H1977" r:id="rId1965" display="https://link.springer.com/journal/11431" xr:uid="{00000000-0004-0000-0200-0000AC070000}"/>
    <hyperlink ref="H1978" r:id="rId1966" display="https://link.springer.com/journal/11984" xr:uid="{00000000-0004-0000-0200-0000AD070000}"/>
    <hyperlink ref="H1979" r:id="rId1967" display="https://link.springer.com/journal/11192" xr:uid="{00000000-0004-0000-0200-0000AE070000}"/>
    <hyperlink ref="H1980" r:id="rId1968" display="https://link.springer.com/journal/11990" xr:uid="{00000000-0004-0000-0200-0000AF070000}"/>
    <hyperlink ref="H1981" r:id="rId1969" display="https://link.springer.com/journal/29" xr:uid="{00000000-0004-0000-0200-0000B0070000}"/>
    <hyperlink ref="H1982" r:id="rId1970" display="https://link.springer.com/journal/40324" xr:uid="{00000000-0004-0000-0200-0000B1070000}"/>
    <hyperlink ref="H1983" r:id="rId1971" display="https://link.springer.com/journal/11453" xr:uid="{00000000-0004-0000-0200-0000B2070000}"/>
    <hyperlink ref="H1984" r:id="rId1972" display="https://link.springer.com/journal/233" xr:uid="{00000000-0004-0000-0200-0000B3070000}"/>
    <hyperlink ref="H1985" r:id="rId1973" display="https://link.springer.com/journal/281" xr:uid="{00000000-0004-0000-0200-0000B4070000}"/>
    <hyperlink ref="H1986" r:id="rId1974" display="https://link.springer.com/journal/11220" xr:uid="{00000000-0004-0000-0200-0000B5070000}"/>
    <hyperlink ref="H1987" r:id="rId1975" display="https://link.springer.com/journal/11628" xr:uid="{00000000-0004-0000-0200-0000B6070000}"/>
    <hyperlink ref="H1988" r:id="rId1976" display="https://link.springer.com/journal/11761" xr:uid="{00000000-0004-0000-0200-0000B7070000}"/>
    <hyperlink ref="H1989" r:id="rId1977" display="https://link.springer.com/journal/11228" xr:uid="{00000000-0004-0000-0200-0000B8070000}"/>
    <hyperlink ref="H1990" r:id="rId1978" display="https://link.springer.com/journal/11199" xr:uid="{00000000-0004-0000-0200-0000B9070000}"/>
    <hyperlink ref="H1991" r:id="rId1979" display="https://link.springer.com/journal/12119" xr:uid="{00000000-0004-0000-0200-0000BA070000}"/>
    <hyperlink ref="H1992" r:id="rId1980" display="https://link.springer.com/journal/11195" xr:uid="{00000000-0004-0000-0200-0000BB070000}"/>
    <hyperlink ref="H1993" r:id="rId1981" display="https://link.springer.com/journal/13178" xr:uid="{00000000-0004-0000-0200-0000BC070000}"/>
    <hyperlink ref="H1994" r:id="rId1982" display="https://link.springer.com/journal/40830" xr:uid="{00000000-0004-0000-0200-0000BD070000}"/>
    <hyperlink ref="H1995" r:id="rId1983" display="https://link.springer.com/journal/193" xr:uid="{00000000-0004-0000-0200-0000BE070000}"/>
    <hyperlink ref="H1996" r:id="rId1984" display="https://link.springer.com/journal/12002" xr:uid="{00000000-0004-0000-0200-0000BF070000}"/>
    <hyperlink ref="H1997" r:id="rId1985" display="https://link.springer.com/journal/11202" xr:uid="{00000000-0004-0000-0200-0000C0070000}"/>
    <hyperlink ref="H1998" r:id="rId1986" display="https://link.springer.com/journal/11760" xr:uid="{00000000-0004-0000-0200-0000C1070000}"/>
    <hyperlink ref="H1999" r:id="rId1987" display="https://link.springer.com/journal/12633" xr:uid="{00000000-0004-0000-0200-0000C2070000}"/>
    <hyperlink ref="H2000" r:id="rId1988" display="https://link.springer.com/journal/256" xr:uid="{00000000-0004-0000-0200-0000C3070000}"/>
    <hyperlink ref="H2001" r:id="rId1989" display="https://link.springer.com/journal/41105" xr:uid="{00000000-0004-0000-0200-0000C4070000}"/>
    <hyperlink ref="H2002" r:id="rId1990" display="https://link.springer.com/journal/11325" xr:uid="{00000000-0004-0000-0200-0000C5070000}"/>
    <hyperlink ref="H2003" r:id="rId1991" display="https://link.springer.com/journal/41782" xr:uid="{00000000-0004-0000-0200-0000C6070000}"/>
    <hyperlink ref="H2004" r:id="rId1992" display="https://link.springer.com/journal/11187" xr:uid="{00000000-0004-0000-0200-0000C7070000}"/>
    <hyperlink ref="H2005" r:id="rId1993" display="https://link.springer.com/journal/11842" xr:uid="{00000000-0004-0000-0200-0000C8070000}"/>
    <hyperlink ref="H2006" r:id="rId1994" display="https://link.springer.com/journal/43546" xr:uid="{00000000-0004-0000-0200-0000C9070000}"/>
    <hyperlink ref="H2007" r:id="rId1995" display="https://link.springer.com/journal/42399" xr:uid="{00000000-0004-0000-0200-0000CA070000}"/>
    <hyperlink ref="H2008" r:id="rId1996" display="https://link.springer.com/journal/42979" xr:uid="{00000000-0004-0000-0200-0000CB070000}"/>
    <hyperlink ref="H2009" r:id="rId1997" display="https://link.springer.com/journal/43545" xr:uid="{00000000-0004-0000-0200-0000CC070000}"/>
    <hyperlink ref="H2010" r:id="rId1998" display="https://link.springer.com/journal/355" xr:uid="{00000000-0004-0000-0200-0000CD070000}"/>
    <hyperlink ref="H2011" r:id="rId1999" display="https://link.springer.com/journal/11205" xr:uid="{00000000-0004-0000-0200-0000CE070000}"/>
    <hyperlink ref="H2012" r:id="rId2000" display="https://link.springer.com/journal/11211" xr:uid="{00000000-0004-0000-0200-0000CF070000}"/>
    <hyperlink ref="H2013" r:id="rId2001" display="https://link.springer.com/journal/13278" xr:uid="{00000000-0004-0000-0200-0000D0070000}"/>
    <hyperlink ref="H2014" r:id="rId2002" display="https://link.springer.com/journal/127" xr:uid="{00000000-0004-0000-0200-0000D1070000}"/>
    <hyperlink ref="H2015" r:id="rId2003" display="https://link.springer.com/journal/11218" xr:uid="{00000000-0004-0000-0200-0000D2070000}"/>
    <hyperlink ref="H2016" r:id="rId2004" display="https://link.springer.com/journal/12115" xr:uid="{00000000-0004-0000-0200-0000D3070000}"/>
    <hyperlink ref="H2017" r:id="rId2005" display="https://link.springer.com/journal/42532" xr:uid="{00000000-0004-0000-0200-0000D4070000}"/>
    <hyperlink ref="H2018" r:id="rId2006" display="https://link.springer.com/journal/500" xr:uid="{00000000-0004-0000-0200-0000D5070000}"/>
    <hyperlink ref="H2019" r:id="rId2007" display="https://link.springer.com/journal/10270" xr:uid="{00000000-0004-0000-0200-0000D6070000}"/>
    <hyperlink ref="H2020" r:id="rId2008" display="https://link.springer.com/journal/11219" xr:uid="{00000000-0004-0000-0200-0000D7070000}"/>
    <hyperlink ref="H2021" r:id="rId2009" display="https://link.springer.com/journal/42832" xr:uid="{00000000-0004-0000-0200-0000D8070000}"/>
    <hyperlink ref="H2022" r:id="rId2010" display="https://link.springer.com/journal/11204" xr:uid="{00000000-0004-0000-0200-0000D9070000}"/>
    <hyperlink ref="H2023" r:id="rId2011" display="https://link.springer.com/journal/11207" xr:uid="{00000000-0004-0000-0200-0000DA070000}"/>
    <hyperlink ref="H2024" r:id="rId2012" display="https://link.springer.com/journal/11208" xr:uid="{00000000-0004-0000-0200-0000DB070000}"/>
    <hyperlink ref="H2025" r:id="rId2013" display="https://link.springer.com/journal/11985" xr:uid="{00000000-0004-0000-0200-0000DC070000}"/>
    <hyperlink ref="H2026" r:id="rId2014" display="https://link.springer.com/journal/11818" xr:uid="{00000000-0004-0000-0200-0000DD070000}"/>
    <hyperlink ref="H2027" r:id="rId2015" display="https://link.springer.com/journal/11841" xr:uid="{00000000-0004-0000-0200-0000DE070000}"/>
    <hyperlink ref="H2028" r:id="rId2016" display="https://link.springer.com/journal/12054" xr:uid="{00000000-0004-0000-0200-0000DF070000}"/>
    <hyperlink ref="H2029" r:id="rId2017" display="https://link.springer.com/journal/12592" xr:uid="{00000000-0004-0000-0200-0000E0070000}"/>
    <hyperlink ref="H2030" r:id="rId2018" display="https://link.springer.com/journal/11214" xr:uid="{00000000-0004-0000-0200-0000E1070000}"/>
    <hyperlink ref="H2031" r:id="rId2019" display="https://link.springer.com/journal/40980" xr:uid="{00000000-0004-0000-0200-0000E2070000}"/>
    <hyperlink ref="H2032" r:id="rId2020" display="https://link.springer.com/journal/41324" xr:uid="{00000000-0004-0000-0200-0000E3070000}"/>
    <hyperlink ref="H2033" r:id="rId2021" display="https://link.springer.com/journal/717" xr:uid="{00000000-0004-0000-0200-0000E4070000}"/>
    <hyperlink ref="H2034" r:id="rId2022" display="https://link.springer.com/journal/43390" xr:uid="{00000000-0004-0000-0200-0000E5070000}"/>
    <hyperlink ref="H2035" r:id="rId2023" display="https://link.springer.com/journal/11332" xr:uid="{00000000-0004-0000-0200-0000E6070000}"/>
    <hyperlink ref="H2036" r:id="rId2024" display="https://link.springer.com/journal/12283" xr:uid="{00000000-0004-0000-0200-0000E7070000}"/>
    <hyperlink ref="H2037" r:id="rId2025" display="https://link.springer.com/journal/40279" xr:uid="{00000000-0004-0000-0200-0000E8070000}"/>
    <hyperlink ref="H2038" r:id="rId2026" display="https://link.springer.com/journal/548" xr:uid="{00000000-0004-0000-0200-0000E9070000}"/>
    <hyperlink ref="H2039" r:id="rId2027" display="https://link.springer.com/journal/11203" xr:uid="{00000000-0004-0000-0200-0000EA070000}"/>
    <hyperlink ref="H2040" r:id="rId2028" display="https://link.springer.com/journal/10260" xr:uid="{00000000-0004-0000-0200-0000EB070000}"/>
    <hyperlink ref="H2041" r:id="rId2029" display="https://link.springer.com/journal/362" xr:uid="{00000000-0004-0000-0200-0000EC070000}"/>
    <hyperlink ref="H2042" r:id="rId2030" display="https://link.springer.com/journal/11222" xr:uid="{00000000-0004-0000-0200-0000ED070000}"/>
    <hyperlink ref="H2043" r:id="rId2031" display="https://link.springer.com/journal/12561" xr:uid="{00000000-0004-0000-0200-0000EE070000}"/>
    <hyperlink ref="H2044" r:id="rId2032" display="https://link.springer.com/journal/11986" xr:uid="{00000000-0004-0000-0200-0000EF070000}"/>
    <hyperlink ref="H2045" r:id="rId2033" display="https://link.springer.com/journal/12015" xr:uid="{00000000-0004-0000-0200-0000F0070000}"/>
    <hyperlink ref="H2046" r:id="rId2034" display="https://link.springer.com/journal/477" xr:uid="{00000000-0004-0000-0200-0000F1070000}"/>
    <hyperlink ref="H2047" r:id="rId2035" display="https://link.springer.com/journal/40072" xr:uid="{00000000-0004-0000-0200-0000F2070000}"/>
    <hyperlink ref="H2048" r:id="rId2036" display="https://link.springer.com/journal/66" xr:uid="{00000000-0004-0000-0200-0000F3070000}"/>
    <hyperlink ref="H2049" r:id="rId2037" display="https://link.springer.com/journal/11506" xr:uid="{00000000-0004-0000-0200-0000F4070000}"/>
    <hyperlink ref="H2050" r:id="rId2038" display="https://link.springer.com/journal/11223" xr:uid="{00000000-0004-0000-0200-0000F5070000}"/>
    <hyperlink ref="H2051" r:id="rId2039" display="https://link.springer.com/journal/158" xr:uid="{00000000-0004-0000-0200-0000F6070000}"/>
    <hyperlink ref="H2052" r:id="rId2040" display="https://link.springer.com/journal/11224" xr:uid="{00000000-0004-0000-0200-0000F7070000}"/>
    <hyperlink ref="H2053" r:id="rId2041" display="https://link.springer.com/journal/11200" xr:uid="{00000000-0004-0000-0200-0000F8070000}"/>
    <hyperlink ref="H2054" r:id="rId2042" display="https://link.springer.com/journal/11225" xr:uid="{00000000-0004-0000-0200-0000F9070000}"/>
    <hyperlink ref="H2055" r:id="rId2043" display="https://link.springer.com/journal/12116" xr:uid="{00000000-0004-0000-0200-0000FA070000}"/>
    <hyperlink ref="H2056" r:id="rId2044" display="https://link.springer.com/journal/11212" xr:uid="{00000000-0004-0000-0200-0000FB070000}"/>
    <hyperlink ref="H2057" r:id="rId2045" display="https://link.springer.com/journal/11217" xr:uid="{00000000-0004-0000-0200-0000FC070000}"/>
    <hyperlink ref="H2058" r:id="rId2046" display="https://link.springer.com/journal/11507" xr:uid="{00000000-0004-0000-0200-0000FD070000}"/>
    <hyperlink ref="H2059" r:id="rId2047" display="https://link.springer.com/journal/12355" xr:uid="{00000000-0004-0000-0200-0000FE070000}"/>
    <hyperlink ref="H2060" r:id="rId2048" display="https://link.springer.com/journal/520" xr:uid="{00000000-0004-0000-0200-0000FF070000}"/>
    <hyperlink ref="H2061" r:id="rId2049" display="https://link.springer.com/journal/11987" xr:uid="{00000000-0004-0000-0200-000000080000}"/>
    <hyperlink ref="H2062" r:id="rId2050" display="https://link.springer.com/journal/595" xr:uid="{00000000-0004-0000-0200-000001080000}"/>
    <hyperlink ref="H2063" r:id="rId2051" display="https://link.springer.com/journal/276" xr:uid="{00000000-0004-0000-0200-000002080000}"/>
    <hyperlink ref="H2064" r:id="rId2052" display="https://link.springer.com/journal/464" xr:uid="{00000000-0004-0000-0200-000003080000}"/>
    <hyperlink ref="H2065" r:id="rId2053" display="https://link.springer.com/journal/10712" xr:uid="{00000000-0004-0000-0200-000004080000}"/>
    <hyperlink ref="H2066" r:id="rId2054" display="https://link.springer.com/journal/550" xr:uid="{00000000-0004-0000-0200-000005080000}"/>
    <hyperlink ref="H2067" r:id="rId2055" display="https://link.springer.com/journal/11625" xr:uid="{00000000-0004-0000-0200-000006080000}"/>
    <hyperlink ref="H2068" r:id="rId2056" display="https://link.springer.com/journal/40899" xr:uid="{00000000-0004-0000-0200-000007080000}"/>
    <hyperlink ref="H2069" r:id="rId2057" display="https://link.springer.com/journal/11721" xr:uid="{00000000-0004-0000-0200-000008080000}"/>
    <hyperlink ref="H2070" r:id="rId2058" display="https://link.springer.com/journal/13199" xr:uid="{00000000-0004-0000-0200-000009080000}"/>
    <hyperlink ref="H2071" r:id="rId2059" display="https://link.springer.com/journal/11229" xr:uid="{00000000-0004-0000-0200-00000A080000}"/>
    <hyperlink ref="H2072" r:id="rId2060" display="https://link.springer.com/journal/11230" xr:uid="{00000000-0004-0000-0200-00000B080000}"/>
    <hyperlink ref="H2073" r:id="rId2061" display="https://link.springer.com/journal/11213" xr:uid="{00000000-0004-0000-0200-00000C080000}"/>
    <hyperlink ref="H2074" r:id="rId2062" display="https://link.springer.com/journal/43393" xr:uid="{00000000-0004-0000-0200-00000D080000}"/>
    <hyperlink ref="H2075" r:id="rId2063" display="https://link.springer.com/journal/11454" xr:uid="{00000000-0004-0000-0200-00000E080000}"/>
    <hyperlink ref="H2076" r:id="rId2064" display="https://link.springer.com/journal/11455" xr:uid="{00000000-0004-0000-0200-00000F080000}"/>
    <hyperlink ref="H2077" r:id="rId2065" display="https://link.springer.com/journal/10151" xr:uid="{00000000-0004-0000-0200-000010080000}"/>
    <hyperlink ref="H2078" r:id="rId2066" display="https://link.springer.com/journal/40866" xr:uid="{00000000-0004-0000-0200-000011080000}"/>
    <hyperlink ref="H2079" r:id="rId2067" display="https://link.springer.com/journal/10758" xr:uid="{00000000-0004-0000-0200-000012080000}"/>
    <hyperlink ref="H2080" r:id="rId2068" display="https://link.springer.com/journal/11528" xr:uid="{00000000-0004-0000-0200-000013080000}"/>
    <hyperlink ref="H2081" r:id="rId2069" display="https://link.springer.com/journal/11235" xr:uid="{00000000-0004-0000-0200-000014080000}"/>
    <hyperlink ref="H2082" r:id="rId2070" display="https://link.springer.com/journal/11233" xr:uid="{00000000-0004-0000-0200-000015080000}"/>
    <hyperlink ref="H2083" r:id="rId2071" display="https://link.springer.com/journal/11749" xr:uid="{00000000-0004-0000-0200-000016080000}"/>
    <hyperlink ref="H2084" r:id="rId2072" display="https://link.springer.com/journal/41208" xr:uid="{00000000-0004-0000-0200-000017080000}"/>
    <hyperlink ref="H2085" r:id="rId2073" display="https://link.springer.com/journal/12248" xr:uid="{00000000-0004-0000-0200-000018080000}"/>
    <hyperlink ref="H2086" r:id="rId2074" display="https://link.springer.com/journal/12108" xr:uid="{00000000-0004-0000-0200-000019080000}"/>
    <hyperlink ref="H2087" r:id="rId2075" display="https://link.springer.com/journal/40616" xr:uid="{00000000-0004-0000-0200-00001A080000}"/>
    <hyperlink ref="H2088" r:id="rId2076" display="https://link.springer.com/journal/168" xr:uid="{00000000-0004-0000-0200-00001B080000}"/>
    <hyperlink ref="H2089" r:id="rId2077" display="https://link.springer.com/journal/40299" xr:uid="{00000000-0004-0000-0200-00001C080000}"/>
    <hyperlink ref="H2090" r:id="rId2078" display="https://link.springer.com/journal/159" xr:uid="{00000000-0004-0000-0200-00001D080000}"/>
    <hyperlink ref="H2091" r:id="rId2079" display="https://link.springer.com/journal/13384" xr:uid="{00000000-0004-0000-0200-00001E080000}"/>
    <hyperlink ref="H2092" r:id="rId2080" display="https://link.springer.com/journal/12229" xr:uid="{00000000-0004-0000-0200-00001F080000}"/>
    <hyperlink ref="H2093" r:id="rId2081" display="https://link.springer.com/journal/12311" xr:uid="{00000000-0004-0000-0200-000020080000}"/>
    <hyperlink ref="H2094" r:id="rId2082" display="https://link.springer.com/journal/10198" xr:uid="{00000000-0004-0000-0200-000021080000}"/>
    <hyperlink ref="H2095" r:id="rId2083" display="https://link.springer.com/journal/10050" xr:uid="{00000000-0004-0000-0200-000022080000}"/>
    <hyperlink ref="H2096" r:id="rId2084" display="https://link.springer.com/journal/10051" xr:uid="{00000000-0004-0000-0200-000023080000}"/>
    <hyperlink ref="H2097" r:id="rId2085" display="https://link.springer.com/journal/10053" xr:uid="{00000000-0004-0000-0200-000024080000}"/>
    <hyperlink ref="H2098" r:id="rId2086" display="https://link.springer.com/journal/10189" xr:uid="{00000000-0004-0000-0200-000025080000}"/>
    <hyperlink ref="H2099" r:id="rId2087" display="https://link.springer.com/journal/13129" xr:uid="{00000000-0004-0000-0200-000026080000}"/>
    <hyperlink ref="H2100" r:id="rId2088" display="https://link.springer.com/journal/13360" xr:uid="{00000000-0004-0000-0200-000027080000}"/>
    <hyperlink ref="H2101" r:id="rId2089" display="https://link.springer.com/journal/11734" xr:uid="{00000000-0004-0000-0200-000028080000}"/>
    <hyperlink ref="H2102" r:id="rId2090" display="https://link.springer.com/journal/41027" xr:uid="{00000000-0004-0000-0200-000029080000}"/>
    <hyperlink ref="H2103" r:id="rId2091" display="https://link.springer.com/journal/170" xr:uid="{00000000-0004-0000-0200-00002A080000}"/>
    <hyperlink ref="H2104" r:id="rId2092" display="https://link.springer.com/journal/10554" xr:uid="{00000000-0004-0000-0200-00002B080000}"/>
    <hyperlink ref="H2105" r:id="rId2093" display="https://link.springer.com/journal/11367" xr:uid="{00000000-0004-0000-0200-00002C080000}"/>
    <hyperlink ref="H2106" r:id="rId2094" display="https://link.springer.com/journal/40318" xr:uid="{00000000-0004-0000-0200-00002D080000}"/>
    <hyperlink ref="H2107" r:id="rId2095" display="https://link.springer.com/journal/42973" xr:uid="{00000000-0004-0000-0200-00002E080000}"/>
    <hyperlink ref="H2108" r:id="rId2096" display="https://link.springer.com/journal/41478" xr:uid="{00000000-0004-0000-0200-00002F080000}"/>
    <hyperlink ref="H2109" r:id="rId2097" display="https://link.springer.com/journal/11414" xr:uid="{00000000-0004-0000-0200-000030080000}"/>
    <hyperlink ref="H2110" r:id="rId2098" display="https://link.springer.com/journal/43493" xr:uid="{00000000-0004-0000-0200-000031080000}"/>
    <hyperlink ref="H2111" r:id="rId2099" display="https://link.springer.com/journal/10888" xr:uid="{00000000-0004-0000-0200-000032080000}"/>
    <hyperlink ref="H2112" r:id="rId2100" display="https://link.springer.com/journal/10892" xr:uid="{00000000-0004-0000-0200-000033080000}"/>
    <hyperlink ref="H2113" r:id="rId2101" display="https://link.springer.com/journal/42415" xr:uid="{00000000-0004-0000-0200-000034080000}"/>
    <hyperlink ref="H2114" r:id="rId2102" display="https://link.springer.com/journal/12220" xr:uid="{00000000-0004-0000-0200-000035080000}"/>
    <hyperlink ref="H2115" r:id="rId2103" display="https://link.springer.com/journal/232" xr:uid="{00000000-0004-0000-0200-000036080000}"/>
    <hyperlink ref="H2116" r:id="rId2104" display="https://link.springer.com/journal/12603" xr:uid="{00000000-0004-0000-0200-000037080000}"/>
    <hyperlink ref="H2117" r:id="rId2105" display="https://link.springer.com/journal/13224" xr:uid="{00000000-0004-0000-0200-000038080000}"/>
    <hyperlink ref="H2118" r:id="rId2106" display="https://link.springer.com/journal/42414" xr:uid="{00000000-0004-0000-0200-000039080000}"/>
    <hyperlink ref="H2119" r:id="rId2107" display="https://link.springer.com/journal/11146" xr:uid="{00000000-0004-0000-0200-00003A080000}"/>
    <hyperlink ref="H2120" r:id="rId2108" display="https://link.springer.com/journal/11227" xr:uid="{00000000-0004-0000-0200-00003B080000}"/>
    <hyperlink ref="H2121" r:id="rId2109" display="https://link.springer.com/journal/10961" xr:uid="{00000000-0004-0000-0200-00003C080000}"/>
    <hyperlink ref="H2122" r:id="rId2110" display="https://link.springer.com/journal/40295" xr:uid="{00000000-0004-0000-0200-00003D080000}"/>
    <hyperlink ref="H2123" r:id="rId2111" display="https://link.springer.com/journal/10790" xr:uid="{00000000-0004-0000-0200-00003E080000}"/>
    <hyperlink ref="H2124" r:id="rId2112" display="https://link.springer.com/journal/283" xr:uid="{00000000-0004-0000-0200-00003F080000}"/>
    <hyperlink ref="H2125" r:id="rId2113" display="https://link.springer.com/journal/13237" xr:uid="{00000000-0004-0000-0200-000040080000}"/>
    <hyperlink ref="H2126" r:id="rId2114" display="https://link.springer.com/journal/10930" xr:uid="{00000000-0004-0000-0200-000041080000}"/>
    <hyperlink ref="H2127" r:id="rId2115" display="https://link.springer.com/journal/40732" xr:uid="{00000000-0004-0000-0200-000042080000}"/>
    <hyperlink ref="H2128" r:id="rId2116" display="https://link.springer.com/journal/11139" xr:uid="{00000000-0004-0000-0200-000043080000}"/>
    <hyperlink ref="H2129" r:id="rId2117" display="https://link.springer.com/journal/11138" xr:uid="{00000000-0004-0000-0200-000044080000}"/>
    <hyperlink ref="H2130" r:id="rId2118" display="https://link.springer.com/journal/11558" xr:uid="{00000000-0004-0000-0200-000045080000}"/>
    <hyperlink ref="H2131" r:id="rId2119" display="https://link.springer.com/journal/12626" xr:uid="{00000000-0004-0000-0200-000046080000}"/>
    <hyperlink ref="H2132" r:id="rId2120" display="https://link.springer.com/journal/114" xr:uid="{00000000-0004-0000-0200-000047080000}"/>
    <hyperlink ref="H2133" r:id="rId2121" display="https://link.springer.com/journal/11256" xr:uid="{00000000-0004-0000-0200-000048080000}"/>
    <hyperlink ref="H2134" r:id="rId2122" display="https://link.springer.com/journal/371" xr:uid="{00000000-0004-0000-0200-000049080000}"/>
    <hyperlink ref="H2135" r:id="rId2123" display="https://link.springer.com/journal/778" xr:uid="{00000000-0004-0000-0200-00004A080000}"/>
    <hyperlink ref="H2136" r:id="rId2124" display="https://link.springer.com/journal/704" xr:uid="{00000000-0004-0000-0200-00004B080000}"/>
    <hyperlink ref="H2137" r:id="rId2125" display="https://link.springer.com/journal/122" xr:uid="{00000000-0004-0000-0200-00004C080000}"/>
    <hyperlink ref="H2138" r:id="rId2126" display="https://link.springer.com/journal/162" xr:uid="{00000000-0004-0000-0200-00004D080000}"/>
    <hyperlink ref="H2139" r:id="rId2127" display="https://link.springer.com/journal/11237" xr:uid="{00000000-0004-0000-0200-00004E080000}"/>
    <hyperlink ref="H2140" r:id="rId2128" display="https://link.springer.com/journal/40626" xr:uid="{00000000-0004-0000-0200-00004F080000}"/>
    <hyperlink ref="H2141" r:id="rId2129" display="https://link.springer.com/journal/11232" xr:uid="{00000000-0004-0000-0200-000050080000}"/>
    <hyperlink ref="H2142" r:id="rId2130" display="https://link.springer.com/journal/214" xr:uid="{00000000-0004-0000-0200-000051080000}"/>
    <hyperlink ref="H2143" r:id="rId2131" display="https://link.springer.com/journal/12080" xr:uid="{00000000-0004-0000-0200-000052080000}"/>
    <hyperlink ref="H2144" r:id="rId2132" display="https://link.springer.com/journal/11236" xr:uid="{00000000-0004-0000-0200-000053080000}"/>
    <hyperlink ref="H2145" r:id="rId2133" display="https://link.springer.com/journal/11017" xr:uid="{00000000-0004-0000-0200-000054080000}"/>
    <hyperlink ref="H2146" r:id="rId2134" display="https://link.springer.com/journal/11238" xr:uid="{00000000-0004-0000-0200-000055080000}"/>
    <hyperlink ref="H2147" r:id="rId2135" display="https://link.springer.com/journal/11186" xr:uid="{00000000-0004-0000-0200-000056080000}"/>
    <hyperlink ref="H2148" r:id="rId2136" display="https://link.springer.com/journal/12064" xr:uid="{00000000-0004-0000-0200-000057080000}"/>
    <hyperlink ref="H2149" r:id="rId2137" display="https://link.springer.com/journal/224" xr:uid="{00000000-0004-0000-0200-000058080000}"/>
    <hyperlink ref="H2150" r:id="rId2138" display="https://link.springer.com/journal/43441" xr:uid="{00000000-0004-0000-0200-000059080000}"/>
    <hyperlink ref="H2151" r:id="rId2139" display="https://link.springer.com/journal/11509" xr:uid="{00000000-0004-0000-0200-00005A080000}"/>
    <hyperlink ref="H2152" r:id="rId2140" display="https://link.springer.com/journal/11510" xr:uid="{00000000-0004-0000-0200-00005B080000}"/>
    <hyperlink ref="H2153" r:id="rId2141" display="https://link.springer.com/journal/13770" xr:uid="{00000000-0004-0000-0200-00005C080000}"/>
    <hyperlink ref="H2154" r:id="rId2142" display="https://link.springer.com/journal/11750" xr:uid="{00000000-0004-0000-0200-00005D080000}"/>
    <hyperlink ref="H2155" r:id="rId2143" display="https://link.springer.com/journal/11244" xr:uid="{00000000-0004-0000-0200-00005E080000}"/>
    <hyperlink ref="H2156" r:id="rId2144" display="https://link.springer.com/journal/41061" xr:uid="{00000000-0004-0000-0200-00005F080000}"/>
    <hyperlink ref="H2157" r:id="rId2145" display="https://link.springer.com/journal/11245" xr:uid="{00000000-0004-0000-0200-000060080000}"/>
    <hyperlink ref="H2158" r:id="rId2146" display="https://link.springer.com/journal/43188" xr:uid="{00000000-0004-0000-0200-000061080000}"/>
    <hyperlink ref="H2159" r:id="rId2147" display="https://link.springer.com/journal/13530" xr:uid="{00000000-0004-0000-0200-000062080000}"/>
    <hyperlink ref="H2160" r:id="rId2148" display="https://link.springer.com/journal/12666" xr:uid="{00000000-0004-0000-0200-000063080000}"/>
    <hyperlink ref="H2161" r:id="rId2149" display="https://link.springer.com/journal/41403" xr:uid="{00000000-0004-0000-0200-000064080000}"/>
    <hyperlink ref="H2162" r:id="rId2150" display="https://link.springer.com/journal/12209" xr:uid="{00000000-0004-0000-0200-000065080000}"/>
    <hyperlink ref="H2163" r:id="rId2151" display="https://link.springer.com/journal/42341" xr:uid="{00000000-0004-0000-0200-000066080000}"/>
    <hyperlink ref="H2164" r:id="rId2152" display="https://link.springer.com/journal/31" xr:uid="{00000000-0004-0000-0200-000067080000}"/>
    <hyperlink ref="H2165" r:id="rId2153" display="https://link.springer.com/journal/11248" xr:uid="{00000000-0004-0000-0200-000068080000}"/>
    <hyperlink ref="H2166" r:id="rId2154" display="https://link.springer.com/journal/11243" xr:uid="{00000000-0004-0000-0200-000069080000}"/>
    <hyperlink ref="H2167" r:id="rId2155" display="https://link.springer.com/journal/12975" xr:uid="{00000000-0004-0000-0200-00006A080000}"/>
    <hyperlink ref="H2168" r:id="rId2156" display="https://link.springer.com/journal/11242" xr:uid="{00000000-0004-0000-0200-00006B080000}"/>
    <hyperlink ref="H2169" r:id="rId2157" display="https://link.springer.com/journal/11116" xr:uid="{00000000-0004-0000-0200-00006C080000}"/>
    <hyperlink ref="H2170" r:id="rId2158" display="https://link.springer.com/journal/40890" xr:uid="{00000000-0004-0000-0200-00006D080000}"/>
    <hyperlink ref="H2171" r:id="rId2159" display="https://link.springer.com/journal/40515" xr:uid="{00000000-0004-0000-0200-00006E080000}"/>
    <hyperlink ref="H2172" r:id="rId2160" display="https://link.springer.com/journal/11295" xr:uid="{00000000-0004-0000-0200-00006F080000}"/>
    <hyperlink ref="H2173" r:id="rId2161" display="https://link.springer.com/journal/468" xr:uid="{00000000-0004-0000-0200-000070080000}"/>
    <hyperlink ref="H2174" r:id="rId2162" display="https://link.springer.com/journal/12117" xr:uid="{00000000-0004-0000-0200-000071080000}"/>
    <hyperlink ref="H2175" r:id="rId2163" display="https://link.springer.com/journal/43076" xr:uid="{00000000-0004-0000-0200-000072080000}"/>
    <hyperlink ref="H2176" r:id="rId2164" display="https://link.springer.com/journal/11249" xr:uid="{00000000-0004-0000-0200-000073080000}"/>
    <hyperlink ref="H2177" r:id="rId2165" display="https://link.springer.com/journal/11250" xr:uid="{00000000-0004-0000-0200-000074080000}"/>
    <hyperlink ref="H2178" r:id="rId2166" display="https://link.springer.com/journal/42965" xr:uid="{00000000-0004-0000-0200-000075080000}"/>
    <hyperlink ref="H2179" r:id="rId2167" display="https://link.springer.com/journal/12042" xr:uid="{00000000-0004-0000-0200-000076080000}"/>
    <hyperlink ref="H2180" r:id="rId2168" display="https://link.springer.com/journal/40858" xr:uid="{00000000-0004-0000-0200-000077080000}"/>
    <hyperlink ref="H2181" r:id="rId2169" display="https://link.springer.com/journal/42864" xr:uid="{00000000-0004-0000-0200-000078080000}"/>
    <hyperlink ref="H2182" r:id="rId2170" display="https://link.springer.com/journal/11253" xr:uid="{00000000-0004-0000-0200-000079080000}"/>
    <hyperlink ref="H2183" r:id="rId2171" display="https://link.springer.com/journal/10209" xr:uid="{00000000-0004-0000-0200-00007A080000}"/>
    <hyperlink ref="H2184" r:id="rId2172" display="https://link.springer.com/journal/42010" xr:uid="{00000000-0004-0000-0200-00007B080000}"/>
    <hyperlink ref="H2185" r:id="rId2173" display="https://link.springer.com/journal/13304" xr:uid="{00000000-0004-0000-0200-00007C080000}"/>
    <hyperlink ref="H2186" r:id="rId2174" display="https://link.springer.com/journal/11252" xr:uid="{00000000-0004-0000-0200-00007D080000}"/>
    <hyperlink ref="H2187" r:id="rId2175" display="https://link.springer.com/journal/12132" xr:uid="{00000000-0004-0000-0200-00007E080000}"/>
    <hyperlink ref="H2188" r:id="rId2176" display="https://link.springer.com/journal/240" xr:uid="{00000000-0004-0000-0200-00007F080000}"/>
    <hyperlink ref="H2189" r:id="rId2177" display="https://link.springer.com/journal/41973" xr:uid="{00000000-0004-0000-0200-000080080000}"/>
    <hyperlink ref="H2190" r:id="rId2178" display="https://link.springer.com/journal/92" xr:uid="{00000000-0004-0000-0200-000081080000}"/>
    <hyperlink ref="H2191" r:id="rId2179" display="https://link.springer.com/journal/11257" xr:uid="{00000000-0004-0000-0200-000082080000}"/>
    <hyperlink ref="H2192" r:id="rId2180" display="https://link.springer.com/journal/334" xr:uid="{00000000-0004-0000-0200-000083080000}"/>
    <hyperlink ref="H2193" r:id="rId2181" display="https://link.springer.com/journal/42535" xr:uid="{00000000-0004-0000-0200-000084080000}"/>
    <hyperlink ref="H2194" r:id="rId2182" display="https://link.springer.com/journal/11988" xr:uid="{00000000-0004-0000-0200-000085080000}"/>
    <hyperlink ref="H2195" r:id="rId2183" display="https://link.springer.com/journal/11259" xr:uid="{00000000-0004-0000-0200-000086080000}"/>
    <hyperlink ref="H2196" r:id="rId2184" display="https://link.springer.com/journal/10013" xr:uid="{00000000-0004-0000-0200-000087080000}"/>
    <hyperlink ref="H2197" r:id="rId2185" display="https://link.springer.com/journal/428" xr:uid="{00000000-0004-0000-0200-000088080000}"/>
    <hyperlink ref="H2198" r:id="rId2186" display="https://link.springer.com/journal/10055" xr:uid="{00000000-0004-0000-0200-000089080000}"/>
    <hyperlink ref="H2199" r:id="rId2187" display="https://link.springer.com/journal/11262" xr:uid="{00000000-0004-0000-0200-00008A080000}"/>
    <hyperlink ref="H2200" r:id="rId2188" display="https://link.springer.com/journal/13337" xr:uid="{00000000-0004-0000-0200-00008B080000}"/>
    <hyperlink ref="H2201" r:id="rId2189" display="https://link.springer.com/journal/11266" xr:uid="{00000000-0004-0000-0200-00008C080000}"/>
    <hyperlink ref="H2202" r:id="rId2190" display="https://link.springer.com/journal/12649" xr:uid="{00000000-0004-0000-0200-00008D080000}"/>
    <hyperlink ref="H2203" r:id="rId2191" display="https://link.springer.com/journal/42768" xr:uid="{00000000-0004-0000-0200-00008E080000}"/>
    <hyperlink ref="H2204" r:id="rId2192" display="https://link.springer.com/journal/41101" xr:uid="{00000000-0004-0000-0200-00008F080000}"/>
    <hyperlink ref="H2205" r:id="rId2193" display="https://link.springer.com/journal/12685" xr:uid="{00000000-0004-0000-0200-000090080000}"/>
    <hyperlink ref="H2206" r:id="rId2194" display="https://link.springer.com/journal/11268" xr:uid="{00000000-0004-0000-0200-000091080000}"/>
    <hyperlink ref="H2207" r:id="rId2195" display="https://link.springer.com/journal/11269" xr:uid="{00000000-0004-0000-0200-000092080000}"/>
    <hyperlink ref="H2208" r:id="rId2196" display="https://link.springer.com/journal/42286" xr:uid="{00000000-0004-0000-0200-000093080000}"/>
    <hyperlink ref="H2209" r:id="rId2197" display="https://link.springer.com/journal/11270" xr:uid="{00000000-0004-0000-0200-000094080000}"/>
    <hyperlink ref="H2210" r:id="rId2198" display="https://link.springer.com/journal/40194" xr:uid="{00000000-0004-0000-0200-000095080000}"/>
    <hyperlink ref="H2211" r:id="rId2199" display="https://link.springer.com/journal/13157" xr:uid="{00000000-0004-0000-0200-000096080000}"/>
    <hyperlink ref="H2212" r:id="rId2200" display="https://link.springer.com/journal/11273" xr:uid="{00000000-0004-0000-0200-000097080000}"/>
    <hyperlink ref="H2213" r:id="rId2201" display="https://link.springer.com/journal/508" xr:uid="{00000000-0004-0000-0200-000098080000}"/>
    <hyperlink ref="H2214" r:id="rId2202" display="https://link.springer.com/journal/740" xr:uid="{00000000-0004-0000-0200-000099080000}"/>
    <hyperlink ref="H2215" r:id="rId2203" display="https://link.springer.com/journal/10354" xr:uid="{00000000-0004-0000-0200-00009A080000}"/>
    <hyperlink ref="H2216" r:id="rId2204" display="https://link.springer.com/journal/11276" xr:uid="{00000000-0004-0000-0200-00009B080000}"/>
    <hyperlink ref="H2217" r:id="rId2205" display="https://link.springer.com/journal/11277" xr:uid="{00000000-0004-0000-0200-00009C080000}"/>
    <hyperlink ref="H2218" r:id="rId2206" display="https://link.springer.com/journal/35764" xr:uid="{00000000-0004-0000-0200-00009D080000}"/>
    <hyperlink ref="H2219" r:id="rId2207" display="https://link.springer.com/journal/11838" xr:uid="{00000000-0004-0000-0200-00009E080000}"/>
    <hyperlink ref="H2220" r:id="rId2208" display="https://link.springer.com/journal/13437" xr:uid="{00000000-0004-0000-0200-00009F080000}"/>
    <hyperlink ref="H2221" r:id="rId2209" display="https://link.springer.com/journal/226" xr:uid="{00000000-0004-0000-0200-0000A0080000}"/>
    <hyperlink ref="H2222" r:id="rId2210" display="https://link.springer.com/journal/11274" xr:uid="{00000000-0004-0000-0200-0000A1080000}"/>
    <hyperlink ref="H2223" r:id="rId2211" display="https://link.springer.com/journal/12519" xr:uid="{00000000-0004-0000-0200-0000A2080000}"/>
    <hyperlink ref="H2224" r:id="rId2212" display="https://link.springer.com/journal/268" xr:uid="{00000000-0004-0000-0200-0000A3080000}"/>
    <hyperlink ref="H2225" r:id="rId2213" display="https://link.springer.com/journal/345" xr:uid="{00000000-0004-0000-0200-0000A4080000}"/>
    <hyperlink ref="H2226" r:id="rId2214" display="https://link.springer.com/journal/11280" xr:uid="{00000000-0004-0000-0200-0000A5080000}"/>
    <hyperlink ref="H2227" r:id="rId2215" display="https://link.springer.com/journal/11858" xr:uid="{00000000-0004-0000-0200-0000A6080000}"/>
    <hyperlink ref="H2228" r:id="rId2216" display="https://link.springer.com/journal/33" xr:uid="{00000000-0004-0000-0200-0000A7080000}"/>
    <hyperlink ref="H2229" r:id="rId2217" display="https://link.springer.com/journal/41449" xr:uid="{00000000-0004-0000-0200-0000A8080000}"/>
    <hyperlink ref="H2230" r:id="rId2218" display="https://link.springer.com/journal/12399" xr:uid="{00000000-0004-0000-0200-0000A9080000}"/>
    <hyperlink ref="H2231" r:id="rId2219" display="https://link.springer.com/journal/35834" xr:uid="{00000000-0004-0000-0200-0000AA080000}"/>
    <hyperlink ref="H2232" r:id="rId2220" display="https://link.springer.com/journal/40573" xr:uid="{00000000-0004-0000-0200-0000AB080000}"/>
    <hyperlink ref="H2233" r:id="rId2221" display="https://link.springer.com/journal/12297" xr:uid="{00000000-0004-0000-0200-0000AC080000}"/>
    <hyperlink ref="H2234" r:id="rId2222" display="https://link.springer.com/journal/12398" xr:uid="{00000000-0004-0000-0200-0000AD080000}"/>
    <hyperlink ref="H2235" r:id="rId2223" display="https://link.springer.com/journal/10309" xr:uid="{00000000-0004-0000-0200-0000AE080000}"/>
    <hyperlink ref="H2236" r:id="rId2224" display="https://link.springer.com/journal/11618" xr:uid="{00000000-0004-0000-0200-0000AF080000}"/>
    <hyperlink ref="H2237" r:id="rId2225" display="https://link.springer.com/journal/42048" xr:uid="{00000000-0004-0000-0200-0000B0080000}"/>
    <hyperlink ref="H2238" r:id="rId2226" display="https://link.springer.com/journal/42597" xr:uid="{00000000-0004-0000-0200-0000B1080000}"/>
    <hyperlink ref="H2239" r:id="rId2227" display="https://link.springer.com/journal/391" xr:uid="{00000000-0004-0000-0200-0000B2080000}"/>
    <hyperlink ref="H2240" r:id="rId2228" display="https://link.springer.com/journal/42278" xr:uid="{00000000-0004-0000-0200-0000B3080000}"/>
    <hyperlink ref="H2241" r:id="rId2229" display="https://link.springer.com/journal/398" xr:uid="{00000000-0004-0000-0200-0000B4080000}"/>
    <hyperlink ref="H2242" r:id="rId2230" display="https://link.springer.com/journal/41244" xr:uid="{00000000-0004-0000-0200-0000B5080000}"/>
    <hyperlink ref="H2243" r:id="rId2231" display="https://link.springer.com/journal/41358" xr:uid="{00000000-0004-0000-0200-0000B6080000}"/>
    <hyperlink ref="H2244" r:id="rId2232" display="https://link.springer.com/journal/11620" xr:uid="{00000000-0004-0000-0200-0000B7080000}"/>
    <hyperlink ref="H2245" r:id="rId2233" display="https://link.springer.com/journal/41682" xr:uid="{00000000-0004-0000-0200-0000B8080000}"/>
    <hyperlink ref="H2246" r:id="rId2234" display="https://link.springer.com/journal/393" xr:uid="{00000000-0004-0000-0200-0000B9080000}"/>
    <hyperlink ref="H2247" r:id="rId2235" display="https://link.springer.com/journal/12286" xr:uid="{00000000-0004-0000-0200-0000BA080000}"/>
    <hyperlink ref="H2248" r:id="rId2236" display="https://link.springer.com/journal/40664" xr:uid="{00000000-0004-0000-0200-0000BB080000}"/>
    <hyperlink ref="H2249" r:id="rId2237" display="https://link.springer.com/journal/435" xr:uid="{00000000-0004-0000-0200-0000BC080000}"/>
  </hyperlinks>
  <pageMargins left="0.7" right="0.7" top="0.75" bottom="0.75"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J19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2578125" defaultRowHeight="15" customHeight="1" x14ac:dyDescent="0.25"/>
  <cols>
    <col min="1" max="1" width="1.42578125" customWidth="1"/>
    <col min="2" max="2" width="18" customWidth="1"/>
    <col min="3" max="3" width="10.28515625" customWidth="1"/>
    <col min="4" max="4" width="11.7109375" customWidth="1"/>
    <col min="5" max="5" width="66.28515625" customWidth="1"/>
    <col min="6" max="6" width="12.85546875" customWidth="1"/>
    <col min="7" max="7" width="34.140625" customWidth="1"/>
    <col min="8" max="8" width="39.28515625" customWidth="1"/>
    <col min="9" max="9" width="65.42578125" customWidth="1"/>
    <col min="10" max="10" width="118.140625" customWidth="1"/>
  </cols>
  <sheetData>
    <row r="1" spans="1:10" ht="7.5" customHeight="1" x14ac:dyDescent="0.25">
      <c r="A1" s="1"/>
      <c r="B1" s="1"/>
      <c r="C1" s="1"/>
      <c r="D1" s="1"/>
      <c r="E1" s="1"/>
      <c r="F1" s="1"/>
      <c r="G1" s="1"/>
      <c r="H1" s="1"/>
      <c r="I1" s="1"/>
      <c r="J1" s="28"/>
    </row>
    <row r="2" spans="1:10" ht="12.75" customHeight="1" x14ac:dyDescent="0.25">
      <c r="A2" s="1"/>
      <c r="B2" s="1" t="s">
        <v>8707</v>
      </c>
      <c r="C2" s="1" t="s">
        <v>8708</v>
      </c>
      <c r="D2" s="1" t="s">
        <v>8</v>
      </c>
      <c r="E2" s="1" t="s">
        <v>9</v>
      </c>
      <c r="F2" s="1" t="s">
        <v>10</v>
      </c>
      <c r="G2" s="1" t="s">
        <v>13</v>
      </c>
      <c r="H2" s="1" t="s">
        <v>8709</v>
      </c>
      <c r="I2" s="1" t="s">
        <v>8710</v>
      </c>
      <c r="J2" s="29" t="s">
        <v>19</v>
      </c>
    </row>
    <row r="3" spans="1:10" ht="12.75" customHeight="1" x14ac:dyDescent="0.25">
      <c r="A3" s="1"/>
      <c r="B3" s="1" t="str">
        <f ca="1">IFERROR(__xludf.DUMMYFUNCTION("query(importrange(""1WHJWufq8eKOLZVsAfxlGPhAwXXg4XytHukkAdDpsgTY"",""M_SJC!B5:S""),""select Col1,Col2,Col3,Col4,Col6,Col10,Col11,Col12,Col13 where Col18 is not null"")"),"対象外タイトル")</f>
        <v>対象外タイトル</v>
      </c>
      <c r="C3" s="1">
        <f ca="1">IFERROR(__xludf.DUMMYFUNCTION("""COMPUTED_VALUE"""),2022)</f>
        <v>2022</v>
      </c>
      <c r="D3" s="1">
        <f ca="1">IFERROR(__xludf.DUMMYFUNCTION("""COMPUTED_VALUE"""),13595)</f>
        <v>13595</v>
      </c>
      <c r="E3" s="1" t="str">
        <f ca="1">IFERROR(__xludf.DUMMYFUNCTION("""COMPUTED_VALUE"""),"Annals of Forest Science")</f>
        <v>Annals of Forest Science</v>
      </c>
      <c r="F3" s="1" t="str">
        <f ca="1">IFERROR(__xludf.DUMMYFUNCTION("""COMPUTED_VALUE"""),"1297-966X")</f>
        <v>1297-966X</v>
      </c>
      <c r="G3" s="1" t="str">
        <f ca="1">IFERROR(__xludf.DUMMYFUNCTION("""COMPUTED_VALUE"""),"Springer")</f>
        <v>Springer</v>
      </c>
      <c r="H3" s="1" t="str">
        <f ca="1">IFERROR(__xludf.DUMMYFUNCTION("""COMPUTED_VALUE"""),"Biomedical and Life Sciences")</f>
        <v>Biomedical and Life Sciences</v>
      </c>
      <c r="I3" s="1" t="str">
        <f ca="1">IFERROR(__xludf.DUMMYFUNCTION("""COMPUTED_VALUE"""),"Erratum Journals List: Publishing model Changes from Hybrid (Open Choice) to Fully Open Access as of 1/1/2022")</f>
        <v>Erratum Journals List: Publishing model Changes from Hybrid (Open Choice) to Fully Open Access as of 1/1/2022</v>
      </c>
      <c r="J3" s="28"/>
    </row>
    <row r="4" spans="1:10" ht="12.75" customHeight="1" x14ac:dyDescent="0.25">
      <c r="A4" s="1"/>
      <c r="B4" s="1" t="str">
        <f ca="1">IFERROR(__xludf.DUMMYFUNCTION("""COMPUTED_VALUE"""),"対象外タイトル")</f>
        <v>対象外タイトル</v>
      </c>
      <c r="C4" s="1">
        <f ca="1">IFERROR(__xludf.DUMMYFUNCTION("""COMPUTED_VALUE"""),2022)</f>
        <v>2022</v>
      </c>
      <c r="D4" s="1">
        <f ca="1">IFERROR(__xludf.DUMMYFUNCTION("""COMPUTED_VALUE"""),41063)</f>
        <v>41063</v>
      </c>
      <c r="E4" s="1" t="str">
        <f ca="1">IFERROR(__xludf.DUMMYFUNCTION("""COMPUTED_VALUE"""),"arktos")</f>
        <v>arktos</v>
      </c>
      <c r="F4" s="1" t="str">
        <f ca="1">IFERROR(__xludf.DUMMYFUNCTION("""COMPUTED_VALUE"""),"2364-9461")</f>
        <v>2364-9461</v>
      </c>
      <c r="G4" s="1" t="str">
        <f ca="1">IFERROR(__xludf.DUMMYFUNCTION("""COMPUTED_VALUE"""),"Springer")</f>
        <v>Springer</v>
      </c>
      <c r="H4" s="1" t="str">
        <f ca="1">IFERROR(__xludf.DUMMYFUNCTION("""COMPUTED_VALUE"""),"Earth and Environmental Science")</f>
        <v>Earth and Environmental Science</v>
      </c>
      <c r="I4" s="1" t="str">
        <f ca="1">IFERROR(__xludf.DUMMYFUNCTION("""COMPUTED_VALUE"""),"Erratum Journals List: Ceases publication after completion of Volume 7 (2021). ")</f>
        <v xml:space="preserve">Erratum Journals List: Ceases publication after completion of Volume 7 (2021). </v>
      </c>
      <c r="J4" s="28"/>
    </row>
    <row r="5" spans="1:10" ht="12.75" customHeight="1" x14ac:dyDescent="0.25">
      <c r="A5" s="1"/>
      <c r="B5" s="1" t="str">
        <f ca="1">IFERROR(__xludf.DUMMYFUNCTION("""COMPUTED_VALUE"""),"対象外タイトル")</f>
        <v>対象外タイトル</v>
      </c>
      <c r="C5" s="1">
        <f ca="1">IFERROR(__xludf.DUMMYFUNCTION("""COMPUTED_VALUE"""),2022)</f>
        <v>2022</v>
      </c>
      <c r="D5" s="1">
        <f ca="1">IFERROR(__xludf.DUMMYFUNCTION("""COMPUTED_VALUE"""),35726)</f>
        <v>35726</v>
      </c>
      <c r="E5" s="1" t="str">
        <f ca="1">IFERROR(__xludf.DUMMYFUNCTION("""COMPUTED_VALUE"""),"ATZproduktion")</f>
        <v>ATZproduktion</v>
      </c>
      <c r="F5" s="1" t="str">
        <f ca="1">IFERROR(__xludf.DUMMYFUNCTION("""COMPUTED_VALUE"""),"2192-8886")</f>
        <v>2192-8886</v>
      </c>
      <c r="G5" s="1" t="str">
        <f ca="1">IFERROR(__xludf.DUMMYFUNCTION("""COMPUTED_VALUE"""),"Springer Vieweg")</f>
        <v>Springer Vieweg</v>
      </c>
      <c r="H5" s="1" t="str">
        <f ca="1">IFERROR(__xludf.DUMMYFUNCTION("""COMPUTED_VALUE"""),"Engineering")</f>
        <v>Engineering</v>
      </c>
      <c r="I5" s="1" t="str">
        <f ca="1">IFERROR(__xludf.DUMMYFUNCTION("""COMPUTED_VALUE"""),"Ceases publication after completion Volume 7 (13-May-2021). ")</f>
        <v xml:space="preserve">Ceases publication after completion Volume 7 (13-May-2021). </v>
      </c>
      <c r="J5" s="28"/>
    </row>
    <row r="6" spans="1:10" ht="12.75" customHeight="1" x14ac:dyDescent="0.25">
      <c r="A6" s="1"/>
      <c r="B6" s="1" t="str">
        <f ca="1">IFERROR(__xludf.DUMMYFUNCTION("""COMPUTED_VALUE"""),"対象外タイトル")</f>
        <v>対象外タイトル</v>
      </c>
      <c r="C6" s="1">
        <f ca="1">IFERROR(__xludf.DUMMYFUNCTION("""COMPUTED_VALUE"""),2022)</f>
        <v>2022</v>
      </c>
      <c r="D6" s="1">
        <f ca="1">IFERROR(__xludf.DUMMYFUNCTION("""COMPUTED_VALUE"""),42773)</f>
        <v>42773</v>
      </c>
      <c r="E6" s="1" t="str">
        <f ca="1">IFERROR(__xludf.DUMMYFUNCTION("""COMPUTED_VALUE"""),"Biochar")</f>
        <v>Biochar</v>
      </c>
      <c r="F6" s="1" t="str">
        <f ca="1">IFERROR(__xludf.DUMMYFUNCTION("""COMPUTED_VALUE"""),"2524-7867")</f>
        <v>2524-7867</v>
      </c>
      <c r="G6" s="1" t="str">
        <f ca="1">IFERROR(__xludf.DUMMYFUNCTION("""COMPUTED_VALUE"""),"Springer")</f>
        <v>Springer</v>
      </c>
      <c r="H6" s="1" t="str">
        <f ca="1">IFERROR(__xludf.DUMMYFUNCTION("""COMPUTED_VALUE"""),"Earth and Environmental Science")</f>
        <v>Earth and Environmental Science</v>
      </c>
      <c r="I6" s="1" t="str">
        <f ca="1">IFERROR(__xludf.DUMMYFUNCTION("""COMPUTED_VALUE"""),"Publishing model changes from Hybrid (Open Choice) to Fully Open Access as of 2022. Chinese Library of Science. Exclusive distribution rights for print version outside Mainland China, for electronic version worldwide. ")</f>
        <v xml:space="preserve">Publishing model changes from Hybrid (Open Choice) to Fully Open Access as of 2022. Chinese Library of Science. Exclusive distribution rights for print version outside Mainland China, for electronic version worldwide. </v>
      </c>
      <c r="J6" s="28"/>
    </row>
    <row r="7" spans="1:10" ht="12.75" customHeight="1" x14ac:dyDescent="0.25">
      <c r="A7" s="1"/>
      <c r="B7" s="1" t="str">
        <f ca="1">IFERROR(__xludf.DUMMYFUNCTION("""COMPUTED_VALUE"""),"対象外タイトル")</f>
        <v>対象外タイトル</v>
      </c>
      <c r="C7" s="1">
        <f ca="1">IFERROR(__xludf.DUMMYFUNCTION("""COMPUTED_VALUE"""),2022)</f>
        <v>2022</v>
      </c>
      <c r="D7" s="1">
        <f ca="1">IFERROR(__xludf.DUMMYFUNCTION("""COMPUTED_VALUE"""),42045)</f>
        <v>42045</v>
      </c>
      <c r="E7" s="1" t="str">
        <f ca="1">IFERROR(__xludf.DUMMYFUNCTION("""COMPUTED_VALUE"""),"CCF Transactions on Networking")</f>
        <v>CCF Transactions on Networking</v>
      </c>
      <c r="F7" s="1" t="str">
        <f ca="1">IFERROR(__xludf.DUMMYFUNCTION("""COMPUTED_VALUE"""),"2520-8470")</f>
        <v>2520-8470</v>
      </c>
      <c r="G7" s="1" t="str">
        <f ca="1">IFERROR(__xludf.DUMMYFUNCTION("""COMPUTED_VALUE"""),"Springer")</f>
        <v>Springer</v>
      </c>
      <c r="H7" s="1" t="str">
        <f ca="1">IFERROR(__xludf.DUMMYFUNCTION("""COMPUTED_VALUE"""),"Computer Science")</f>
        <v>Computer Science</v>
      </c>
      <c r="I7" s="1" t="str">
        <f ca="1">IFERROR(__xludf.DUMMYFUNCTION("""COMPUTED_VALUE"""),"Erratum Journals List: No longer published distributed by Springer Nature.")</f>
        <v>Erratum Journals List: No longer published distributed by Springer Nature.</v>
      </c>
      <c r="J7" s="28"/>
    </row>
    <row r="8" spans="1:10" ht="12.75" customHeight="1" x14ac:dyDescent="0.25">
      <c r="A8" s="1"/>
      <c r="B8" s="1" t="str">
        <f ca="1">IFERROR(__xludf.DUMMYFUNCTION("""COMPUTED_VALUE"""),"対象外タイトル")</f>
        <v>対象外タイトル</v>
      </c>
      <c r="C8" s="1">
        <f ca="1">IFERROR(__xludf.DUMMYFUNCTION("""COMPUTED_VALUE"""),2022)</f>
        <v>2022</v>
      </c>
      <c r="D8" s="1">
        <f ca="1">IFERROR(__xludf.DUMMYFUNCTION("""COMPUTED_VALUE"""),41255)</f>
        <v>41255</v>
      </c>
      <c r="E8" s="1" t="str">
        <f ca="1">IFERROR(__xludf.DUMMYFUNCTION("""COMPUTED_VALUE"""),"Childhood Vulnerability Journal")</f>
        <v>Childhood Vulnerability Journal</v>
      </c>
      <c r="F8" s="1" t="str">
        <f ca="1">IFERROR(__xludf.DUMMYFUNCTION("""COMPUTED_VALUE"""),"2520-808X")</f>
        <v>2520-808X</v>
      </c>
      <c r="G8" s="1" t="str">
        <f ca="1">IFERROR(__xludf.DUMMYFUNCTION("""COMPUTED_VALUE"""),"Springer")</f>
        <v>Springer</v>
      </c>
      <c r="H8" s="1" t="str">
        <f ca="1">IFERROR(__xludf.DUMMYFUNCTION("""COMPUTED_VALUE"""),"Social Sciences")</f>
        <v>Social Sciences</v>
      </c>
      <c r="I8" s="1" t="str">
        <f ca="1">IFERROR(__xludf.DUMMYFUNCTION("""COMPUTED_VALUE"""),"Erratum Journals List: Merged into ""Journal of Data, Information and Management"" (42488) after 2021..")</f>
        <v>Erratum Journals List: Merged into "Journal of Data, Information and Management" (42488) after 2021..</v>
      </c>
      <c r="J8" s="28"/>
    </row>
    <row r="9" spans="1:10" ht="12.75" customHeight="1" x14ac:dyDescent="0.25">
      <c r="A9" s="1"/>
      <c r="B9" s="1" t="str">
        <f ca="1">IFERROR(__xludf.DUMMYFUNCTION("""COMPUTED_VALUE"""),"対象外タイトル")</f>
        <v>対象外タイトル</v>
      </c>
      <c r="C9" s="1">
        <f ca="1">IFERROR(__xludf.DUMMYFUNCTION("""COMPUTED_VALUE"""),2022)</f>
        <v>2022</v>
      </c>
      <c r="D9" s="1">
        <f ca="1">IFERROR(__xludf.DUMMYFUNCTION("""COMPUTED_VALUE"""),165)</f>
        <v>165</v>
      </c>
      <c r="E9" s="1" t="str">
        <f ca="1">IFERROR(__xludf.DUMMYFUNCTION("""COMPUTED_VALUE"""),"Formal Aspects of Computing")</f>
        <v>Formal Aspects of Computing</v>
      </c>
      <c r="F9" s="1" t="str">
        <f ca="1">IFERROR(__xludf.DUMMYFUNCTION("""COMPUTED_VALUE"""),"1433-299X")</f>
        <v>1433-299X</v>
      </c>
      <c r="G9" s="1" t="str">
        <f ca="1">IFERROR(__xludf.DUMMYFUNCTION("""COMPUTED_VALUE"""),"Springer")</f>
        <v>Springer</v>
      </c>
      <c r="H9" s="1" t="str">
        <f ca="1">IFERROR(__xludf.DUMMYFUNCTION("""COMPUTED_VALUE"""),"Computer Science")</f>
        <v>Computer Science</v>
      </c>
      <c r="I9" s="1" t="str">
        <f ca="1">IFERROR(__xludf.DUMMYFUNCTION("""COMPUTED_VALUE"""),"No longer published by Springer Nature after completion of Volume 33 (2021).")</f>
        <v>No longer published by Springer Nature after completion of Volume 33 (2021).</v>
      </c>
      <c r="J9" s="28"/>
    </row>
    <row r="10" spans="1:10" ht="12.75" customHeight="1" x14ac:dyDescent="0.25">
      <c r="A10" s="1"/>
      <c r="B10" s="1" t="str">
        <f ca="1">IFERROR(__xludf.DUMMYFUNCTION("""COMPUTED_VALUE"""),"対象外タイトル")</f>
        <v>対象外タイトル</v>
      </c>
      <c r="C10" s="1">
        <f ca="1">IFERROR(__xludf.DUMMYFUNCTION("""COMPUTED_VALUE"""),2022)</f>
        <v>2022</v>
      </c>
      <c r="D10" s="1">
        <f ca="1">IFERROR(__xludf.DUMMYFUNCTION("""COMPUTED_VALUE"""),11516)</f>
        <v>11516</v>
      </c>
      <c r="E10" s="1" t="str">
        <f ca="1">IFERROR(__xludf.DUMMYFUNCTION("""COMPUTED_VALUE"""),"Frontiers of Education in China")</f>
        <v>Frontiers of Education in China</v>
      </c>
      <c r="F10" s="1" t="str">
        <f ca="1">IFERROR(__xludf.DUMMYFUNCTION("""COMPUTED_VALUE"""),"1673-3533")</f>
        <v>1673-3533</v>
      </c>
      <c r="G10" s="1" t="str">
        <f ca="1">IFERROR(__xludf.DUMMYFUNCTION("""COMPUTED_VALUE"""),"Higher Education Press, co-published with Springer")</f>
        <v>Higher Education Press, co-published with Springer</v>
      </c>
      <c r="H10" s="1" t="str">
        <f ca="1">IFERROR(__xludf.DUMMYFUNCTION("""COMPUTED_VALUE"""),"Education")</f>
        <v>Education</v>
      </c>
      <c r="I10" s="1" t="str">
        <f ca="1">IFERROR(__xludf.DUMMYFUNCTION("""COMPUTED_VALUE"""),"No longer published / distributed by Springer Nature. New publisher: Higher Education Press.")</f>
        <v>No longer published / distributed by Springer Nature. New publisher: Higher Education Press.</v>
      </c>
      <c r="J10" s="28"/>
    </row>
    <row r="11" spans="1:10" ht="12.75" customHeight="1" x14ac:dyDescent="0.25">
      <c r="A11" s="1"/>
      <c r="B11" s="1" t="str">
        <f ca="1">IFERROR(__xludf.DUMMYFUNCTION("""COMPUTED_VALUE"""),"対象外タイトル")</f>
        <v>対象外タイトル</v>
      </c>
      <c r="C11" s="1">
        <f ca="1">IFERROR(__xludf.DUMMYFUNCTION("""COMPUTED_VALUE"""),2022)</f>
        <v>2022</v>
      </c>
      <c r="D11" s="1">
        <f ca="1">IFERROR(__xludf.DUMMYFUNCTION("""COMPUTED_VALUE"""),12200)</f>
        <v>12200</v>
      </c>
      <c r="E11" s="1" t="str">
        <f ca="1">IFERROR(__xludf.DUMMYFUNCTION("""COMPUTED_VALUE"""),"Frontiers of Optoelectronics")</f>
        <v>Frontiers of Optoelectronics</v>
      </c>
      <c r="F11" s="1" t="str">
        <f ca="1">IFERROR(__xludf.DUMMYFUNCTION("""COMPUTED_VALUE"""),"2095-2767")</f>
        <v>2095-2767</v>
      </c>
      <c r="G11" s="1" t="str">
        <f ca="1">IFERROR(__xludf.DUMMYFUNCTION("""COMPUTED_VALUE"""),"Higher Education Press, co-published with Springer")</f>
        <v>Higher Education Press, co-published with Springer</v>
      </c>
      <c r="H11" s="1" t="str">
        <f ca="1">IFERROR(__xludf.DUMMYFUNCTION("""COMPUTED_VALUE"""),"Engineering")</f>
        <v>Engineering</v>
      </c>
      <c r="I11" s="1" t="str">
        <f ca="1">IFERROR(__xludf.DUMMYFUNCTION("""COMPUTED_VALUE"""),"Erratum Journals List:Publishing model changes from Subscription to Fully Open Access as of 2022. Chinese Library of Science.")</f>
        <v>Erratum Journals List:Publishing model changes from Subscription to Fully Open Access as of 2022. Chinese Library of Science.</v>
      </c>
      <c r="J11" s="28"/>
    </row>
    <row r="12" spans="1:10" ht="12.75" customHeight="1" x14ac:dyDescent="0.25">
      <c r="A12" s="1"/>
      <c r="B12" s="1" t="str">
        <f ca="1">IFERROR(__xludf.DUMMYFUNCTION("""COMPUTED_VALUE"""),"対象外タイトル")</f>
        <v>対象外タイトル</v>
      </c>
      <c r="C12" s="1">
        <f ca="1">IFERROR(__xludf.DUMMYFUNCTION("""COMPUTED_VALUE"""),2022)</f>
        <v>2022</v>
      </c>
      <c r="D12" s="1">
        <f ca="1">IFERROR(__xludf.DUMMYFUNCTION("""COMPUTED_VALUE"""),13740)</f>
        <v>13740</v>
      </c>
      <c r="E12" s="1" t="str">
        <f ca="1">IFERROR(__xludf.DUMMYFUNCTION("""COMPUTED_VALUE"""),"Journal on Data Semantics")</f>
        <v>Journal on Data Semantics</v>
      </c>
      <c r="F12" s="1" t="str">
        <f ca="1">IFERROR(__xludf.DUMMYFUNCTION("""COMPUTED_VALUE"""),"1861-2040")</f>
        <v>1861-2040</v>
      </c>
      <c r="G12" s="1" t="str">
        <f ca="1">IFERROR(__xludf.DUMMYFUNCTION("""COMPUTED_VALUE"""),"Springer")</f>
        <v>Springer</v>
      </c>
      <c r="H12" s="1" t="str">
        <f ca="1">IFERROR(__xludf.DUMMYFUNCTION("""COMPUTED_VALUE"""),"Computer Science")</f>
        <v>Computer Science</v>
      </c>
      <c r="I12" s="1" t="str">
        <f ca="1">IFERROR(__xludf.DUMMYFUNCTION("""COMPUTED_VALUE"""),"Ceases publication after completion of Volume 10 (2021). ")</f>
        <v xml:space="preserve">Ceases publication after completion of Volume 10 (2021). </v>
      </c>
      <c r="J12" s="28"/>
    </row>
    <row r="13" spans="1:10" ht="12.75" customHeight="1" x14ac:dyDescent="0.25">
      <c r="A13" s="1"/>
      <c r="B13" s="1" t="str">
        <f ca="1">IFERROR(__xludf.DUMMYFUNCTION("""COMPUTED_VALUE"""),"対象外タイトル")</f>
        <v>対象外タイトル</v>
      </c>
      <c r="C13" s="1">
        <f ca="1">IFERROR(__xludf.DUMMYFUNCTION("""COMPUTED_VALUE"""),2022)</f>
        <v>2022</v>
      </c>
      <c r="D13" s="1">
        <f ca="1">IFERROR(__xludf.DUMMYFUNCTION("""COMPUTED_VALUE"""),10590)</f>
        <v>10590</v>
      </c>
      <c r="E13" s="1" t="str">
        <f ca="1">IFERROR(__xludf.DUMMYFUNCTION("""COMPUTED_VALUE"""),"Machine Translation")</f>
        <v>Machine Translation</v>
      </c>
      <c r="F13" s="1" t="str">
        <f ca="1">IFERROR(__xludf.DUMMYFUNCTION("""COMPUTED_VALUE"""),"1573-0573")</f>
        <v>1573-0573</v>
      </c>
      <c r="G13" s="1" t="str">
        <f ca="1">IFERROR(__xludf.DUMMYFUNCTION("""COMPUTED_VALUE"""),"Springer")</f>
        <v>Springer</v>
      </c>
      <c r="H13" s="1" t="str">
        <f ca="1">IFERROR(__xludf.DUMMYFUNCTION("""COMPUTED_VALUE"""),"Computer Science")</f>
        <v>Computer Science</v>
      </c>
      <c r="I13" s="1" t="str">
        <f ca="1">IFERROR(__xludf.DUMMYFUNCTION("""COMPUTED_VALUE"""),"Merged into ""Language Resources and Evaluation"" (10579) after 2021. ")</f>
        <v xml:space="preserve">Merged into "Language Resources and Evaluation" (10579) after 2021. </v>
      </c>
      <c r="J13" s="28"/>
    </row>
    <row r="14" spans="1:10" ht="12.75" customHeight="1" x14ac:dyDescent="0.25">
      <c r="A14" s="1"/>
      <c r="B14" s="1" t="str">
        <f ca="1">IFERROR(__xludf.DUMMYFUNCTION("""COMPUTED_VALUE"""),"対象外タイトル")</f>
        <v>対象外タイトル</v>
      </c>
      <c r="C14" s="1">
        <f ca="1">IFERROR(__xludf.DUMMYFUNCTION("""COMPUTED_VALUE"""),2022)</f>
        <v>2022</v>
      </c>
      <c r="D14" s="1">
        <f ca="1">IFERROR(__xludf.DUMMYFUNCTION("""COMPUTED_VALUE"""),11066)</f>
        <v>11066</v>
      </c>
      <c r="E14" s="1" t="str">
        <f ca="1">IFERROR(__xludf.DUMMYFUNCTION("""COMPUTED_VALUE"""),"NETNOMICS: Economic Research and Electronic Networking")</f>
        <v>NETNOMICS: Economic Research and Electronic Networking</v>
      </c>
      <c r="F14" s="1" t="str">
        <f ca="1">IFERROR(__xludf.DUMMYFUNCTION("""COMPUTED_VALUE"""),"1573-7071")</f>
        <v>1573-7071</v>
      </c>
      <c r="G14" s="1" t="str">
        <f ca="1">IFERROR(__xludf.DUMMYFUNCTION("""COMPUTED_VALUE"""),"Springer")</f>
        <v>Springer</v>
      </c>
      <c r="H14" s="1" t="str">
        <f ca="1">IFERROR(__xludf.DUMMYFUNCTION("""COMPUTED_VALUE"""),"Economics and Finance")</f>
        <v>Economics and Finance</v>
      </c>
      <c r="I14" s="1" t="str">
        <f ca="1">IFERROR(__xludf.DUMMYFUNCTION("""COMPUTED_VALUE"""),"Ceases publication after completion of Volume 22 (2021). ")</f>
        <v xml:space="preserve">Ceases publication after completion of Volume 22 (2021). </v>
      </c>
      <c r="J14" s="28"/>
    </row>
    <row r="15" spans="1:10" ht="12.75" customHeight="1" x14ac:dyDescent="0.25">
      <c r="A15" s="1"/>
      <c r="B15" s="1" t="str">
        <f ca="1">IFERROR(__xludf.DUMMYFUNCTION("""COMPUTED_VALUE"""),"対象外タイトル")</f>
        <v>対象外タイトル</v>
      </c>
      <c r="C15" s="1">
        <f ca="1">IFERROR(__xludf.DUMMYFUNCTION("""COMPUTED_VALUE"""),2022)</f>
        <v>2022</v>
      </c>
      <c r="D15" s="1">
        <f ca="1">IFERROR(__xludf.DUMMYFUNCTION("""COMPUTED_VALUE"""),450)</f>
        <v>450</v>
      </c>
      <c r="E15" s="1" t="str">
        <f ca="1">IFERROR(__xludf.DUMMYFUNCTION("""COMPUTED_VALUE"""),"SICS Software-Intensive Cyber-Physical Systems")</f>
        <v>SICS Software-Intensive Cyber-Physical Systems</v>
      </c>
      <c r="F15" s="1" t="str">
        <f ca="1">IFERROR(__xludf.DUMMYFUNCTION("""COMPUTED_VALUE"""),"2524-8529")</f>
        <v>2524-8529</v>
      </c>
      <c r="G15" s="1" t="str">
        <f ca="1">IFERROR(__xludf.DUMMYFUNCTION("""COMPUTED_VALUE"""),"Springer")</f>
        <v>Springer</v>
      </c>
      <c r="H15" s="1" t="str">
        <f ca="1">IFERROR(__xludf.DUMMYFUNCTION("""COMPUTED_VALUE"""),"Computer Science")</f>
        <v>Computer Science</v>
      </c>
      <c r="I15" s="1" t="str">
        <f ca="1">IFERROR(__xludf.DUMMYFUNCTION("""COMPUTED_VALUE"""),"Ceases publication after completion of Volume 36 (2021). ")</f>
        <v xml:space="preserve">Ceases publication after completion of Volume 36 (2021). </v>
      </c>
      <c r="J15" s="28"/>
    </row>
    <row r="16" spans="1:10" ht="12.75" customHeight="1" x14ac:dyDescent="0.25">
      <c r="A16" s="1"/>
      <c r="B16" s="1" t="str">
        <f ca="1">IFERROR(__xludf.DUMMYFUNCTION("""COMPUTED_VALUE"""),"対象外タイトル")</f>
        <v>対象外タイトル</v>
      </c>
      <c r="C16" s="1">
        <f ca="1">IFERROR(__xludf.DUMMYFUNCTION("""COMPUTED_VALUE"""),2022)</f>
        <v>2022</v>
      </c>
      <c r="D16" s="1">
        <f ca="1">IFERROR(__xludf.DUMMYFUNCTION("""COMPUTED_VALUE"""),40869)</f>
        <v>40869</v>
      </c>
      <c r="E16" s="1" t="str">
        <f ca="1">IFERROR(__xludf.DUMMYFUNCTION("""COMPUTED_VALUE"""),"The Computer Games Journal")</f>
        <v>The Computer Games Journal</v>
      </c>
      <c r="F16" s="1" t="str">
        <f ca="1">IFERROR(__xludf.DUMMYFUNCTION("""COMPUTED_VALUE"""),"2052-773X")</f>
        <v>2052-773X</v>
      </c>
      <c r="G16" s="1" t="str">
        <f ca="1">IFERROR(__xludf.DUMMYFUNCTION("""COMPUTED_VALUE"""),"Springer")</f>
        <v>Springer</v>
      </c>
      <c r="H16" s="1" t="str">
        <f ca="1">IFERROR(__xludf.DUMMYFUNCTION("""COMPUTED_VALUE"""),"Computer Science")</f>
        <v>Computer Science</v>
      </c>
      <c r="I16" s="1" t="str">
        <f ca="1">IFERROR(__xludf.DUMMYFUNCTION("""COMPUTED_VALUE"""),"Ceases publication after completion of Volume 10 (2021). ")</f>
        <v xml:space="preserve">Ceases publication after completion of Volume 10 (2021). </v>
      </c>
      <c r="J16" s="28"/>
    </row>
    <row r="17" spans="1:10" ht="12.75" customHeight="1" x14ac:dyDescent="0.25">
      <c r="A17" s="1"/>
      <c r="B17" s="1" t="str">
        <f ca="1">IFERROR(__xludf.DUMMYFUNCTION("""COMPUTED_VALUE"""),"対象外タイトル")</f>
        <v>対象外タイトル</v>
      </c>
      <c r="C17" s="1">
        <f ca="1">IFERROR(__xludf.DUMMYFUNCTION("""COMPUTED_VALUE"""),2022)</f>
        <v>2022</v>
      </c>
      <c r="D17" s="1">
        <f ca="1">IFERROR(__xludf.DUMMYFUNCTION("""COMPUTED_VALUE"""),12250)</f>
        <v>12250</v>
      </c>
      <c r="E17" s="1" t="str">
        <f ca="1">IFERROR(__xludf.DUMMYFUNCTION("""COMPUTED_VALUE"""),"Virologica Sinica")</f>
        <v>Virologica Sinica</v>
      </c>
      <c r="F17" s="1" t="str">
        <f ca="1">IFERROR(__xludf.DUMMYFUNCTION("""COMPUTED_VALUE"""),"1995-820X")</f>
        <v>1995-820X</v>
      </c>
      <c r="G17" s="1" t="str">
        <f ca="1">IFERROR(__xludf.DUMMYFUNCTION("""COMPUTED_VALUE"""),"Springer")</f>
        <v>Springer</v>
      </c>
      <c r="H17" s="1" t="str">
        <f ca="1">IFERROR(__xludf.DUMMYFUNCTION("""COMPUTED_VALUE"""),"Biomedical and Life Sciences")</f>
        <v>Biomedical and Life Sciences</v>
      </c>
      <c r="I17" s="1" t="str">
        <f ca="1">IFERROR(__xludf.DUMMYFUNCTION("""COMPUTED_VALUE"""),"Erratum Journals List: No longer published/distributed by Springer Nature. Chinese Library of Science.")</f>
        <v>Erratum Journals List: No longer published/distributed by Springer Nature. Chinese Library of Science.</v>
      </c>
      <c r="J17" s="28" t="str">
        <f ca="1">IFERROR(__xludf.DUMMYFUNCTION("""COMPUTED_VALUE"""),"Chinese Library of Science. Exclusive distribution rights for print version outside Mainland China, for electronic version worldwide.")</f>
        <v>Chinese Library of Science. Exclusive distribution rights for print version outside Mainland China, for electronic version worldwide.</v>
      </c>
    </row>
    <row r="18" spans="1:10" ht="12.75" customHeight="1" x14ac:dyDescent="0.25">
      <c r="A18" s="1"/>
      <c r="B18" s="1" t="str">
        <f ca="1">IFERROR(__xludf.DUMMYFUNCTION("""COMPUTED_VALUE"""),"対象外タイトル")</f>
        <v>対象外タイトル</v>
      </c>
      <c r="C18" s="1">
        <f ca="1">IFERROR(__xludf.DUMMYFUNCTION("""COMPUTED_VALUE"""),2023)</f>
        <v>2023</v>
      </c>
      <c r="D18" s="1">
        <f ca="1">IFERROR(__xludf.DUMMYFUNCTION("""COMPUTED_VALUE"""),40520)</f>
        <v>40520</v>
      </c>
      <c r="E18" s="1" t="str">
        <f ca="1">IFERROR(__xludf.DUMMYFUNCTION("""COMPUTED_VALUE"""),"Aging Clinical and Experimental Research")</f>
        <v>Aging Clinical and Experimental Research</v>
      </c>
      <c r="F18" s="1" t="str">
        <f ca="1">IFERROR(__xludf.DUMMYFUNCTION("""COMPUTED_VALUE"""),"1720-8319")</f>
        <v>1720-8319</v>
      </c>
      <c r="G18" s="1" t="str">
        <f ca="1">IFERROR(__xludf.DUMMYFUNCTION("""COMPUTED_VALUE"""),"Springer")</f>
        <v>Springer</v>
      </c>
      <c r="H18" s="1" t="str">
        <f ca="1">IFERROR(__xludf.DUMMYFUNCTION("""COMPUTED_VALUE"""),"Medicine")</f>
        <v>Medicine</v>
      </c>
      <c r="I18" s="1" t="str">
        <f ca="1">IFERROR(__xludf.DUMMYFUNCTION("""COMPUTED_VALUE"""),"Publishing Model changing from Hybrid (Open Choice) to Fully Open Access as of 2023.")</f>
        <v>Publishing Model changing from Hybrid (Open Choice) to Fully Open Access as of 2023.</v>
      </c>
      <c r="J18" s="28"/>
    </row>
    <row r="19" spans="1:10" ht="12.75" customHeight="1" x14ac:dyDescent="0.25">
      <c r="A19" s="1"/>
      <c r="B19" s="1" t="str">
        <f ca="1">IFERROR(__xludf.DUMMYFUNCTION("""COMPUTED_VALUE"""),"対象外タイトル")</f>
        <v>対象外タイトル</v>
      </c>
      <c r="C19" s="1">
        <f ca="1">IFERROR(__xludf.DUMMYFUNCTION("""COMPUTED_VALUE"""),2023)</f>
        <v>2023</v>
      </c>
      <c r="D19" s="1">
        <f ca="1">IFERROR(__xludf.DUMMYFUNCTION("""COMPUTED_VALUE"""),5)</f>
        <v>5</v>
      </c>
      <c r="E19" s="1" t="str">
        <f ca="1">IFERROR(__xludf.DUMMYFUNCTION("""COMPUTED_VALUE"""),"Archivum Immunologiae et Therapiae Experimentalis")</f>
        <v>Archivum Immunologiae et Therapiae Experimentalis</v>
      </c>
      <c r="F19" s="1" t="str">
        <f ca="1">IFERROR(__xludf.DUMMYFUNCTION("""COMPUTED_VALUE"""),"1661-4917")</f>
        <v>1661-4917</v>
      </c>
      <c r="G19" s="1" t="str">
        <f ca="1">IFERROR(__xludf.DUMMYFUNCTION("""COMPUTED_VALUE"""),"Springer")</f>
        <v>Springer</v>
      </c>
      <c r="H19" s="1" t="str">
        <f ca="1">IFERROR(__xludf.DUMMYFUNCTION("""COMPUTED_VALUE"""),"Biomedical and Life Sciences")</f>
        <v>Biomedical and Life Sciences</v>
      </c>
      <c r="I19" s="1" t="str">
        <f ca="1">IFERROR(__xludf.DUMMYFUNCTION("""COMPUTED_VALUE"""),"Publishing Model changing from Hybrid (Open Choice) to Fully Open Access as of 2023.")</f>
        <v>Publishing Model changing from Hybrid (Open Choice) to Fully Open Access as of 2023.</v>
      </c>
      <c r="J19" s="28"/>
    </row>
    <row r="20" spans="1:10" ht="12.75" customHeight="1" x14ac:dyDescent="0.25">
      <c r="A20" s="1"/>
      <c r="B20" s="1" t="str">
        <f ca="1">IFERROR(__xludf.DUMMYFUNCTION("""COMPUTED_VALUE"""),"対象外タイトル")</f>
        <v>対象外タイトル</v>
      </c>
      <c r="C20" s="1">
        <f ca="1">IFERROR(__xludf.DUMMYFUNCTION("""COMPUTED_VALUE"""),2023)</f>
        <v>2023</v>
      </c>
      <c r="D20" s="1">
        <f ca="1">IFERROR(__xludf.DUMMYFUNCTION("""COMPUTED_VALUE"""),41321)</f>
        <v>41321</v>
      </c>
      <c r="E20" s="1" t="str">
        <f ca="1">IFERROR(__xludf.DUMMYFUNCTION("""COMPUTED_VALUE"""),"ATZheavy duty worldwide")</f>
        <v>ATZheavy duty worldwide</v>
      </c>
      <c r="F20" s="1" t="str">
        <f ca="1">IFERROR(__xludf.DUMMYFUNCTION("""COMPUTED_VALUE"""),"2524-8774")</f>
        <v>2524-8774</v>
      </c>
      <c r="G20" s="1" t="str">
        <f ca="1">IFERROR(__xludf.DUMMYFUNCTION("""COMPUTED_VALUE"""),"Springer Vieweg")</f>
        <v>Springer Vieweg</v>
      </c>
      <c r="H20" s="1" t="str">
        <f ca="1">IFERROR(__xludf.DUMMYFUNCTION("""COMPUTED_VALUE"""),"Engineering")</f>
        <v>Engineering</v>
      </c>
      <c r="I20" s="1" t="str">
        <f ca="1">IFERROR(__xludf.DUMMYFUNCTION("""COMPUTED_VALUE"""),"Order through Customer Service Springer Fachmedien..")</f>
        <v>Order through Customer Service Springer Fachmedien..</v>
      </c>
      <c r="J20" s="28"/>
    </row>
    <row r="21" spans="1:10" ht="12.75" customHeight="1" x14ac:dyDescent="0.25">
      <c r="A21" s="1"/>
      <c r="B21" s="1" t="str">
        <f ca="1">IFERROR(__xludf.DUMMYFUNCTION("""COMPUTED_VALUE"""),"対象外タイトル")</f>
        <v>対象外タイトル</v>
      </c>
      <c r="C21" s="1">
        <f ca="1">IFERROR(__xludf.DUMMYFUNCTION("""COMPUTED_VALUE"""),2023)</f>
        <v>2023</v>
      </c>
      <c r="D21" s="1">
        <f ca="1">IFERROR(__xludf.DUMMYFUNCTION("""COMPUTED_VALUE"""),41887)</f>
        <v>41887</v>
      </c>
      <c r="E21" s="1" t="str">
        <f ca="1">IFERROR(__xludf.DUMMYFUNCTION("""COMPUTED_VALUE"""),"Cambridge Journal of Evidence-Based Policing")</f>
        <v>Cambridge Journal of Evidence-Based Policing</v>
      </c>
      <c r="F21" s="1" t="str">
        <f ca="1">IFERROR(__xludf.DUMMYFUNCTION("""COMPUTED_VALUE"""),"2520-1336")</f>
        <v>2520-1336</v>
      </c>
      <c r="G21" s="1" t="str">
        <f ca="1">IFERROR(__xludf.DUMMYFUNCTION("""COMPUTED_VALUE"""),"Springer")</f>
        <v>Springer</v>
      </c>
      <c r="H21" s="1" t="str">
        <f ca="1">IFERROR(__xludf.DUMMYFUNCTION("""COMPUTED_VALUE"""),"Law and Criminology")</f>
        <v>Law and Criminology</v>
      </c>
      <c r="I21" s="1" t="str">
        <f ca="1">IFERROR(__xludf.DUMMYFUNCTION("""COMPUTED_VALUE"""),"Publishing Model changing from Hybrid (Open Choice) to Fully Open Access as of 2023.")</f>
        <v>Publishing Model changing from Hybrid (Open Choice) to Fully Open Access as of 2023.</v>
      </c>
      <c r="J21" s="28"/>
    </row>
    <row r="22" spans="1:10" ht="12.75" customHeight="1" x14ac:dyDescent="0.25">
      <c r="A22" s="1"/>
      <c r="B22" s="1" t="str">
        <f ca="1">IFERROR(__xludf.DUMMYFUNCTION("""COMPUTED_VALUE"""),"対象外タイトル")</f>
        <v>対象外タイトル</v>
      </c>
      <c r="C22" s="1">
        <f ca="1">IFERROR(__xludf.DUMMYFUNCTION("""COMPUTED_VALUE"""),2023)</f>
        <v>2023</v>
      </c>
      <c r="D22" s="1">
        <f ca="1">IFERROR(__xludf.DUMMYFUNCTION("""COMPUTED_VALUE"""),41781)</f>
        <v>41781</v>
      </c>
      <c r="E22" s="1" t="str">
        <f ca="1">IFERROR(__xludf.DUMMYFUNCTION("""COMPUTED_VALUE"""),"Computing and Software for Big Science")</f>
        <v>Computing and Software for Big Science</v>
      </c>
      <c r="F22" s="1" t="str">
        <f ca="1">IFERROR(__xludf.DUMMYFUNCTION("""COMPUTED_VALUE"""),"2510-2044")</f>
        <v>2510-2044</v>
      </c>
      <c r="G22" s="1" t="str">
        <f ca="1">IFERROR(__xludf.DUMMYFUNCTION("""COMPUTED_VALUE"""),"Springer")</f>
        <v>Springer</v>
      </c>
      <c r="H22" s="1" t="str">
        <f ca="1">IFERROR(__xludf.DUMMYFUNCTION("""COMPUTED_VALUE"""),"Physics and Astronomy")</f>
        <v>Physics and Astronomy</v>
      </c>
      <c r="I22" s="1" t="str">
        <f ca="1">IFERROR(__xludf.DUMMYFUNCTION("""COMPUTED_VALUE"""),"Publishing Model changing from Hybrid (Open Choice) to Fully Open Access as of 2023.")</f>
        <v>Publishing Model changing from Hybrid (Open Choice) to Fully Open Access as of 2023.</v>
      </c>
      <c r="J22" s="28"/>
    </row>
    <row r="23" spans="1:10" ht="12.75" customHeight="1" x14ac:dyDescent="0.25">
      <c r="A23" s="1"/>
      <c r="B23" s="1" t="str">
        <f ca="1">IFERROR(__xludf.DUMMYFUNCTION("""COMPUTED_VALUE"""),"対象外タイトル")</f>
        <v>対象外タイトル</v>
      </c>
      <c r="C23" s="1">
        <f ca="1">IFERROR(__xludf.DUMMYFUNCTION("""COMPUTED_VALUE"""),2023)</f>
        <v>2023</v>
      </c>
      <c r="D23" s="1">
        <f ca="1">IFERROR(__xludf.DUMMYFUNCTION("""COMPUTED_VALUE"""),40167)</f>
        <v>40167</v>
      </c>
      <c r="E23" s="1" t="str">
        <f ca="1">IFERROR(__xludf.DUMMYFUNCTION("""COMPUTED_VALUE"""),"Culture and Brain")</f>
        <v>Culture and Brain</v>
      </c>
      <c r="F23" s="1" t="str">
        <f ca="1">IFERROR(__xludf.DUMMYFUNCTION("""COMPUTED_VALUE"""),"2193-8660")</f>
        <v>2193-8660</v>
      </c>
      <c r="G23" s="1" t="str">
        <f ca="1">IFERROR(__xludf.DUMMYFUNCTION("""COMPUTED_VALUE"""),"Springer")</f>
        <v>Springer</v>
      </c>
      <c r="H23" s="1" t="str">
        <f ca="1">IFERROR(__xludf.DUMMYFUNCTION("""COMPUTED_VALUE"""),"Behavioral Science and Psychology")</f>
        <v>Behavioral Science and Psychology</v>
      </c>
      <c r="I23" s="1" t="str">
        <f ca="1">IFERROR(__xludf.DUMMYFUNCTION("""COMPUTED_VALUE"""),"Ceases publication upon completion of Volume 10 (2022).")</f>
        <v>Ceases publication upon completion of Volume 10 (2022).</v>
      </c>
      <c r="J23" s="28"/>
    </row>
    <row r="24" spans="1:10" ht="12.75" customHeight="1" x14ac:dyDescent="0.25">
      <c r="A24" s="1"/>
      <c r="B24" s="1" t="str">
        <f ca="1">IFERROR(__xludf.DUMMYFUNCTION("""COMPUTED_VALUE"""),"対象外タイトル")</f>
        <v>対象外タイトル</v>
      </c>
      <c r="C24" s="1">
        <f ca="1">IFERROR(__xludf.DUMMYFUNCTION("""COMPUTED_VALUE"""),2023)</f>
        <v>2023</v>
      </c>
      <c r="D24" s="1">
        <f ca="1">IFERROR(__xludf.DUMMYFUNCTION("""COMPUTED_VALUE"""),43555)</f>
        <v>43555</v>
      </c>
      <c r="E24" s="1" t="str">
        <f ca="1">IFERROR(__xludf.DUMMYFUNCTION("""COMPUTED_VALUE"""),"Current Food Science and Technology Reports")</f>
        <v>Current Food Science and Technology Reports</v>
      </c>
      <c r="F24" s="1" t="str">
        <f ca="1">IFERROR(__xludf.DUMMYFUNCTION("""COMPUTED_VALUE"""),"2662-8473")</f>
        <v>2662-8473</v>
      </c>
      <c r="G24" s="1" t="str">
        <f ca="1">IFERROR(__xludf.DUMMYFUNCTION("""COMPUTED_VALUE"""),"Springer")</f>
        <v>Springer</v>
      </c>
      <c r="H24" s="1" t="str">
        <f ca="1">IFERROR(__xludf.DUMMYFUNCTION("""COMPUTED_VALUE"""),"Biomedical and Life Sciences")</f>
        <v>Biomedical and Life Sciences</v>
      </c>
      <c r="I24" s="1"/>
      <c r="J24" s="28"/>
    </row>
    <row r="25" spans="1:10" ht="12.75" customHeight="1" x14ac:dyDescent="0.25">
      <c r="A25" s="1"/>
      <c r="B25" s="1" t="str">
        <f ca="1">IFERROR(__xludf.DUMMYFUNCTION("""COMPUTED_VALUE"""),"対象外タイトル")</f>
        <v>対象外タイトル</v>
      </c>
      <c r="C25" s="1">
        <f ca="1">IFERROR(__xludf.DUMMYFUNCTION("""COMPUTED_VALUE"""),2023)</f>
        <v>2023</v>
      </c>
      <c r="D25" s="1">
        <f ca="1">IFERROR(__xludf.DUMMYFUNCTION("""COMPUTED_VALUE"""),43561)</f>
        <v>43561</v>
      </c>
      <c r="E25" s="1" t="str">
        <f ca="1">IFERROR(__xludf.DUMMYFUNCTION("""COMPUTED_VALUE"""),"Current Microscopy Reports")</f>
        <v>Current Microscopy Reports</v>
      </c>
      <c r="F25" s="1" t="str">
        <f ca="1">IFERROR(__xludf.DUMMYFUNCTION("""COMPUTED_VALUE"""),"2662-9747")</f>
        <v>2662-9747</v>
      </c>
      <c r="G25" s="1" t="str">
        <f ca="1">IFERROR(__xludf.DUMMYFUNCTION("""COMPUTED_VALUE"""),"Springer")</f>
        <v>Springer</v>
      </c>
      <c r="H25" s="1" t="str">
        <f ca="1">IFERROR(__xludf.DUMMYFUNCTION("""COMPUTED_VALUE"""),"Biomedical and Life Sciences")</f>
        <v>Biomedical and Life Sciences</v>
      </c>
      <c r="I25" s="1"/>
      <c r="J25" s="28"/>
    </row>
    <row r="26" spans="1:10" ht="12.75" customHeight="1" x14ac:dyDescent="0.25">
      <c r="A26" s="1"/>
      <c r="B26" s="1" t="str">
        <f ca="1">IFERROR(__xludf.DUMMYFUNCTION("""COMPUTED_VALUE"""),"対象外タイトル")</f>
        <v>対象外タイトル</v>
      </c>
      <c r="C26" s="1">
        <f ca="1">IFERROR(__xludf.DUMMYFUNCTION("""COMPUTED_VALUE"""),2023)</f>
        <v>2023</v>
      </c>
      <c r="D26" s="1">
        <f ca="1">IFERROR(__xludf.DUMMYFUNCTION("""COMPUTED_VALUE"""),40519)</f>
        <v>40519</v>
      </c>
      <c r="E26" s="1" t="str">
        <f ca="1">IFERROR(__xludf.DUMMYFUNCTION("""COMPUTED_VALUE"""),"Eating and Weight Disorders - Studies on Anorexia, Bulimia and Obesity")</f>
        <v>Eating and Weight Disorders - Studies on Anorexia, Bulimia and Obesity</v>
      </c>
      <c r="F26" s="1" t="str">
        <f ca="1">IFERROR(__xludf.DUMMYFUNCTION("""COMPUTED_VALUE"""),"1590-1262")</f>
        <v>1590-1262</v>
      </c>
      <c r="G26" s="1" t="str">
        <f ca="1">IFERROR(__xludf.DUMMYFUNCTION("""COMPUTED_VALUE"""),"Springer")</f>
        <v>Springer</v>
      </c>
      <c r="H26" s="1" t="str">
        <f ca="1">IFERROR(__xludf.DUMMYFUNCTION("""COMPUTED_VALUE"""),"Medicine")</f>
        <v>Medicine</v>
      </c>
      <c r="I26" s="1" t="str">
        <f ca="1">IFERROR(__xludf.DUMMYFUNCTION("""COMPUTED_VALUE"""),"Publishing Model changing from Hybrid (Open Choice) to Fully Open Access as of 2023.")</f>
        <v>Publishing Model changing from Hybrid (Open Choice) to Fully Open Access as of 2023.</v>
      </c>
      <c r="J26" s="28"/>
    </row>
    <row r="27" spans="1:10" ht="12.75" customHeight="1" x14ac:dyDescent="0.25">
      <c r="A27" s="1"/>
      <c r="B27" s="1" t="str">
        <f ca="1">IFERROR(__xludf.DUMMYFUNCTION("""COMPUTED_VALUE"""),"対象外タイトル")</f>
        <v>対象外タイトル</v>
      </c>
      <c r="C27" s="1">
        <f ca="1">IFERROR(__xludf.DUMMYFUNCTION("""COMPUTED_VALUE"""),2023)</f>
        <v>2023</v>
      </c>
      <c r="D27" s="1">
        <f ca="1">IFERROR(__xludf.DUMMYFUNCTION("""COMPUTED_VALUE"""),10433)</f>
        <v>10433</v>
      </c>
      <c r="E27" s="1" t="str">
        <f ca="1">IFERROR(__xludf.DUMMYFUNCTION("""COMPUTED_VALUE"""),"European Journal of Ageing")</f>
        <v>European Journal of Ageing</v>
      </c>
      <c r="F27" s="1" t="str">
        <f ca="1">IFERROR(__xludf.DUMMYFUNCTION("""COMPUTED_VALUE"""),"1613-9380")</f>
        <v>1613-9380</v>
      </c>
      <c r="G27" s="1" t="str">
        <f ca="1">IFERROR(__xludf.DUMMYFUNCTION("""COMPUTED_VALUE"""),"Springer")</f>
        <v>Springer</v>
      </c>
      <c r="H27" s="1" t="str">
        <f ca="1">IFERROR(__xludf.DUMMYFUNCTION("""COMPUTED_VALUE"""),"Social Sciences")</f>
        <v>Social Sciences</v>
      </c>
      <c r="I27" s="1" t="str">
        <f ca="1">IFERROR(__xludf.DUMMYFUNCTION("""COMPUTED_VALUE"""),"Publishing Model changing from Hybrid (Open Choice) to Fully Open Access as of 2023.")</f>
        <v>Publishing Model changing from Hybrid (Open Choice) to Fully Open Access as of 2023.</v>
      </c>
      <c r="J27" s="28"/>
    </row>
    <row r="28" spans="1:10" ht="12.75" customHeight="1" x14ac:dyDescent="0.25">
      <c r="A28" s="1"/>
      <c r="B28" s="1" t="str">
        <f ca="1">IFERROR(__xludf.DUMMYFUNCTION("""COMPUTED_VALUE"""),"対象外タイトル")</f>
        <v>対象外タイトル</v>
      </c>
      <c r="C28" s="1">
        <f ca="1">IFERROR(__xludf.DUMMYFUNCTION("""COMPUTED_VALUE"""),2023)</f>
        <v>2023</v>
      </c>
      <c r="D28" s="1">
        <f ca="1">IFERROR(__xludf.DUMMYFUNCTION("""COMPUTED_VALUE"""),10680)</f>
        <v>10680</v>
      </c>
      <c r="E28" s="1" t="str">
        <f ca="1">IFERROR(__xludf.DUMMYFUNCTION("""COMPUTED_VALUE"""),"European Journal of Population")</f>
        <v>European Journal of Population</v>
      </c>
      <c r="F28" s="1" t="str">
        <f ca="1">IFERROR(__xludf.DUMMYFUNCTION("""COMPUTED_VALUE"""),"1572-9885")</f>
        <v>1572-9885</v>
      </c>
      <c r="G28" s="1" t="str">
        <f ca="1">IFERROR(__xludf.DUMMYFUNCTION("""COMPUTED_VALUE"""),"Springer")</f>
        <v>Springer</v>
      </c>
      <c r="H28" s="1" t="str">
        <f ca="1">IFERROR(__xludf.DUMMYFUNCTION("""COMPUTED_VALUE"""),"Social Sciences")</f>
        <v>Social Sciences</v>
      </c>
      <c r="I28" s="1" t="str">
        <f ca="1">IFERROR(__xludf.DUMMYFUNCTION("""COMPUTED_VALUE"""),"Publishing Model changing from Hybrid (Open Choice) to Fully Open Access as of 2023.")</f>
        <v>Publishing Model changing from Hybrid (Open Choice) to Fully Open Access as of 2023.</v>
      </c>
      <c r="J28" s="28"/>
    </row>
    <row r="29" spans="1:10" ht="12.75" customHeight="1" x14ac:dyDescent="0.25">
      <c r="A29" s="1"/>
      <c r="B29" s="1" t="str">
        <f ca="1">IFERROR(__xludf.DUMMYFUNCTION("""COMPUTED_VALUE"""),"対象外タイトル")</f>
        <v>対象外タイトル</v>
      </c>
      <c r="C29" s="1">
        <f ca="1">IFERROR(__xludf.DUMMYFUNCTION("""COMPUTED_VALUE"""),2023)</f>
        <v>2023</v>
      </c>
      <c r="D29" s="1">
        <f ca="1">IFERROR(__xludf.DUMMYFUNCTION("""COMPUTED_VALUE"""),40948)</f>
        <v>40948</v>
      </c>
      <c r="E29" s="1" t="str">
        <f ca="1">IFERROR(__xludf.DUMMYFUNCTION("""COMPUTED_VALUE"""),"Geomechanics and Geophysics for Geo-Energy and Geo-Resources")</f>
        <v>Geomechanics and Geophysics for Geo-Energy and Geo-Resources</v>
      </c>
      <c r="F29" s="1" t="str">
        <f ca="1">IFERROR(__xludf.DUMMYFUNCTION("""COMPUTED_VALUE"""),"2363-8427")</f>
        <v>2363-8427</v>
      </c>
      <c r="G29" s="1" t="str">
        <f ca="1">IFERROR(__xludf.DUMMYFUNCTION("""COMPUTED_VALUE"""),"Springer")</f>
        <v>Springer</v>
      </c>
      <c r="H29" s="1" t="str">
        <f ca="1">IFERROR(__xludf.DUMMYFUNCTION("""COMPUTED_VALUE"""),"Engineering")</f>
        <v>Engineering</v>
      </c>
      <c r="I29" s="1" t="str">
        <f ca="1">IFERROR(__xludf.DUMMYFUNCTION("""COMPUTED_VALUE"""),"Publishing Model changing from Hybrid (Open Choice) to Fully Open Access as of 2023.")</f>
        <v>Publishing Model changing from Hybrid (Open Choice) to Fully Open Access as of 2023.</v>
      </c>
      <c r="J29" s="28"/>
    </row>
    <row r="30" spans="1:10" ht="12.75" customHeight="1" x14ac:dyDescent="0.25">
      <c r="A30" s="1"/>
      <c r="B30" s="1" t="str">
        <f ca="1">IFERROR(__xludf.DUMMYFUNCTION("""COMPUTED_VALUE"""),"対象外タイトル")</f>
        <v>対象外タイトル</v>
      </c>
      <c r="C30" s="1">
        <f ca="1">IFERROR(__xludf.DUMMYFUNCTION("""COMPUTED_VALUE"""),2023)</f>
        <v>2023</v>
      </c>
      <c r="D30" s="1">
        <f ca="1">IFERROR(__xludf.DUMMYFUNCTION("""COMPUTED_VALUE"""),42090)</f>
        <v>42090</v>
      </c>
      <c r="E30" s="1" t="str">
        <f ca="1">IFERROR(__xludf.DUMMYFUNCTION("""COMPUTED_VALUE"""),"Geriatrie-Report")</f>
        <v>Geriatrie-Report</v>
      </c>
      <c r="F30" s="1" t="str">
        <f ca="1">IFERROR(__xludf.DUMMYFUNCTION("""COMPUTED_VALUE"""),"2520-8950")</f>
        <v>2520-8950</v>
      </c>
      <c r="G30" s="1" t="str">
        <f ca="1">IFERROR(__xludf.DUMMYFUNCTION("""COMPUTED_VALUE"""),"SpringerMedizin")</f>
        <v>SpringerMedizin</v>
      </c>
      <c r="H30" s="1" t="str">
        <f ca="1">IFERROR(__xludf.DUMMYFUNCTION("""COMPUTED_VALUE"""),"Medicine")</f>
        <v>Medicine</v>
      </c>
      <c r="I30" s="1"/>
      <c r="J30" s="28"/>
    </row>
    <row r="31" spans="1:10" ht="12.75" customHeight="1" x14ac:dyDescent="0.25">
      <c r="A31" s="1"/>
      <c r="B31" s="1" t="str">
        <f ca="1">IFERROR(__xludf.DUMMYFUNCTION("""COMPUTED_VALUE"""),"対象外タイトル")</f>
        <v>対象外タイトル</v>
      </c>
      <c r="C31" s="1">
        <f ca="1">IFERROR(__xludf.DUMMYFUNCTION("""COMPUTED_VALUE"""),2023)</f>
        <v>2023</v>
      </c>
      <c r="D31" s="1">
        <f ca="1">IFERROR(__xludf.DUMMYFUNCTION("""COMPUTED_VALUE"""),42448)</f>
        <v>42448</v>
      </c>
      <c r="E31" s="1" t="str">
        <f ca="1">IFERROR(__xludf.DUMMYFUNCTION("""COMPUTED_VALUE"""),"International Journal on Child Maltreatment: Research, Policy and Practice")</f>
        <v>International Journal on Child Maltreatment: Research, Policy and Practice</v>
      </c>
      <c r="F31" s="1" t="str">
        <f ca="1">IFERROR(__xludf.DUMMYFUNCTION("""COMPUTED_VALUE"""),"2524-5244")</f>
        <v>2524-5244</v>
      </c>
      <c r="G31" s="1" t="str">
        <f ca="1">IFERROR(__xludf.DUMMYFUNCTION("""COMPUTED_VALUE"""),"Springer")</f>
        <v>Springer</v>
      </c>
      <c r="H31" s="1" t="str">
        <f ca="1">IFERROR(__xludf.DUMMYFUNCTION("""COMPUTED_VALUE"""),"Social Sciences")</f>
        <v>Social Sciences</v>
      </c>
      <c r="I31" s="1" t="str">
        <f ca="1">IFERROR(__xludf.DUMMYFUNCTION("""COMPUTED_VALUE"""),"Merged into Childhood Vulnerability Journal as of 2022.")</f>
        <v>Merged into Childhood Vulnerability Journal as of 2022.</v>
      </c>
      <c r="J31" s="28"/>
    </row>
    <row r="32" spans="1:10" ht="12.75" customHeight="1" x14ac:dyDescent="0.25">
      <c r="A32" s="1"/>
      <c r="B32" s="1" t="str">
        <f ca="1">IFERROR(__xludf.DUMMYFUNCTION("""COMPUTED_VALUE"""),"対象外タイトル")</f>
        <v>対象外タイトル</v>
      </c>
      <c r="C32" s="1">
        <f ca="1">IFERROR(__xludf.DUMMYFUNCTION("""COMPUTED_VALUE"""),2023)</f>
        <v>2023</v>
      </c>
      <c r="D32" s="1">
        <f ca="1">IFERROR(__xludf.DUMMYFUNCTION("""COMPUTED_VALUE"""),12631)</f>
        <v>12631</v>
      </c>
      <c r="E32" s="1" t="str">
        <f ca="1">IFERROR(__xludf.DUMMYFUNCTION("""COMPUTED_VALUE"""),"Journal für Ästhetische Chirurgie")</f>
        <v>Journal für Ästhetische Chirurgie</v>
      </c>
      <c r="F32" s="1" t="str">
        <f ca="1">IFERROR(__xludf.DUMMYFUNCTION("""COMPUTED_VALUE"""),"1867-4313")</f>
        <v>1867-4313</v>
      </c>
      <c r="G32" s="1" t="str">
        <f ca="1">IFERROR(__xludf.DUMMYFUNCTION("""COMPUTED_VALUE"""),"SpringerMedizin")</f>
        <v>SpringerMedizin</v>
      </c>
      <c r="H32" s="1" t="str">
        <f ca="1">IFERROR(__xludf.DUMMYFUNCTION("""COMPUTED_VALUE"""),"Medicine")</f>
        <v>Medicine</v>
      </c>
      <c r="I32" s="1" t="str">
        <f ca="1">IFERROR(__xludf.DUMMYFUNCTION("""COMPUTED_VALUE"""),"Ceases publication after completion of Volume 15 (2022).")</f>
        <v>Ceases publication after completion of Volume 15 (2022).</v>
      </c>
      <c r="J32" s="28"/>
    </row>
    <row r="33" spans="1:10" ht="12.75" customHeight="1" x14ac:dyDescent="0.25">
      <c r="A33" s="1"/>
      <c r="B33" s="1" t="str">
        <f ca="1">IFERROR(__xludf.DUMMYFUNCTION("""COMPUTED_VALUE"""),"対象外タイトル")</f>
        <v>対象外タイトル</v>
      </c>
      <c r="C33" s="1">
        <f ca="1">IFERROR(__xludf.DUMMYFUNCTION("""COMPUTED_VALUE"""),2023)</f>
        <v>2023</v>
      </c>
      <c r="D33" s="1">
        <f ca="1">IFERROR(__xludf.DUMMYFUNCTION("""COMPUTED_VALUE"""),40556)</f>
        <v>40556</v>
      </c>
      <c r="E33" s="1" t="str">
        <f ca="1">IFERROR(__xludf.DUMMYFUNCTION("""COMPUTED_VALUE"""),"Journal of Fetal Medicine")</f>
        <v>Journal of Fetal Medicine</v>
      </c>
      <c r="F33" s="1" t="str">
        <f ca="1">IFERROR(__xludf.DUMMYFUNCTION("""COMPUTED_VALUE"""),"2348-8859")</f>
        <v>2348-8859</v>
      </c>
      <c r="G33" s="1" t="str">
        <f ca="1">IFERROR(__xludf.DUMMYFUNCTION("""COMPUTED_VALUE"""),"Springer")</f>
        <v>Springer</v>
      </c>
      <c r="H33" s="1" t="str">
        <f ca="1">IFERROR(__xludf.DUMMYFUNCTION("""COMPUTED_VALUE"""),"Medicine")</f>
        <v>Medicine</v>
      </c>
      <c r="I33" s="1" t="str">
        <f ca="1">IFERROR(__xludf.DUMMYFUNCTION("""COMPUTED_VALUE"""),"No longer published / distributed by Springer Nature as of 2023.")</f>
        <v>No longer published / distributed by Springer Nature as of 2023.</v>
      </c>
      <c r="J33" s="28"/>
    </row>
    <row r="34" spans="1:10" ht="12.75" customHeight="1" x14ac:dyDescent="0.25">
      <c r="A34" s="1"/>
      <c r="B34" s="1" t="str">
        <f ca="1">IFERROR(__xludf.DUMMYFUNCTION("""COMPUTED_VALUE"""),"対象外タイトル")</f>
        <v>対象外タイトル</v>
      </c>
      <c r="C34" s="1">
        <f ca="1">IFERROR(__xludf.DUMMYFUNCTION("""COMPUTED_VALUE"""),2023)</f>
        <v>2023</v>
      </c>
      <c r="D34" s="1">
        <f ca="1">IFERROR(__xludf.DUMMYFUNCTION("""COMPUTED_VALUE"""),10911)</f>
        <v>10911</v>
      </c>
      <c r="E34" s="1" t="str">
        <f ca="1">IFERROR(__xludf.DUMMYFUNCTION("""COMPUTED_VALUE"""),"Journal of Mammary Gland Biology and Neoplasia")</f>
        <v>Journal of Mammary Gland Biology and Neoplasia</v>
      </c>
      <c r="F34" s="1" t="str">
        <f ca="1">IFERROR(__xludf.DUMMYFUNCTION("""COMPUTED_VALUE"""),"1573-7039")</f>
        <v>1573-7039</v>
      </c>
      <c r="G34" s="1" t="str">
        <f ca="1">IFERROR(__xludf.DUMMYFUNCTION("""COMPUTED_VALUE"""),"Springer")</f>
        <v>Springer</v>
      </c>
      <c r="H34" s="1" t="str">
        <f ca="1">IFERROR(__xludf.DUMMYFUNCTION("""COMPUTED_VALUE"""),"Medicine")</f>
        <v>Medicine</v>
      </c>
      <c r="I34" s="1" t="str">
        <f ca="1">IFERROR(__xludf.DUMMYFUNCTION("""COMPUTED_VALUE"""),"Publishing Model changing from Hybrid (Open Choice) to Fully Open Access as of 2023.")</f>
        <v>Publishing Model changing from Hybrid (Open Choice) to Fully Open Access as of 2023.</v>
      </c>
      <c r="J34" s="28"/>
    </row>
    <row r="35" spans="1:10" ht="12.75" customHeight="1" x14ac:dyDescent="0.25">
      <c r="A35" s="1"/>
      <c r="B35" s="1" t="str">
        <f ca="1">IFERROR(__xludf.DUMMYFUNCTION("""COMPUTED_VALUE"""),"対象外タイトル")</f>
        <v>対象外タイトル</v>
      </c>
      <c r="C35" s="1">
        <f ca="1">IFERROR(__xludf.DUMMYFUNCTION("""COMPUTED_VALUE"""),2023)</f>
        <v>2023</v>
      </c>
      <c r="D35" s="1">
        <f ca="1">IFERROR(__xludf.DUMMYFUNCTION("""COMPUTED_VALUE"""),44029)</f>
        <v>44029</v>
      </c>
      <c r="E35" s="1" t="str">
        <f ca="1">IFERROR(__xludf.DUMMYFUNCTION("""COMPUTED_VALUE"""),"maschinenbau")</f>
        <v>maschinenbau</v>
      </c>
      <c r="F35" s="1" t="str">
        <f ca="1">IFERROR(__xludf.DUMMYFUNCTION("""COMPUTED_VALUE"""),"2730-9843")</f>
        <v>2730-9843</v>
      </c>
      <c r="G35" s="1" t="str">
        <f ca="1">IFERROR(__xludf.DUMMYFUNCTION("""COMPUTED_VALUE"""),"Springer Vieweg")</f>
        <v>Springer Vieweg</v>
      </c>
      <c r="H35" s="1" t="str">
        <f ca="1">IFERROR(__xludf.DUMMYFUNCTION("""COMPUTED_VALUE"""),"Engineering")</f>
        <v>Engineering</v>
      </c>
      <c r="I35" s="1" t="str">
        <f ca="1">IFERROR(__xludf.DUMMYFUNCTION("""COMPUTED_VALUE"""),"Electronic version available on springerprofessional.de..")</f>
        <v>Electronic version available on springerprofessional.de..</v>
      </c>
      <c r="J35" s="28"/>
    </row>
    <row r="36" spans="1:10" ht="12.75" customHeight="1" x14ac:dyDescent="0.25">
      <c r="A36" s="1"/>
      <c r="B36" s="1" t="str">
        <f ca="1">IFERROR(__xludf.DUMMYFUNCTION("""COMPUTED_VALUE"""),"対象外タイトル")</f>
        <v>対象外タイトル</v>
      </c>
      <c r="C36" s="1">
        <f ca="1">IFERROR(__xludf.DUMMYFUNCTION("""COMPUTED_VALUE"""),2023)</f>
        <v>2023</v>
      </c>
      <c r="D36" s="1">
        <f ca="1">IFERROR(__xludf.DUMMYFUNCTION("""COMPUTED_VALUE"""),11569)</f>
        <v>11569</v>
      </c>
      <c r="E36" s="1" t="str">
        <f ca="1">IFERROR(__xludf.DUMMYFUNCTION("""COMPUTED_VALUE"""),"NanoEthics")</f>
        <v>NanoEthics</v>
      </c>
      <c r="F36" s="1" t="str">
        <f ca="1">IFERROR(__xludf.DUMMYFUNCTION("""COMPUTED_VALUE"""),"1871-4765")</f>
        <v>1871-4765</v>
      </c>
      <c r="G36" s="1" t="str">
        <f ca="1">IFERROR(__xludf.DUMMYFUNCTION("""COMPUTED_VALUE"""),"Springer")</f>
        <v>Springer</v>
      </c>
      <c r="H36" s="1" t="str">
        <f ca="1">IFERROR(__xludf.DUMMYFUNCTION("""COMPUTED_VALUE"""),"Education")</f>
        <v>Education</v>
      </c>
      <c r="I36" s="1" t="str">
        <f ca="1">IFERROR(__xludf.DUMMYFUNCTION("""COMPUTED_VALUE"""),"Publishing Model changing from Hybrid (Open Choice) to Fully Open Access as of 2023.")</f>
        <v>Publishing Model changing from Hybrid (Open Choice) to Fully Open Access as of 2023.</v>
      </c>
      <c r="J36" s="28"/>
    </row>
    <row r="37" spans="1:10" ht="12.75" customHeight="1" x14ac:dyDescent="0.25">
      <c r="A37" s="1"/>
      <c r="B37" s="1" t="str">
        <f ca="1">IFERROR(__xludf.DUMMYFUNCTION("""COMPUTED_VALUE"""),"対象外タイトル")</f>
        <v>対象外タイトル</v>
      </c>
      <c r="C37" s="1">
        <f ca="1">IFERROR(__xludf.DUMMYFUNCTION("""COMPUTED_VALUE"""),2023)</f>
        <v>2023</v>
      </c>
      <c r="D37" s="1">
        <f ca="1">IFERROR(__xludf.DUMMYFUNCTION("""COMPUTED_VALUE"""),41871)</f>
        <v>41871</v>
      </c>
      <c r="E37" s="1" t="str">
        <f ca="1">IFERROR(__xludf.DUMMYFUNCTION("""COMPUTED_VALUE"""),"Nanomanufacturing and Metrology")</f>
        <v>Nanomanufacturing and Metrology</v>
      </c>
      <c r="F37" s="1" t="str">
        <f ca="1">IFERROR(__xludf.DUMMYFUNCTION("""COMPUTED_VALUE"""),"2520-8128")</f>
        <v>2520-8128</v>
      </c>
      <c r="G37" s="1" t="str">
        <f ca="1">IFERROR(__xludf.DUMMYFUNCTION("""COMPUTED_VALUE"""),"International Society for Nanomanufacturing and Tianjin University, co-published with Springer")</f>
        <v>International Society for Nanomanufacturing and Tianjin University, co-published with Springer</v>
      </c>
      <c r="H37" s="1" t="str">
        <f ca="1">IFERROR(__xludf.DUMMYFUNCTION("""COMPUTED_VALUE"""),"Engineering")</f>
        <v>Engineering</v>
      </c>
      <c r="I37" s="1" t="str">
        <f ca="1">IFERROR(__xludf.DUMMYFUNCTION("""COMPUTED_VALUE"""),"Publishing Model changing from Hybrid (Open Choice) to Fully Open Access as of 2023.")</f>
        <v>Publishing Model changing from Hybrid (Open Choice) to Fully Open Access as of 2023.</v>
      </c>
      <c r="J37" s="28"/>
    </row>
    <row r="38" spans="1:10" ht="12.75" customHeight="1" x14ac:dyDescent="0.25">
      <c r="A38" s="1"/>
      <c r="B38" s="1" t="str">
        <f ca="1">IFERROR(__xludf.DUMMYFUNCTION("""COMPUTED_VALUE"""),"対象外タイトル")</f>
        <v>対象外タイトル</v>
      </c>
      <c r="C38" s="1">
        <f ca="1">IFERROR(__xludf.DUMMYFUNCTION("""COMPUTED_VALUE"""),2023)</f>
        <v>2023</v>
      </c>
      <c r="D38" s="1">
        <f ca="1">IFERROR(__xludf.DUMMYFUNCTION("""COMPUTED_VALUE"""),48)</f>
        <v>48</v>
      </c>
      <c r="E38" s="1" t="str">
        <f ca="1">IFERROR(__xludf.DUMMYFUNCTION("""COMPUTED_VALUE"""),"NTM Zeitschrift für Geschichte der Wissenschaften, Technik und Medizin")</f>
        <v>NTM Zeitschrift für Geschichte der Wissenschaften, Technik und Medizin</v>
      </c>
      <c r="F38" s="1" t="str">
        <f ca="1">IFERROR(__xludf.DUMMYFUNCTION("""COMPUTED_VALUE"""),"1420-9144")</f>
        <v>1420-9144</v>
      </c>
      <c r="G38" s="1" t="str">
        <f ca="1">IFERROR(__xludf.DUMMYFUNCTION("""COMPUTED_VALUE"""),"Birkhäuser")</f>
        <v>Birkhäuser</v>
      </c>
      <c r="H38" s="1" t="str">
        <f ca="1">IFERROR(__xludf.DUMMYFUNCTION("""COMPUTED_VALUE"""),"History")</f>
        <v>History</v>
      </c>
      <c r="I38" s="1" t="str">
        <f ca="1">IFERROR(__xludf.DUMMYFUNCTION("""COMPUTED_VALUE"""),"Publishing Model changing from Hybrid (Open Choice) to Fully Open Access as of 2023.")</f>
        <v>Publishing Model changing from Hybrid (Open Choice) to Fully Open Access as of 2023.</v>
      </c>
      <c r="J38" s="28"/>
    </row>
    <row r="39" spans="1:10" ht="12.75" customHeight="1" x14ac:dyDescent="0.25">
      <c r="A39" s="1"/>
      <c r="B39" s="1" t="str">
        <f ca="1">IFERROR(__xludf.DUMMYFUNCTION("""COMPUTED_VALUE"""),"対象外タイトル")</f>
        <v>対象外タイトル</v>
      </c>
      <c r="C39" s="1">
        <f ca="1">IFERROR(__xludf.DUMMYFUNCTION("""COMPUTED_VALUE"""),2023)</f>
        <v>2023</v>
      </c>
      <c r="D39" s="1">
        <f ca="1">IFERROR(__xludf.DUMMYFUNCTION("""COMPUTED_VALUE"""),41059)</f>
        <v>41059</v>
      </c>
      <c r="E39" s="1" t="str">
        <f ca="1">IFERROR(__xludf.DUMMYFUNCTION("""COMPUTED_VALUE"""),"Soziale Probleme")</f>
        <v>Soziale Probleme</v>
      </c>
      <c r="F39" s="1" t="str">
        <f ca="1">IFERROR(__xludf.DUMMYFUNCTION("""COMPUTED_VALUE"""),"2364-3951")</f>
        <v>2364-3951</v>
      </c>
      <c r="G39" s="1" t="str">
        <f ca="1">IFERROR(__xludf.DUMMYFUNCTION("""COMPUTED_VALUE"""),"Springer VS")</f>
        <v>Springer VS</v>
      </c>
      <c r="H39" s="1" t="str">
        <f ca="1">IFERROR(__xludf.DUMMYFUNCTION("""COMPUTED_VALUE"""),"Social Sciences")</f>
        <v>Social Sciences</v>
      </c>
      <c r="I39" s="1" t="str">
        <f ca="1">IFERROR(__xludf.DUMMYFUNCTION("""COMPUTED_VALUE"""),"No longer published/ distributed by Springer Nature after completion of Volume 32 (2021)")</f>
        <v>No longer published/ distributed by Springer Nature after completion of Volume 32 (2021)</v>
      </c>
      <c r="J39" s="28"/>
    </row>
    <row r="40" spans="1:10" ht="12.75" customHeight="1" x14ac:dyDescent="0.25">
      <c r="A40" s="1"/>
      <c r="B40" s="1" t="str">
        <f ca="1">IFERROR(__xludf.DUMMYFUNCTION("""COMPUTED_VALUE"""),"対象外タイトル")</f>
        <v>対象外タイトル</v>
      </c>
      <c r="C40" s="1">
        <f ca="1">IFERROR(__xludf.DUMMYFUNCTION("""COMPUTED_VALUE"""),2023)</f>
        <v>2023</v>
      </c>
      <c r="D40" s="1">
        <f ca="1">IFERROR(__xludf.DUMMYFUNCTION("""COMPUTED_VALUE"""),10828)</f>
        <v>10828</v>
      </c>
      <c r="E40" s="1" t="str">
        <f ca="1">IFERROR(__xludf.DUMMYFUNCTION("""COMPUTED_VALUE"""),"The Journal of Comparative Germanic Linguistics")</f>
        <v>The Journal of Comparative Germanic Linguistics</v>
      </c>
      <c r="F40" s="1" t="str">
        <f ca="1">IFERROR(__xludf.DUMMYFUNCTION("""COMPUTED_VALUE"""),"1572-8552")</f>
        <v>1572-8552</v>
      </c>
      <c r="G40" s="1" t="str">
        <f ca="1">IFERROR(__xludf.DUMMYFUNCTION("""COMPUTED_VALUE"""),"Springer")</f>
        <v>Springer</v>
      </c>
      <c r="H40" s="1" t="str">
        <f ca="1">IFERROR(__xludf.DUMMYFUNCTION("""COMPUTED_VALUE"""),"Social Sciences")</f>
        <v>Social Sciences</v>
      </c>
      <c r="I40" s="1" t="str">
        <f ca="1">IFERROR(__xludf.DUMMYFUNCTION("""COMPUTED_VALUE"""),"Publishing Model changing from Hybrid (Open Choice) to Fully Open Access as of 2023.")</f>
        <v>Publishing Model changing from Hybrid (Open Choice) to Fully Open Access as of 2023.</v>
      </c>
      <c r="J40" s="28"/>
    </row>
    <row r="41" spans="1:10" ht="12.75" customHeight="1" x14ac:dyDescent="0.25">
      <c r="A41" s="1"/>
      <c r="B41" s="1" t="str">
        <f ca="1">IFERROR(__xludf.DUMMYFUNCTION("""COMPUTED_VALUE"""),"対象外タイトル")</f>
        <v>対象外タイトル</v>
      </c>
      <c r="C41" s="1">
        <f ca="1">IFERROR(__xludf.DUMMYFUNCTION("""COMPUTED_VALUE"""),2023)</f>
        <v>2023</v>
      </c>
      <c r="D41" s="1">
        <f ca="1">IFERROR(__xludf.DUMMYFUNCTION("""COMPUTED_VALUE"""),12186)</f>
        <v>12186</v>
      </c>
      <c r="E41" s="1" t="str">
        <f ca="1">IFERROR(__xludf.DUMMYFUNCTION("""COMPUTED_VALUE"""),"Vocations and Learning")</f>
        <v>Vocations and Learning</v>
      </c>
      <c r="F41" s="1" t="str">
        <f ca="1">IFERROR(__xludf.DUMMYFUNCTION("""COMPUTED_VALUE"""),"1874-7868")</f>
        <v>1874-7868</v>
      </c>
      <c r="G41" s="1" t="str">
        <f ca="1">IFERROR(__xludf.DUMMYFUNCTION("""COMPUTED_VALUE"""),"Springer")</f>
        <v>Springer</v>
      </c>
      <c r="H41" s="1" t="str">
        <f ca="1">IFERROR(__xludf.DUMMYFUNCTION("""COMPUTED_VALUE"""),"Education")</f>
        <v>Education</v>
      </c>
      <c r="I41" s="1" t="str">
        <f ca="1">IFERROR(__xludf.DUMMYFUNCTION("""COMPUTED_VALUE"""),"Publishing Model changing from Hybrid (Open Choice) to Fully Open Access as of 2023.")</f>
        <v>Publishing Model changing from Hybrid (Open Choice) to Fully Open Access as of 2023.</v>
      </c>
      <c r="J41" s="28"/>
    </row>
    <row r="42" spans="1:10" ht="12.75" customHeight="1" x14ac:dyDescent="0.25">
      <c r="A42" s="1"/>
      <c r="B42" s="1" t="str">
        <f ca="1">IFERROR(__xludf.DUMMYFUNCTION("""COMPUTED_VALUE"""),"タイトル変更")</f>
        <v>タイトル変更</v>
      </c>
      <c r="C42" s="1">
        <f ca="1">IFERROR(__xludf.DUMMYFUNCTION("""COMPUTED_VALUE"""),2022)</f>
        <v>2022</v>
      </c>
      <c r="D42" s="1">
        <f ca="1">IFERROR(__xludf.DUMMYFUNCTION("""COMPUTED_VALUE"""),41127)</f>
        <v>41127</v>
      </c>
      <c r="E42" s="1" t="str">
        <f ca="1">IFERROR(__xludf.DUMMYFUNCTION("""COMPUTED_VALUE"""),"Graphene and 2D Materials")</f>
        <v>Graphene and 2D Materials</v>
      </c>
      <c r="F42" s="1" t="str">
        <f ca="1">IFERROR(__xludf.DUMMYFUNCTION("""COMPUTED_VALUE"""),"2730-9975")</f>
        <v>2730-9975</v>
      </c>
      <c r="G42" s="1" t="str">
        <f ca="1">IFERROR(__xludf.DUMMYFUNCTION("""COMPUTED_VALUE"""),"Springer")</f>
        <v>Springer</v>
      </c>
      <c r="H42" s="1" t="str">
        <f ca="1">IFERROR(__xludf.DUMMYFUNCTION("""COMPUTED_VALUE"""),"Chemistry and Materials Science")</f>
        <v>Chemistry and Materials Science</v>
      </c>
      <c r="I42" s="1" t="str">
        <f ca="1">IFERROR(__xludf.DUMMYFUNCTION("""COMPUTED_VALUE"""),"Title change. Prior to Volume 5 (2020) published as Graphene Technology.")</f>
        <v>Title change. Prior to Volume 5 (2020) published as Graphene Technology.</v>
      </c>
      <c r="J42" s="28"/>
    </row>
    <row r="43" spans="1:10" ht="12.75" customHeight="1" x14ac:dyDescent="0.25">
      <c r="A43" s="1"/>
      <c r="B43" s="1" t="str">
        <f ca="1">IFERROR(__xludf.DUMMYFUNCTION("""COMPUTED_VALUE"""),"タイトル変更")</f>
        <v>タイトル変更</v>
      </c>
      <c r="C43" s="1">
        <f ca="1">IFERROR(__xludf.DUMMYFUNCTION("""COMPUTED_VALUE"""),2022)</f>
        <v>2022</v>
      </c>
      <c r="D43" s="1">
        <f ca="1">IFERROR(__xludf.DUMMYFUNCTION("""COMPUTED_VALUE"""),12098)</f>
        <v>12098</v>
      </c>
      <c r="E43" s="1" t="str">
        <f ca="1">IFERROR(__xludf.DUMMYFUNCTION("""COMPUTED_VALUE"""),"Indian Journal of Pediatrics")</f>
        <v>Indian Journal of Pediatrics</v>
      </c>
      <c r="F43" s="1" t="str">
        <f ca="1">IFERROR(__xludf.DUMMYFUNCTION("""COMPUTED_VALUE"""),"0973-7693")</f>
        <v>0973-7693</v>
      </c>
      <c r="G43" s="1" t="str">
        <f ca="1">IFERROR(__xludf.DUMMYFUNCTION("""COMPUTED_VALUE"""),"Springer")</f>
        <v>Springer</v>
      </c>
      <c r="H43" s="1" t="str">
        <f ca="1">IFERROR(__xludf.DUMMYFUNCTION("""COMPUTED_VALUE"""),"Medicine")</f>
        <v>Medicine</v>
      </c>
      <c r="I43" s="1" t="str">
        <f ca="1">IFERROR(__xludf.DUMMYFUNCTION("""COMPUTED_VALUE"""),"Former title: The Indian Journal of Pediatrics")</f>
        <v>Former title: The Indian Journal of Pediatrics</v>
      </c>
      <c r="J43" s="28"/>
    </row>
    <row r="44" spans="1:10" ht="12.75" customHeight="1" x14ac:dyDescent="0.25">
      <c r="A44" s="1"/>
      <c r="B44" s="1" t="str">
        <f ca="1">IFERROR(__xludf.DUMMYFUNCTION("""COMPUTED_VALUE"""),"タイトル変更")</f>
        <v>タイトル変更</v>
      </c>
      <c r="C44" s="1">
        <f ca="1">IFERROR(__xludf.DUMMYFUNCTION("""COMPUTED_VALUE"""),2022)</f>
        <v>2022</v>
      </c>
      <c r="D44" s="1">
        <f ca="1">IFERROR(__xludf.DUMMYFUNCTION("""COMPUTED_VALUE"""),10935)</f>
        <v>10935</v>
      </c>
      <c r="E44" s="1" t="str">
        <f ca="1">IFERROR(__xludf.DUMMYFUNCTION("""COMPUTED_VALUE"""),"Journal of Prevention")</f>
        <v>Journal of Prevention</v>
      </c>
      <c r="F44" s="1" t="str">
        <f ca="1">IFERROR(__xludf.DUMMYFUNCTION("""COMPUTED_VALUE"""),"1573-6547")</f>
        <v>1573-6547</v>
      </c>
      <c r="G44" s="1" t="str">
        <f ca="1">IFERROR(__xludf.DUMMYFUNCTION("""COMPUTED_VALUE"""),"Springer")</f>
        <v>Springer</v>
      </c>
      <c r="H44" s="1" t="str">
        <f ca="1">IFERROR(__xludf.DUMMYFUNCTION("""COMPUTED_VALUE"""),"Medicine")</f>
        <v>Medicine</v>
      </c>
      <c r="I44" s="1" t="str">
        <f ca="1">IFERROR(__xludf.DUMMYFUNCTION("""COMPUTED_VALUE"""),"The Journal of Primary Prevention Erratum Journals List: Title change. Prior to Volume 43 published as The Journal of Primary Prevention.")</f>
        <v>The Journal of Primary Prevention Erratum Journals List: Title change. Prior to Volume 43 published as The Journal of Primary Prevention.</v>
      </c>
      <c r="J44" s="28"/>
    </row>
    <row r="45" spans="1:10" ht="12.75" customHeight="1" x14ac:dyDescent="0.25">
      <c r="A45" s="1"/>
      <c r="B45" s="1" t="str">
        <f ca="1">IFERROR(__xludf.DUMMYFUNCTION("""COMPUTED_VALUE"""),"タイトル変更")</f>
        <v>タイトル変更</v>
      </c>
      <c r="C45" s="1">
        <f ca="1">IFERROR(__xludf.DUMMYFUNCTION("""COMPUTED_VALUE"""),2022)</f>
        <v>2022</v>
      </c>
      <c r="D45" s="1">
        <f ca="1">IFERROR(__xludf.DUMMYFUNCTION("""COMPUTED_VALUE"""),11633)</f>
        <v>11633</v>
      </c>
      <c r="E45" s="1" t="str">
        <f ca="1">IFERROR(__xludf.DUMMYFUNCTION("""COMPUTED_VALUE"""),"Machine Intelligence Research")</f>
        <v>Machine Intelligence Research</v>
      </c>
      <c r="F45" s="1" t="str">
        <f ca="1">IFERROR(__xludf.DUMMYFUNCTION("""COMPUTED_VALUE"""),"1751-8520")</f>
        <v>1751-8520</v>
      </c>
      <c r="G45" s="1" t="str">
        <f ca="1">IFERROR(__xludf.DUMMYFUNCTION("""COMPUTED_VALUE"""),"Institute of Automation, Chinese Academy of Sciences, co-published with Springer")</f>
        <v>Institute of Automation, Chinese Academy of Sciences, co-published with Springer</v>
      </c>
      <c r="H45" s="1" t="str">
        <f ca="1">IFERROR(__xludf.DUMMYFUNCTION("""COMPUTED_VALUE"""),"Engineering")</f>
        <v>Engineering</v>
      </c>
      <c r="I45" s="1" t="str">
        <f ca="1">IFERROR(__xludf.DUMMYFUNCTION("""COMPUTED_VALUE"""),"Erratum Journals List: Title change. Prior to Volume 19 published as International Journal of Automation and Computing.")</f>
        <v>Erratum Journals List: Title change. Prior to Volume 19 published as International Journal of Automation and Computing.</v>
      </c>
      <c r="J45" s="28" t="str">
        <f ca="1">IFERROR(__xludf.DUMMYFUNCTION("""COMPUTED_VALUE"""),"Chinese Library of Science. Exclusive distribution rights for print version outside Mainland China, for electronic version worldwide.")</f>
        <v>Chinese Library of Science. Exclusive distribution rights for print version outside Mainland China, for electronic version worldwide.</v>
      </c>
    </row>
    <row r="46" spans="1:10" ht="12.75" customHeight="1" x14ac:dyDescent="0.25">
      <c r="A46" s="1"/>
      <c r="B46" s="1" t="str">
        <f ca="1">IFERROR(__xludf.DUMMYFUNCTION("""COMPUTED_VALUE"""),"タイトル変更")</f>
        <v>タイトル変更</v>
      </c>
      <c r="C46" s="1">
        <f ca="1">IFERROR(__xludf.DUMMYFUNCTION("""COMPUTED_VALUE"""),2022)</f>
        <v>2022</v>
      </c>
      <c r="D46" s="1">
        <f ca="1">IFERROR(__xludf.DUMMYFUNCTION("""COMPUTED_VALUE"""),12201)</f>
        <v>12201</v>
      </c>
      <c r="E46" s="1" t="str">
        <f ca="1">IFERROR(__xludf.DUMMYFUNCTION("""COMPUTED_VALUE"""),"Nanobiotechnology Reports")</f>
        <v>Nanobiotechnology Reports</v>
      </c>
      <c r="F46" s="1" t="str">
        <f ca="1">IFERROR(__xludf.DUMMYFUNCTION("""COMPUTED_VALUE"""),"1995-0799")</f>
        <v>1995-0799</v>
      </c>
      <c r="G46" s="1" t="str">
        <f ca="1">IFERROR(__xludf.DUMMYFUNCTION("""COMPUTED_VALUE"""),"Pleiades Publishing")</f>
        <v>Pleiades Publishing</v>
      </c>
      <c r="H46" s="1" t="str">
        <f ca="1">IFERROR(__xludf.DUMMYFUNCTION("""COMPUTED_VALUE"""),"Chemistry and Materials Science")</f>
        <v>Chemistry and Materials Science</v>
      </c>
      <c r="I46" s="1" t="str">
        <f ca="1">IFERROR(__xludf.DUMMYFUNCTION("""COMPUTED_VALUE"""),"Former title: Nanotechnologies in Russia")</f>
        <v>Former title: Nanotechnologies in Russia</v>
      </c>
      <c r="J46" s="28"/>
    </row>
    <row r="47" spans="1:10" ht="12.75" customHeight="1" x14ac:dyDescent="0.25">
      <c r="A47" s="1"/>
      <c r="B47" s="1" t="str">
        <f ca="1">IFERROR(__xludf.DUMMYFUNCTION("""COMPUTED_VALUE"""),"タイトル変更")</f>
        <v>タイトル変更</v>
      </c>
      <c r="C47" s="1">
        <f ca="1">IFERROR(__xludf.DUMMYFUNCTION("""COMPUTED_VALUE"""),2022)</f>
        <v>2022</v>
      </c>
      <c r="D47" s="1">
        <f ca="1">IFERROR(__xludf.DUMMYFUNCTION("""COMPUTED_VALUE"""),43069)</f>
        <v>43069</v>
      </c>
      <c r="E47" s="1" t="str">
        <f ca="1">IFERROR(__xludf.DUMMYFUNCTION("""COMPUTED_VALUE"""),"Operations Research Forum")</f>
        <v>Operations Research Forum</v>
      </c>
      <c r="F47" s="1" t="str">
        <f ca="1">IFERROR(__xludf.DUMMYFUNCTION("""COMPUTED_VALUE"""),"2662-2556")</f>
        <v>2662-2556</v>
      </c>
      <c r="G47" s="1" t="str">
        <f ca="1">IFERROR(__xludf.DUMMYFUNCTION("""COMPUTED_VALUE"""),"Springer Nature")</f>
        <v>Springer Nature</v>
      </c>
      <c r="H47" s="1" t="str">
        <f ca="1">IFERROR(__xludf.DUMMYFUNCTION("""COMPUTED_VALUE"""),"Business and Management")</f>
        <v>Business and Management</v>
      </c>
      <c r="I47" s="1" t="str">
        <f ca="1">IFERROR(__xludf.DUMMYFUNCTION("""COMPUTED_VALUE"""),"Former title: SN Operations Research Forum")</f>
        <v>Former title: SN Operations Research Forum</v>
      </c>
      <c r="J47" s="28"/>
    </row>
    <row r="48" spans="1:10" ht="12.75" customHeight="1" x14ac:dyDescent="0.25">
      <c r="A48" s="1"/>
      <c r="B48" s="1" t="str">
        <f ca="1">IFERROR(__xludf.DUMMYFUNCTION("""COMPUTED_VALUE"""),"タイトル変更")</f>
        <v>タイトル変更</v>
      </c>
      <c r="C48" s="1">
        <f ca="1">IFERROR(__xludf.DUMMYFUNCTION("""COMPUTED_VALUE"""),2022)</f>
        <v>2022</v>
      </c>
      <c r="D48" s="1">
        <f ca="1">IFERROR(__xludf.DUMMYFUNCTION("""COMPUTED_VALUE"""),42985)</f>
        <v>42985</v>
      </c>
      <c r="E48" s="1" t="str">
        <f ca="1">IFERROR(__xludf.DUMMYFUNCTION("""COMPUTED_VALUE"""),"Partial Differential Equations and Applications")</f>
        <v>Partial Differential Equations and Applications</v>
      </c>
      <c r="F48" s="1" t="str">
        <f ca="1">IFERROR(__xludf.DUMMYFUNCTION("""COMPUTED_VALUE"""),"2662-2971")</f>
        <v>2662-2971</v>
      </c>
      <c r="G48" s="1" t="str">
        <f ca="1">IFERROR(__xludf.DUMMYFUNCTION("""COMPUTED_VALUE"""),"Springer Nature")</f>
        <v>Springer Nature</v>
      </c>
      <c r="H48" s="1" t="str">
        <f ca="1">IFERROR(__xludf.DUMMYFUNCTION("""COMPUTED_VALUE"""),"Mathematics and Statistics")</f>
        <v>Mathematics and Statistics</v>
      </c>
      <c r="I48" s="1" t="str">
        <f ca="1">IFERROR(__xludf.DUMMYFUNCTION("""COMPUTED_VALUE"""),"Former title: SN Partial Differential Equations and Applications")</f>
        <v>Former title: SN Partial Differential Equations and Applications</v>
      </c>
      <c r="J48" s="28"/>
    </row>
    <row r="49" spans="1:10" ht="12.75" customHeight="1" x14ac:dyDescent="0.25">
      <c r="A49" s="1"/>
      <c r="B49" s="1" t="str">
        <f ca="1">IFERROR(__xludf.DUMMYFUNCTION("""COMPUTED_VALUE"""),"タイトル変更")</f>
        <v>タイトル変更</v>
      </c>
      <c r="C49" s="1">
        <f ca="1">IFERROR(__xludf.DUMMYFUNCTION("""COMPUTED_VALUE"""),2022)</f>
        <v>2022</v>
      </c>
      <c r="D49" s="1">
        <f ca="1">IFERROR(__xludf.DUMMYFUNCTION("""COMPUTED_VALUE"""),11858)</f>
        <v>11858</v>
      </c>
      <c r="E49" s="1" t="str">
        <f ca="1">IFERROR(__xludf.DUMMYFUNCTION("""COMPUTED_VALUE"""),"ZDM – Mathematics Education")</f>
        <v>ZDM – Mathematics Education</v>
      </c>
      <c r="F49" s="1" t="str">
        <f ca="1">IFERROR(__xludf.DUMMYFUNCTION("""COMPUTED_VALUE"""),"1863-9704")</f>
        <v>1863-9704</v>
      </c>
      <c r="G49" s="1" t="str">
        <f ca="1">IFERROR(__xludf.DUMMYFUNCTION("""COMPUTED_VALUE"""),"Springer")</f>
        <v>Springer</v>
      </c>
      <c r="H49" s="1" t="str">
        <f ca="1">IFERROR(__xludf.DUMMYFUNCTION("""COMPUTED_VALUE"""),"Education")</f>
        <v>Education</v>
      </c>
      <c r="I49" s="1" t="str">
        <f ca="1">IFERROR(__xludf.DUMMYFUNCTION("""COMPUTED_VALUE"""),"Former title: ZDM")</f>
        <v>Former title: ZDM</v>
      </c>
      <c r="J49" s="28"/>
    </row>
    <row r="50" spans="1:10" ht="12.75" customHeight="1" x14ac:dyDescent="0.25">
      <c r="A50" s="1"/>
      <c r="B50" s="1" t="str">
        <f ca="1">IFERROR(__xludf.DUMMYFUNCTION("""COMPUTED_VALUE"""),"タイトル変更")</f>
        <v>タイトル変更</v>
      </c>
      <c r="C50" s="1">
        <f ca="1">IFERROR(__xludf.DUMMYFUNCTION("""COMPUTED_VALUE"""),2023)</f>
        <v>2023</v>
      </c>
      <c r="D50" s="1">
        <f ca="1">IFERROR(__xludf.DUMMYFUNCTION("""COMPUTED_VALUE"""),101)</f>
        <v>101</v>
      </c>
      <c r="E50" s="1" t="str">
        <f ca="1">IFERROR(__xludf.DUMMYFUNCTION("""COMPUTED_VALUE"""),"Die Anaesthesiologie")</f>
        <v>Die Anaesthesiologie</v>
      </c>
      <c r="F50" s="1" t="str">
        <f ca="1">IFERROR(__xludf.DUMMYFUNCTION("""COMPUTED_VALUE"""),"2731-6866")</f>
        <v>2731-6866</v>
      </c>
      <c r="G50" s="1" t="str">
        <f ca="1">IFERROR(__xludf.DUMMYFUNCTION("""COMPUTED_VALUE"""),"SpringerMedizin")</f>
        <v>SpringerMedizin</v>
      </c>
      <c r="H50" s="1" t="str">
        <f ca="1">IFERROR(__xludf.DUMMYFUNCTION("""COMPUTED_VALUE"""),"Medicine")</f>
        <v>Medicine</v>
      </c>
      <c r="I50" s="1" t="str">
        <f ca="1">IFERROR(__xludf.DUMMYFUNCTION("""COMPUTED_VALUE"""),"Former title: Der Anaesthesist")</f>
        <v>Former title: Der Anaesthesist</v>
      </c>
      <c r="J50" s="28" t="str">
        <f ca="1">IFERROR(__xludf.DUMMYFUNCTION("""COMPUTED_VALUE"""),"Title change. Prior to Volume 71 published as Der Anaesthesist.")</f>
        <v>Title change. Prior to Volume 71 published as Der Anaesthesist.</v>
      </c>
    </row>
    <row r="51" spans="1:10" ht="12.75" customHeight="1" x14ac:dyDescent="0.25">
      <c r="A51" s="1"/>
      <c r="B51" s="1" t="str">
        <f ca="1">IFERROR(__xludf.DUMMYFUNCTION("""COMPUTED_VALUE"""),"タイトル変更")</f>
        <v>タイトル変更</v>
      </c>
      <c r="C51" s="1">
        <f ca="1">IFERROR(__xludf.DUMMYFUNCTION("""COMPUTED_VALUE"""),2023)</f>
        <v>2023</v>
      </c>
      <c r="D51" s="1">
        <f ca="1">IFERROR(__xludf.DUMMYFUNCTION("""COMPUTED_VALUE"""),104)</f>
        <v>104</v>
      </c>
      <c r="E51" s="1" t="str">
        <f ca="1">IFERROR(__xludf.DUMMYFUNCTION("""COMPUTED_VALUE"""),"Die Chirurgie")</f>
        <v>Die Chirurgie</v>
      </c>
      <c r="F51" s="1" t="str">
        <f ca="1">IFERROR(__xludf.DUMMYFUNCTION("""COMPUTED_VALUE"""),"2731-698X")</f>
        <v>2731-698X</v>
      </c>
      <c r="G51" s="1" t="str">
        <f ca="1">IFERROR(__xludf.DUMMYFUNCTION("""COMPUTED_VALUE"""),"SpringerMedizin")</f>
        <v>SpringerMedizin</v>
      </c>
      <c r="H51" s="1" t="str">
        <f ca="1">IFERROR(__xludf.DUMMYFUNCTION("""COMPUTED_VALUE"""),"Medicine")</f>
        <v>Medicine</v>
      </c>
      <c r="I51" s="1" t="str">
        <f ca="1">IFERROR(__xludf.DUMMYFUNCTION("""COMPUTED_VALUE"""),"Former title: Der Chirurg")</f>
        <v>Former title: Der Chirurg</v>
      </c>
      <c r="J51" s="28" t="str">
        <f ca="1">IFERROR(__xludf.DUMMYFUNCTION("""COMPUTED_VALUE"""),"Title change. Prior to Volume 93 published as Der Chirurg.")</f>
        <v>Title change. Prior to Volume 93 published as Der Chirurg.</v>
      </c>
    </row>
    <row r="52" spans="1:10" ht="12.75" customHeight="1" x14ac:dyDescent="0.25">
      <c r="A52" s="1"/>
      <c r="B52" s="1" t="str">
        <f ca="1">IFERROR(__xludf.DUMMYFUNCTION("""COMPUTED_VALUE"""),"タイトル変更")</f>
        <v>タイトル変更</v>
      </c>
      <c r="C52" s="1">
        <f ca="1">IFERROR(__xludf.DUMMYFUNCTION("""COMPUTED_VALUE"""),2023)</f>
        <v>2023</v>
      </c>
      <c r="D52" s="1">
        <f ca="1">IFERROR(__xludf.DUMMYFUNCTION("""COMPUTED_VALUE"""),105)</f>
        <v>105</v>
      </c>
      <c r="E52" s="1" t="str">
        <f ca="1">IFERROR(__xludf.DUMMYFUNCTION("""COMPUTED_VALUE"""),"Die Dermatologie")</f>
        <v>Die Dermatologie</v>
      </c>
      <c r="F52" s="1" t="str">
        <f ca="1">IFERROR(__xludf.DUMMYFUNCTION("""COMPUTED_VALUE"""),"2731-7013")</f>
        <v>2731-7013</v>
      </c>
      <c r="G52" s="1" t="str">
        <f ca="1">IFERROR(__xludf.DUMMYFUNCTION("""COMPUTED_VALUE"""),"SpringerMedizin")</f>
        <v>SpringerMedizin</v>
      </c>
      <c r="H52" s="1" t="str">
        <f ca="1">IFERROR(__xludf.DUMMYFUNCTION("""COMPUTED_VALUE"""),"Medicine")</f>
        <v>Medicine</v>
      </c>
      <c r="I52" s="1" t="str">
        <f ca="1">IFERROR(__xludf.DUMMYFUNCTION("""COMPUTED_VALUE"""),"Former title: Der Hautarzt")</f>
        <v>Former title: Der Hautarzt</v>
      </c>
      <c r="J52" s="28" t="str">
        <f ca="1">IFERROR(__xludf.DUMMYFUNCTION("""COMPUTED_VALUE"""),"Title change. Prior to Volume 73 published as Der Hautarzt.")</f>
        <v>Title change. Prior to Volume 73 published as Der Hautarzt.</v>
      </c>
    </row>
    <row r="53" spans="1:10" ht="12.75" customHeight="1" x14ac:dyDescent="0.25">
      <c r="A53" s="1"/>
      <c r="B53" s="1" t="str">
        <f ca="1">IFERROR(__xludf.DUMMYFUNCTION("""COMPUTED_VALUE"""),"タイトル変更")</f>
        <v>タイトル変更</v>
      </c>
      <c r="C53" s="1">
        <f ca="1">IFERROR(__xludf.DUMMYFUNCTION("""COMPUTED_VALUE"""),2023)</f>
        <v>2023</v>
      </c>
      <c r="D53" s="1">
        <f ca="1">IFERROR(__xludf.DUMMYFUNCTION("""COMPUTED_VALUE"""),11428)</f>
        <v>11428</v>
      </c>
      <c r="E53" s="1" t="str">
        <f ca="1">IFERROR(__xludf.DUMMYFUNCTION("""COMPUTED_VALUE"""),"Die Diabetologie")</f>
        <v>Die Diabetologie</v>
      </c>
      <c r="F53" s="1" t="str">
        <f ca="1">IFERROR(__xludf.DUMMYFUNCTION("""COMPUTED_VALUE"""),"2731-7455")</f>
        <v>2731-7455</v>
      </c>
      <c r="G53" s="1" t="str">
        <f ca="1">IFERROR(__xludf.DUMMYFUNCTION("""COMPUTED_VALUE"""),"SpringerMedizin")</f>
        <v>SpringerMedizin</v>
      </c>
      <c r="H53" s="1" t="str">
        <f ca="1">IFERROR(__xludf.DUMMYFUNCTION("""COMPUTED_VALUE"""),"Medicine")</f>
        <v>Medicine</v>
      </c>
      <c r="I53" s="1" t="str">
        <f ca="1">IFERROR(__xludf.DUMMYFUNCTION("""COMPUTED_VALUE"""),"Former title: Der Diabetologe")</f>
        <v>Former title: Der Diabetologe</v>
      </c>
      <c r="J53" s="28" t="str">
        <f ca="1">IFERROR(__xludf.DUMMYFUNCTION("""COMPUTED_VALUE"""),"Title change. Prior to Volume 18  published as Der Diabetologe.")</f>
        <v>Title change. Prior to Volume 18  published as Der Diabetologe.</v>
      </c>
    </row>
    <row r="54" spans="1:10" ht="12.75" customHeight="1" x14ac:dyDescent="0.25">
      <c r="A54" s="1"/>
      <c r="B54" s="1" t="str">
        <f ca="1">IFERROR(__xludf.DUMMYFUNCTION("""COMPUTED_VALUE"""),"タイトル変更")</f>
        <v>タイトル変更</v>
      </c>
      <c r="C54" s="1">
        <f ca="1">IFERROR(__xludf.DUMMYFUNCTION("""COMPUTED_VALUE"""),2023)</f>
        <v>2023</v>
      </c>
      <c r="D54" s="1">
        <f ca="1">IFERROR(__xludf.DUMMYFUNCTION("""COMPUTED_VALUE"""),11377)</f>
        <v>11377</v>
      </c>
      <c r="E54" s="1" t="str">
        <f ca="1">IFERROR(__xludf.DUMMYFUNCTION("""COMPUTED_VALUE"""),"Die Gastroenterologie")</f>
        <v>Die Gastroenterologie</v>
      </c>
      <c r="F54" s="1" t="str">
        <f ca="1">IFERROR(__xludf.DUMMYFUNCTION("""COMPUTED_VALUE"""),"2731-7439")</f>
        <v>2731-7439</v>
      </c>
      <c r="G54" s="1" t="str">
        <f ca="1">IFERROR(__xludf.DUMMYFUNCTION("""COMPUTED_VALUE"""),"SpringerMedizin")</f>
        <v>SpringerMedizin</v>
      </c>
      <c r="H54" s="1" t="str">
        <f ca="1">IFERROR(__xludf.DUMMYFUNCTION("""COMPUTED_VALUE"""),"Medicine")</f>
        <v>Medicine</v>
      </c>
      <c r="I54" s="1" t="str">
        <f ca="1">IFERROR(__xludf.DUMMYFUNCTION("""COMPUTED_VALUE"""),"Former title: Der Gastroenterologe")</f>
        <v>Former title: Der Gastroenterologe</v>
      </c>
      <c r="J54" s="28" t="str">
        <f ca="1">IFERROR(__xludf.DUMMYFUNCTION("""COMPUTED_VALUE"""),"Title change. Prior to Volume 17  published as Der Gastroenterologe.")</f>
        <v>Title change. Prior to Volume 17  published as Der Gastroenterologe.</v>
      </c>
    </row>
    <row r="55" spans="1:10" ht="12.75" customHeight="1" x14ac:dyDescent="0.25">
      <c r="A55" s="1"/>
      <c r="B55" s="1" t="str">
        <f ca="1">IFERROR(__xludf.DUMMYFUNCTION("""COMPUTED_VALUE"""),"タイトル変更")</f>
        <v>タイトル変更</v>
      </c>
      <c r="C55" s="1">
        <f ca="1">IFERROR(__xludf.DUMMYFUNCTION("""COMPUTED_VALUE"""),2023)</f>
        <v>2023</v>
      </c>
      <c r="D55" s="1">
        <f ca="1">IFERROR(__xludf.DUMMYFUNCTION("""COMPUTED_VALUE"""),129)</f>
        <v>129</v>
      </c>
      <c r="E55" s="1" t="str">
        <f ca="1">IFERROR(__xludf.DUMMYFUNCTION("""COMPUTED_VALUE"""),"Die Gynäkologie")</f>
        <v>Die Gynäkologie</v>
      </c>
      <c r="F55" s="1" t="str">
        <f ca="1">IFERROR(__xludf.DUMMYFUNCTION("""COMPUTED_VALUE"""),"2731-7110")</f>
        <v>2731-7110</v>
      </c>
      <c r="G55" s="1" t="str">
        <f ca="1">IFERROR(__xludf.DUMMYFUNCTION("""COMPUTED_VALUE"""),"SpringerMedizin")</f>
        <v>SpringerMedizin</v>
      </c>
      <c r="H55" s="1" t="str">
        <f ca="1">IFERROR(__xludf.DUMMYFUNCTION("""COMPUTED_VALUE"""),"Medicine")</f>
        <v>Medicine</v>
      </c>
      <c r="I55" s="1" t="str">
        <f ca="1">IFERROR(__xludf.DUMMYFUNCTION("""COMPUTED_VALUE"""),"Former title: Der Gynäkologe")</f>
        <v>Former title: Der Gynäkologe</v>
      </c>
      <c r="J55" s="28" t="str">
        <f ca="1">IFERROR(__xludf.DUMMYFUNCTION("""COMPUTED_VALUE"""),"Title change. Prior to Volume 55 published as Der Gynäkologe.")</f>
        <v>Title change. Prior to Volume 55 published as Der Gynäkologe.</v>
      </c>
    </row>
    <row r="56" spans="1:10" ht="12.75" customHeight="1" x14ac:dyDescent="0.25">
      <c r="A56" s="1"/>
      <c r="B56" s="1" t="str">
        <f ca="1">IFERROR(__xludf.DUMMYFUNCTION("""COMPUTED_VALUE"""),"タイトル変更")</f>
        <v>タイトル変更</v>
      </c>
      <c r="C56" s="1">
        <f ca="1">IFERROR(__xludf.DUMMYFUNCTION("""COMPUTED_VALUE"""),2023)</f>
        <v>2023</v>
      </c>
      <c r="D56" s="1">
        <f ca="1">IFERROR(__xludf.DUMMYFUNCTION("""COMPUTED_VALUE"""),108)</f>
        <v>108</v>
      </c>
      <c r="E56" s="1" t="str">
        <f ca="1">IFERROR(__xludf.DUMMYFUNCTION("""COMPUTED_VALUE"""),"Die Innere Medizin")</f>
        <v>Die Innere Medizin</v>
      </c>
      <c r="F56" s="1" t="str">
        <f ca="1">IFERROR(__xludf.DUMMYFUNCTION("""COMPUTED_VALUE"""),"2731-7099")</f>
        <v>2731-7099</v>
      </c>
      <c r="G56" s="1" t="str">
        <f ca="1">IFERROR(__xludf.DUMMYFUNCTION("""COMPUTED_VALUE"""),"SpringerMedizin")</f>
        <v>SpringerMedizin</v>
      </c>
      <c r="H56" s="1" t="str">
        <f ca="1">IFERROR(__xludf.DUMMYFUNCTION("""COMPUTED_VALUE"""),"Medicine")</f>
        <v>Medicine</v>
      </c>
      <c r="I56" s="1" t="str">
        <f ca="1">IFERROR(__xludf.DUMMYFUNCTION("""COMPUTED_VALUE"""),"Former title: Der Internist")</f>
        <v>Former title: Der Internist</v>
      </c>
      <c r="J56" s="28" t="str">
        <f ca="1">IFERROR(__xludf.DUMMYFUNCTION("""COMPUTED_VALUE"""),"Title change. Prior to Volume 73 published as Der Internist.")</f>
        <v>Title change. Prior to Volume 73 published as Der Internist.</v>
      </c>
    </row>
    <row r="57" spans="1:10" ht="12.75" customHeight="1" x14ac:dyDescent="0.25">
      <c r="A57" s="1"/>
      <c r="B57" s="1" t="str">
        <f ca="1">IFERROR(__xludf.DUMMYFUNCTION("""COMPUTED_VALUE"""),"タイトル変更")</f>
        <v>タイトル変更</v>
      </c>
      <c r="C57" s="1">
        <f ca="1">IFERROR(__xludf.DUMMYFUNCTION("""COMPUTED_VALUE"""),2023)</f>
        <v>2023</v>
      </c>
      <c r="D57" s="1">
        <f ca="1">IFERROR(__xludf.DUMMYFUNCTION("""COMPUTED_VALUE"""),12181)</f>
        <v>12181</v>
      </c>
      <c r="E57" s="1" t="str">
        <f ca="1">IFERROR(__xludf.DUMMYFUNCTION("""COMPUTED_VALUE"""),"Die Kardiologie")</f>
        <v>Die Kardiologie</v>
      </c>
      <c r="F57" s="1" t="str">
        <f ca="1">IFERROR(__xludf.DUMMYFUNCTION("""COMPUTED_VALUE"""),"2731-7137")</f>
        <v>2731-7137</v>
      </c>
      <c r="G57" s="1" t="str">
        <f ca="1">IFERROR(__xludf.DUMMYFUNCTION("""COMPUTED_VALUE"""),"SpringerMedizin")</f>
        <v>SpringerMedizin</v>
      </c>
      <c r="H57" s="1" t="str">
        <f ca="1">IFERROR(__xludf.DUMMYFUNCTION("""COMPUTED_VALUE"""),"Medicine")</f>
        <v>Medicine</v>
      </c>
      <c r="I57" s="1" t="str">
        <f ca="1">IFERROR(__xludf.DUMMYFUNCTION("""COMPUTED_VALUE"""),"Former title: Der Kardiologe")</f>
        <v>Former title: Der Kardiologe</v>
      </c>
      <c r="J57" s="28" t="str">
        <f ca="1">IFERROR(__xludf.DUMMYFUNCTION("""COMPUTED_VALUE"""),"Title change. Prior to Volume 16 published as Der Kardiologe.")</f>
        <v>Title change. Prior to Volume 16 published as Der Kardiologe.</v>
      </c>
    </row>
    <row r="58" spans="1:10" ht="12.75" customHeight="1" x14ac:dyDescent="0.25">
      <c r="A58" s="1"/>
      <c r="B58" s="1" t="str">
        <f ca="1">IFERROR(__xludf.DUMMYFUNCTION("""COMPUTED_VALUE"""),"タイトル変更")</f>
        <v>タイトル変更</v>
      </c>
      <c r="C58" s="1">
        <f ca="1">IFERROR(__xludf.DUMMYFUNCTION("""COMPUTED_VALUE"""),2023)</f>
        <v>2023</v>
      </c>
      <c r="D58" s="1">
        <f ca="1">IFERROR(__xludf.DUMMYFUNCTION("""COMPUTED_VALUE"""),12285)</f>
        <v>12285</v>
      </c>
      <c r="E58" s="1" t="str">
        <f ca="1">IFERROR(__xludf.DUMMYFUNCTION("""COMPUTED_VALUE"""),"Die MKG-Chirurgie")</f>
        <v>Die MKG-Chirurgie</v>
      </c>
      <c r="F58" s="1" t="str">
        <f ca="1">IFERROR(__xludf.DUMMYFUNCTION("""COMPUTED_VALUE"""),"2731-7498")</f>
        <v>2731-7498</v>
      </c>
      <c r="G58" s="1" t="str">
        <f ca="1">IFERROR(__xludf.DUMMYFUNCTION("""COMPUTED_VALUE"""),"SpringerMedizin")</f>
        <v>SpringerMedizin</v>
      </c>
      <c r="H58" s="1" t="str">
        <f ca="1">IFERROR(__xludf.DUMMYFUNCTION("""COMPUTED_VALUE"""),"Medicine")</f>
        <v>Medicine</v>
      </c>
      <c r="I58" s="1" t="str">
        <f ca="1">IFERROR(__xludf.DUMMYFUNCTION("""COMPUTED_VALUE"""),"Former title: Der MKG-Chirurg")</f>
        <v>Former title: Der MKG-Chirurg</v>
      </c>
      <c r="J58" s="28" t="str">
        <f ca="1">IFERROR(__xludf.DUMMYFUNCTION("""COMPUTED_VALUE"""),"Title change. Prior to Volume 15 published as Der MKG-Chirurg.")</f>
        <v>Title change. Prior to Volume 15 published as Der MKG-Chirurg.</v>
      </c>
    </row>
    <row r="59" spans="1:10" ht="12.75" customHeight="1" x14ac:dyDescent="0.25">
      <c r="A59" s="1"/>
      <c r="B59" s="1" t="str">
        <f ca="1">IFERROR(__xludf.DUMMYFUNCTION("""COMPUTED_VALUE"""),"タイトル変更")</f>
        <v>タイトル変更</v>
      </c>
      <c r="C59" s="1">
        <f ca="1">IFERROR(__xludf.DUMMYFUNCTION("""COMPUTED_VALUE"""),2023)</f>
        <v>2023</v>
      </c>
      <c r="D59" s="1">
        <f ca="1">IFERROR(__xludf.DUMMYFUNCTION("""COMPUTED_VALUE"""),11560)</f>
        <v>11560</v>
      </c>
      <c r="E59" s="1" t="str">
        <f ca="1">IFERROR(__xludf.DUMMYFUNCTION("""COMPUTED_VALUE"""),"Die Nephrologie")</f>
        <v>Die Nephrologie</v>
      </c>
      <c r="F59" s="1" t="str">
        <f ca="1">IFERROR(__xludf.DUMMYFUNCTION("""COMPUTED_VALUE"""),"2731-7471")</f>
        <v>2731-7471</v>
      </c>
      <c r="G59" s="1" t="str">
        <f ca="1">IFERROR(__xludf.DUMMYFUNCTION("""COMPUTED_VALUE"""),"SpringerMedizin")</f>
        <v>SpringerMedizin</v>
      </c>
      <c r="H59" s="1" t="str">
        <f ca="1">IFERROR(__xludf.DUMMYFUNCTION("""COMPUTED_VALUE"""),"Medicine")</f>
        <v>Medicine</v>
      </c>
      <c r="I59" s="1" t="str">
        <f ca="1">IFERROR(__xludf.DUMMYFUNCTION("""COMPUTED_VALUE"""),"Former title: Der Nephrologe")</f>
        <v>Former title: Der Nephrologe</v>
      </c>
      <c r="J59" s="28" t="str">
        <f ca="1">IFERROR(__xludf.DUMMYFUNCTION("""COMPUTED_VALUE"""),"Title change. Prior to Volume 17  published as Der Nephrologe.")</f>
        <v>Title change. Prior to Volume 17  published as Der Nephrologe.</v>
      </c>
    </row>
    <row r="60" spans="1:10" ht="12.75" customHeight="1" x14ac:dyDescent="0.25">
      <c r="A60" s="1"/>
      <c r="B60" s="1" t="str">
        <f ca="1">IFERROR(__xludf.DUMMYFUNCTION("""COMPUTED_VALUE"""),"タイトル変更")</f>
        <v>タイトル変更</v>
      </c>
      <c r="C60" s="1">
        <f ca="1">IFERROR(__xludf.DUMMYFUNCTION("""COMPUTED_VALUE"""),2023)</f>
        <v>2023</v>
      </c>
      <c r="D60" s="1">
        <f ca="1">IFERROR(__xludf.DUMMYFUNCTION("""COMPUTED_VALUE"""),761)</f>
        <v>761</v>
      </c>
      <c r="E60" s="1" t="str">
        <f ca="1">IFERROR(__xludf.DUMMYFUNCTION("""COMPUTED_VALUE"""),"Die Onkologie")</f>
        <v>Die Onkologie</v>
      </c>
      <c r="F60" s="1" t="str">
        <f ca="1">IFERROR(__xludf.DUMMYFUNCTION("""COMPUTED_VALUE"""),"2731-7234")</f>
        <v>2731-7234</v>
      </c>
      <c r="G60" s="1" t="str">
        <f ca="1">IFERROR(__xludf.DUMMYFUNCTION("""COMPUTED_VALUE"""),"SpringerMedizin")</f>
        <v>SpringerMedizin</v>
      </c>
      <c r="H60" s="1" t="str">
        <f ca="1">IFERROR(__xludf.DUMMYFUNCTION("""COMPUTED_VALUE"""),"Medicine")</f>
        <v>Medicine</v>
      </c>
      <c r="I60" s="1" t="str">
        <f ca="1">IFERROR(__xludf.DUMMYFUNCTION("""COMPUTED_VALUE"""),"Former title: Der Onkologe")</f>
        <v>Former title: Der Onkologe</v>
      </c>
      <c r="J60" s="28" t="str">
        <f ca="1">IFERROR(__xludf.DUMMYFUNCTION("""COMPUTED_VALUE"""),"Title change. Prior to Volume 28  published as Der Onkologe.")</f>
        <v>Title change. Prior to Volume 28  published as Der Onkologe.</v>
      </c>
    </row>
    <row r="61" spans="1:10" ht="12.75" customHeight="1" x14ac:dyDescent="0.25">
      <c r="A61" s="1"/>
      <c r="B61" s="1" t="str">
        <f ca="1">IFERROR(__xludf.DUMMYFUNCTION("""COMPUTED_VALUE"""),"タイトル変更")</f>
        <v>タイトル変更</v>
      </c>
      <c r="C61" s="1">
        <f ca="1">IFERROR(__xludf.DUMMYFUNCTION("""COMPUTED_VALUE"""),2023)</f>
        <v>2023</v>
      </c>
      <c r="D61" s="1">
        <f ca="1">IFERROR(__xludf.DUMMYFUNCTION("""COMPUTED_VALUE"""),347)</f>
        <v>347</v>
      </c>
      <c r="E61" s="1" t="str">
        <f ca="1">IFERROR(__xludf.DUMMYFUNCTION("""COMPUTED_VALUE"""),"Die Ophthalmologie")</f>
        <v>Die Ophthalmologie</v>
      </c>
      <c r="F61" s="1" t="str">
        <f ca="1">IFERROR(__xludf.DUMMYFUNCTION("""COMPUTED_VALUE"""),"2731-7218")</f>
        <v>2731-7218</v>
      </c>
      <c r="G61" s="1" t="str">
        <f ca="1">IFERROR(__xludf.DUMMYFUNCTION("""COMPUTED_VALUE"""),"SpringerMedizin")</f>
        <v>SpringerMedizin</v>
      </c>
      <c r="H61" s="1" t="str">
        <f ca="1">IFERROR(__xludf.DUMMYFUNCTION("""COMPUTED_VALUE"""),"Medicine")</f>
        <v>Medicine</v>
      </c>
      <c r="I61" s="1" t="str">
        <f ca="1">IFERROR(__xludf.DUMMYFUNCTION("""COMPUTED_VALUE"""),"Former title: Der Ophthalmologe")</f>
        <v>Former title: Der Ophthalmologe</v>
      </c>
      <c r="J61" s="28" t="str">
        <f ca="1">IFERROR(__xludf.DUMMYFUNCTION("""COMPUTED_VALUE"""),"Title change. Prior to Volume 119  published as Der Ophthalmologe.")</f>
        <v>Title change. Prior to Volume 119  published as Der Ophthalmologe.</v>
      </c>
    </row>
    <row r="62" spans="1:10" ht="12.75" customHeight="1" x14ac:dyDescent="0.25">
      <c r="A62" s="1"/>
      <c r="B62" s="1" t="str">
        <f ca="1">IFERROR(__xludf.DUMMYFUNCTION("""COMPUTED_VALUE"""),"タイトル変更")</f>
        <v>タイトル変更</v>
      </c>
      <c r="C62" s="1">
        <f ca="1">IFERROR(__xludf.DUMMYFUNCTION("""COMPUTED_VALUE"""),2023)</f>
        <v>2023</v>
      </c>
      <c r="D62" s="1">
        <f ca="1">IFERROR(__xludf.DUMMYFUNCTION("""COMPUTED_VALUE"""),132)</f>
        <v>132</v>
      </c>
      <c r="E62" s="1" t="str">
        <f ca="1">IFERROR(__xludf.DUMMYFUNCTION("""COMPUTED_VALUE"""),"Die Orthopädie")</f>
        <v>Die Orthopädie</v>
      </c>
      <c r="F62" s="1" t="str">
        <f ca="1">IFERROR(__xludf.DUMMYFUNCTION("""COMPUTED_VALUE"""),"2731-7153")</f>
        <v>2731-7153</v>
      </c>
      <c r="G62" s="1" t="str">
        <f ca="1">IFERROR(__xludf.DUMMYFUNCTION("""COMPUTED_VALUE"""),"SpringerMedizin")</f>
        <v>SpringerMedizin</v>
      </c>
      <c r="H62" s="1" t="str">
        <f ca="1">IFERROR(__xludf.DUMMYFUNCTION("""COMPUTED_VALUE"""),"Medicine")</f>
        <v>Medicine</v>
      </c>
      <c r="I62" s="1" t="str">
        <f ca="1">IFERROR(__xludf.DUMMYFUNCTION("""COMPUTED_VALUE"""),"Former title: Der Orthopäde")</f>
        <v>Former title: Der Orthopäde</v>
      </c>
      <c r="J62" s="28" t="str">
        <f ca="1">IFERROR(__xludf.DUMMYFUNCTION("""COMPUTED_VALUE"""),"Title change Prior to Volume 51 published as Der Orthopäde.")</f>
        <v>Title change Prior to Volume 51 published as Der Orthopäde.</v>
      </c>
    </row>
    <row r="63" spans="1:10" ht="12.75" customHeight="1" x14ac:dyDescent="0.25">
      <c r="A63" s="1"/>
      <c r="B63" s="1" t="str">
        <f ca="1">IFERROR(__xludf.DUMMYFUNCTION("""COMPUTED_VALUE"""),"タイトル変更")</f>
        <v>タイトル変更</v>
      </c>
      <c r="C63" s="1">
        <f ca="1">IFERROR(__xludf.DUMMYFUNCTION("""COMPUTED_VALUE"""),2023)</f>
        <v>2023</v>
      </c>
      <c r="D63" s="1">
        <f ca="1">IFERROR(__xludf.DUMMYFUNCTION("""COMPUTED_VALUE"""),292)</f>
        <v>292</v>
      </c>
      <c r="E63" s="1" t="str">
        <f ca="1">IFERROR(__xludf.DUMMYFUNCTION("""COMPUTED_VALUE"""),"Die Pathologie")</f>
        <v>Die Pathologie</v>
      </c>
      <c r="F63" s="1" t="str">
        <f ca="1">IFERROR(__xludf.DUMMYFUNCTION("""COMPUTED_VALUE"""),"2731-7196")</f>
        <v>2731-7196</v>
      </c>
      <c r="G63" s="1" t="str">
        <f ca="1">IFERROR(__xludf.DUMMYFUNCTION("""COMPUTED_VALUE"""),"SpringerMedizin")</f>
        <v>SpringerMedizin</v>
      </c>
      <c r="H63" s="1" t="str">
        <f ca="1">IFERROR(__xludf.DUMMYFUNCTION("""COMPUTED_VALUE"""),"Medicine")</f>
        <v>Medicine</v>
      </c>
      <c r="I63" s="1" t="str">
        <f ca="1">IFERROR(__xludf.DUMMYFUNCTION("""COMPUTED_VALUE"""),"Former title: Der Pathologe")</f>
        <v>Former title: Der Pathologe</v>
      </c>
      <c r="J63" s="28" t="str">
        <f ca="1">IFERROR(__xludf.DUMMYFUNCTION("""COMPUTED_VALUE"""),"Title change. Prior to Volume 43  published as Der Pathologe.")</f>
        <v>Title change. Prior to Volume 43  published as Der Pathologe.</v>
      </c>
    </row>
    <row r="64" spans="1:10" ht="12.75" customHeight="1" x14ac:dyDescent="0.25">
      <c r="A64" s="1"/>
      <c r="B64" s="1" t="str">
        <f ca="1">IFERROR(__xludf.DUMMYFUNCTION("""COMPUTED_VALUE"""),"タイトル変更")</f>
        <v>タイトル変更</v>
      </c>
      <c r="C64" s="1">
        <f ca="1">IFERROR(__xludf.DUMMYFUNCTION("""COMPUTED_VALUE"""),2023)</f>
        <v>2023</v>
      </c>
      <c r="D64" s="1">
        <f ca="1">IFERROR(__xludf.DUMMYFUNCTION("""COMPUTED_VALUE"""),278)</f>
        <v>278</v>
      </c>
      <c r="E64" s="1" t="str">
        <f ca="1">IFERROR(__xludf.DUMMYFUNCTION("""COMPUTED_VALUE"""),"Die Psychotherapie")</f>
        <v>Die Psychotherapie</v>
      </c>
      <c r="F64" s="1" t="str">
        <f ca="1">IFERROR(__xludf.DUMMYFUNCTION("""COMPUTED_VALUE"""),"2731-717X")</f>
        <v>2731-717X</v>
      </c>
      <c r="G64" s="1" t="str">
        <f ca="1">IFERROR(__xludf.DUMMYFUNCTION("""COMPUTED_VALUE"""),"SpringerMedizin")</f>
        <v>SpringerMedizin</v>
      </c>
      <c r="H64" s="1" t="str">
        <f ca="1">IFERROR(__xludf.DUMMYFUNCTION("""COMPUTED_VALUE"""),"Medicine")</f>
        <v>Medicine</v>
      </c>
      <c r="I64" s="1" t="str">
        <f ca="1">IFERROR(__xludf.DUMMYFUNCTION("""COMPUTED_VALUE"""),"Former title: Psychotherapeut")</f>
        <v>Former title: Psychotherapeut</v>
      </c>
      <c r="J64" s="28" t="str">
        <f ca="1">IFERROR(__xludf.DUMMYFUNCTION("""COMPUTED_VALUE"""),"Title change. Prior to Volume 67  published as Psychotherapeut.")</f>
        <v>Title change. Prior to Volume 67  published as Psychotherapeut.</v>
      </c>
    </row>
    <row r="65" spans="1:10" ht="12.75" customHeight="1" x14ac:dyDescent="0.25">
      <c r="A65" s="1"/>
      <c r="B65" s="1" t="str">
        <f ca="1">IFERROR(__xludf.DUMMYFUNCTION("""COMPUTED_VALUE"""),"タイトル変更")</f>
        <v>タイトル変更</v>
      </c>
      <c r="C65" s="1">
        <f ca="1">IFERROR(__xludf.DUMMYFUNCTION("""COMPUTED_VALUE"""),2023)</f>
        <v>2023</v>
      </c>
      <c r="D65" s="1">
        <f ca="1">IFERROR(__xludf.DUMMYFUNCTION("""COMPUTED_VALUE"""),117)</f>
        <v>117</v>
      </c>
      <c r="E65" s="1" t="str">
        <f ca="1">IFERROR(__xludf.DUMMYFUNCTION("""COMPUTED_VALUE"""),"Die Radiologie")</f>
        <v>Die Radiologie</v>
      </c>
      <c r="F65" s="1" t="str">
        <f ca="1">IFERROR(__xludf.DUMMYFUNCTION("""COMPUTED_VALUE"""),"2731-7056")</f>
        <v>2731-7056</v>
      </c>
      <c r="G65" s="1" t="str">
        <f ca="1">IFERROR(__xludf.DUMMYFUNCTION("""COMPUTED_VALUE"""),"SpringerMedizin")</f>
        <v>SpringerMedizin</v>
      </c>
      <c r="H65" s="1" t="str">
        <f ca="1">IFERROR(__xludf.DUMMYFUNCTION("""COMPUTED_VALUE"""),"Medicine")</f>
        <v>Medicine</v>
      </c>
      <c r="I65" s="1" t="str">
        <f ca="1">IFERROR(__xludf.DUMMYFUNCTION("""COMPUTED_VALUE"""),"Former title: Der Radiologe")</f>
        <v>Former title: Der Radiologe</v>
      </c>
      <c r="J65" s="28" t="str">
        <f ca="1">IFERROR(__xludf.DUMMYFUNCTION("""COMPUTED_VALUE"""),"Title change. Prior to Volume 62 published as Der Radiologe.")</f>
        <v>Title change. Prior to Volume 62 published as Der Radiologe.</v>
      </c>
    </row>
    <row r="66" spans="1:10" ht="12.75" customHeight="1" x14ac:dyDescent="0.25">
      <c r="A66" s="1"/>
      <c r="B66" s="1" t="str">
        <f ca="1">IFERROR(__xludf.DUMMYFUNCTION("""COMPUTED_VALUE"""),"タイトル変更")</f>
        <v>タイトル変更</v>
      </c>
      <c r="C66" s="1">
        <f ca="1">IFERROR(__xludf.DUMMYFUNCTION("""COMPUTED_VALUE"""),2023)</f>
        <v>2023</v>
      </c>
      <c r="D66" s="1">
        <f ca="1">IFERROR(__xludf.DUMMYFUNCTION("""COMPUTED_VALUE"""),113)</f>
        <v>113</v>
      </c>
      <c r="E66" s="1" t="str">
        <f ca="1">IFERROR(__xludf.DUMMYFUNCTION("""COMPUTED_VALUE"""),"Die Unfallchirurgie")</f>
        <v>Die Unfallchirurgie</v>
      </c>
      <c r="F66" s="1" t="str">
        <f ca="1">IFERROR(__xludf.DUMMYFUNCTION("""COMPUTED_VALUE"""),"2731-703X")</f>
        <v>2731-703X</v>
      </c>
      <c r="G66" s="1" t="str">
        <f ca="1">IFERROR(__xludf.DUMMYFUNCTION("""COMPUTED_VALUE"""),"SpringerMedizin")</f>
        <v>SpringerMedizin</v>
      </c>
      <c r="H66" s="1" t="str">
        <f ca="1">IFERROR(__xludf.DUMMYFUNCTION("""COMPUTED_VALUE"""),"Medicine")</f>
        <v>Medicine</v>
      </c>
      <c r="I66" s="1" t="str">
        <f ca="1">IFERROR(__xludf.DUMMYFUNCTION("""COMPUTED_VALUE"""),"Former title: Der Unfallchirurg")</f>
        <v>Former title: Der Unfallchirurg</v>
      </c>
      <c r="J66" s="28" t="str">
        <f ca="1">IFERROR(__xludf.DUMMYFUNCTION("""COMPUTED_VALUE"""),"Title change. Prior to Volume 125 published as Der Unfallchirurg.")</f>
        <v>Title change. Prior to Volume 125 published as Der Unfallchirurg.</v>
      </c>
    </row>
    <row r="67" spans="1:10" ht="12.75" customHeight="1" x14ac:dyDescent="0.25">
      <c r="A67" s="1"/>
      <c r="B67" s="1" t="str">
        <f ca="1">IFERROR(__xludf.DUMMYFUNCTION("""COMPUTED_VALUE"""),"タイトル変更")</f>
        <v>タイトル変更</v>
      </c>
      <c r="C67" s="1">
        <f ca="1">IFERROR(__xludf.DUMMYFUNCTION("""COMPUTED_VALUE"""),2023)</f>
        <v>2023</v>
      </c>
      <c r="D67" s="1">
        <f ca="1">IFERROR(__xludf.DUMMYFUNCTION("""COMPUTED_VALUE"""),120)</f>
        <v>120</v>
      </c>
      <c r="E67" s="1" t="str">
        <f ca="1">IFERROR(__xludf.DUMMYFUNCTION("""COMPUTED_VALUE"""),"Die Urologie")</f>
        <v>Die Urologie</v>
      </c>
      <c r="F67" s="1" t="str">
        <f ca="1">IFERROR(__xludf.DUMMYFUNCTION("""COMPUTED_VALUE"""),"2731-7072")</f>
        <v>2731-7072</v>
      </c>
      <c r="G67" s="1" t="str">
        <f ca="1">IFERROR(__xludf.DUMMYFUNCTION("""COMPUTED_VALUE"""),"SpringerMedizin")</f>
        <v>SpringerMedizin</v>
      </c>
      <c r="H67" s="1" t="str">
        <f ca="1">IFERROR(__xludf.DUMMYFUNCTION("""COMPUTED_VALUE"""),"Medicine")</f>
        <v>Medicine</v>
      </c>
      <c r="I67" s="1" t="str">
        <f ca="1">IFERROR(__xludf.DUMMYFUNCTION("""COMPUTED_VALUE"""),"Former title: Der Urologe")</f>
        <v>Former title: Der Urologe</v>
      </c>
      <c r="J67" s="28" t="str">
        <f ca="1">IFERROR(__xludf.DUMMYFUNCTION("""COMPUTED_VALUE"""),"Title change. Prior to Volume 61 published as Der Urologe.")</f>
        <v>Title change. Prior to Volume 61 published as Der Urologe.</v>
      </c>
    </row>
    <row r="68" spans="1:10" ht="12.75" customHeight="1" x14ac:dyDescent="0.25">
      <c r="A68" s="1"/>
      <c r="B68" s="1" t="str">
        <f ca="1">IFERROR(__xludf.DUMMYFUNCTION("""COMPUTED_VALUE"""),"タイトル変更")</f>
        <v>タイトル変更</v>
      </c>
      <c r="C68" s="1">
        <f ca="1">IFERROR(__xludf.DUMMYFUNCTION("""COMPUTED_VALUE"""),2023)</f>
        <v>2023</v>
      </c>
      <c r="D68" s="1">
        <f ca="1">IFERROR(__xludf.DUMMYFUNCTION("""COMPUTED_VALUE"""),15202)</f>
        <v>15202</v>
      </c>
      <c r="E68" s="1" t="str">
        <f ca="1">IFERROR(__xludf.DUMMYFUNCTION("""COMPUTED_VALUE"""),"DNP – Die Neurologie &amp; Psychiatrie")</f>
        <v>DNP – Die Neurologie &amp; Psychiatrie</v>
      </c>
      <c r="F68" s="1" t="str">
        <f ca="1">IFERROR(__xludf.DUMMYFUNCTION("""COMPUTED_VALUE"""),"2731-8176")</f>
        <v>2731-8176</v>
      </c>
      <c r="G68" s="1" t="str">
        <f ca="1">IFERROR(__xludf.DUMMYFUNCTION("""COMPUTED_VALUE"""),"SpringerMedizin")</f>
        <v>SpringerMedizin</v>
      </c>
      <c r="H68" s="1" t="str">
        <f ca="1">IFERROR(__xludf.DUMMYFUNCTION("""COMPUTED_VALUE"""),"Medicine")</f>
        <v>Medicine</v>
      </c>
      <c r="I68" s="1" t="str">
        <f ca="1">IFERROR(__xludf.DUMMYFUNCTION("""COMPUTED_VALUE"""),"Former title: DNP - Der Neurologe &amp; Psychiater")</f>
        <v>Former title: DNP - Der Neurologe &amp; Psychiater</v>
      </c>
      <c r="J68" s="28" t="str">
        <f ca="1">IFERROR(__xludf.DUMMYFUNCTION("""COMPUTED_VALUE"""),"Title change. Prior to Volume 23 published as  DNP - Der Neurologe und Psychiater. Available on link.springer.com and springermedizin.de.")</f>
        <v>Title change. Prior to Volume 23 published as  DNP - Der Neurologe und Psychiater. Available on link.springer.com and springermedizin.de.</v>
      </c>
    </row>
    <row r="69" spans="1:10" ht="12.75" customHeight="1" x14ac:dyDescent="0.25">
      <c r="A69" s="1"/>
      <c r="B69" s="1" t="str">
        <f ca="1">IFERROR(__xludf.DUMMYFUNCTION("""COMPUTED_VALUE"""),"タイトル変更")</f>
        <v>タイトル変更</v>
      </c>
      <c r="C69" s="1">
        <f ca="1">IFERROR(__xludf.DUMMYFUNCTION("""COMPUTED_VALUE"""),2023)</f>
        <v>2023</v>
      </c>
      <c r="D69" s="1">
        <f ca="1">IFERROR(__xludf.DUMMYFUNCTION("""COMPUTED_VALUE"""),10516)</f>
        <v>10516</v>
      </c>
      <c r="E69" s="1" t="str">
        <f ca="1">IFERROR(__xludf.DUMMYFUNCTION("""COMPUTED_VALUE"""),"Global Philosophy")</f>
        <v>Global Philosophy</v>
      </c>
      <c r="F69" s="1" t="str">
        <f ca="1">IFERROR(__xludf.DUMMYFUNCTION("""COMPUTED_VALUE"""),"1572-8390")</f>
        <v>1572-8390</v>
      </c>
      <c r="G69" s="1" t="str">
        <f ca="1">IFERROR(__xludf.DUMMYFUNCTION("""COMPUTED_VALUE"""),"Springer")</f>
        <v>Springer</v>
      </c>
      <c r="H69" s="1" t="str">
        <f ca="1">IFERROR(__xludf.DUMMYFUNCTION("""COMPUTED_VALUE"""),"Education")</f>
        <v>Education</v>
      </c>
      <c r="I69" s="1" t="str">
        <f ca="1">IFERROR(__xludf.DUMMYFUNCTION("""COMPUTED_VALUE"""),"Former title: Axiomathes")</f>
        <v>Former title: Axiomathes</v>
      </c>
      <c r="J69" s="28" t="str">
        <f ca="1">IFERROR(__xludf.DUMMYFUNCTION("""COMPUTED_VALUE"""),"Title change. Prior to Volume 32 published as Axiomathes.")</f>
        <v>Title change. Prior to Volume 32 published as Axiomathes.</v>
      </c>
    </row>
    <row r="70" spans="1:10" ht="12.75" customHeight="1" x14ac:dyDescent="0.25">
      <c r="A70" s="1"/>
      <c r="B70" s="1" t="str">
        <f ca="1">IFERROR(__xludf.DUMMYFUNCTION("""COMPUTED_VALUE"""),"タイトル変更")</f>
        <v>タイトル変更</v>
      </c>
      <c r="C70" s="1">
        <f ca="1">IFERROR(__xludf.DUMMYFUNCTION("""COMPUTED_VALUE"""),2023)</f>
        <v>2023</v>
      </c>
      <c r="D70" s="1">
        <f ca="1">IFERROR(__xludf.DUMMYFUNCTION("""COMPUTED_VALUE"""),11085)</f>
        <v>11085</v>
      </c>
      <c r="E70" s="1" t="str">
        <f ca="1">IFERROR(__xludf.DUMMYFUNCTION("""COMPUTED_VALUE"""),"High Temperature Corrosion of Materials")</f>
        <v>High Temperature Corrosion of Materials</v>
      </c>
      <c r="F70" s="1" t="str">
        <f ca="1">IFERROR(__xludf.DUMMYFUNCTION("""COMPUTED_VALUE"""),"1573-4889")</f>
        <v>1573-4889</v>
      </c>
      <c r="G70" s="1" t="str">
        <f ca="1">IFERROR(__xludf.DUMMYFUNCTION("""COMPUTED_VALUE"""),"Springer")</f>
        <v>Springer</v>
      </c>
      <c r="H70" s="1" t="str">
        <f ca="1">IFERROR(__xludf.DUMMYFUNCTION("""COMPUTED_VALUE"""),"Chemistry and Materials Science")</f>
        <v>Chemistry and Materials Science</v>
      </c>
      <c r="I70" s="1" t="str">
        <f ca="1">IFERROR(__xludf.DUMMYFUNCTION("""COMPUTED_VALUE"""),"Former title: Oxidation of Metals")</f>
        <v>Former title: Oxidation of Metals</v>
      </c>
      <c r="J70" s="28" t="str">
        <f ca="1">IFERROR(__xludf.DUMMYFUNCTION("""COMPUTED_VALUE"""),"Title change. Prior to Volume 98 published as Oxidation of Metals.")</f>
        <v>Title change. Prior to Volume 98 published as Oxidation of Metals.</v>
      </c>
    </row>
    <row r="71" spans="1:10" ht="12.75" customHeight="1" x14ac:dyDescent="0.25">
      <c r="A71" s="1"/>
      <c r="B71" s="1" t="str">
        <f ca="1">IFERROR(__xludf.DUMMYFUNCTION("""COMPUTED_VALUE"""),"タイトル変更")</f>
        <v>タイトル変更</v>
      </c>
      <c r="C71" s="1">
        <f ca="1">IFERROR(__xludf.DUMMYFUNCTION("""COMPUTED_VALUE"""),2023)</f>
        <v>2023</v>
      </c>
      <c r="D71" s="1">
        <f ca="1">IFERROR(__xludf.DUMMYFUNCTION("""COMPUTED_VALUE"""),40995)</f>
        <v>40995</v>
      </c>
      <c r="E71" s="1" t="str">
        <f ca="1">IFERROR(__xludf.DUMMYFUNCTION("""COMPUTED_VALUE"""),"Iranian Journal of Science")</f>
        <v>Iranian Journal of Science</v>
      </c>
      <c r="F71" s="1" t="str">
        <f ca="1">IFERROR(__xludf.DUMMYFUNCTION("""COMPUTED_VALUE"""),"2731-8109")</f>
        <v>2731-8109</v>
      </c>
      <c r="G71" s="1" t="str">
        <f ca="1">IFERROR(__xludf.DUMMYFUNCTION("""COMPUTED_VALUE"""),"Springer")</f>
        <v>Springer</v>
      </c>
      <c r="H71" s="1" t="str">
        <f ca="1">IFERROR(__xludf.DUMMYFUNCTION("""COMPUTED_VALUE"""),"Engineering")</f>
        <v>Engineering</v>
      </c>
      <c r="I71" s="1" t="str">
        <f ca="1">IFERROR(__xludf.DUMMYFUNCTION("""COMPUTED_VALUE"""),"Former title: Iranian Journal of Science and Technology, Transactions A: Science")</f>
        <v>Former title: Iranian Journal of Science and Technology, Transactions A: Science</v>
      </c>
      <c r="J71" s="28" t="str">
        <f ca="1">IFERROR(__xludf.DUMMYFUNCTION("""COMPUTED_VALUE"""),"Title change. Prior to Volume 46 published as Iranian Journal of Science and Technology, Transactions A: Science.")</f>
        <v>Title change. Prior to Volume 46 published as Iranian Journal of Science and Technology, Transactions A: Science.</v>
      </c>
    </row>
    <row r="72" spans="1:10" ht="12.75" customHeight="1" x14ac:dyDescent="0.25">
      <c r="A72" s="1"/>
      <c r="B72" s="1" t="str">
        <f ca="1">IFERROR(__xludf.DUMMYFUNCTION("""COMPUTED_VALUE"""),"タイトル変更")</f>
        <v>タイトル変更</v>
      </c>
      <c r="C72" s="1">
        <f ca="1">IFERROR(__xludf.DUMMYFUNCTION("""COMPUTED_VALUE"""),2023)</f>
        <v>2023</v>
      </c>
      <c r="D72" s="1">
        <f ca="1">IFERROR(__xludf.DUMMYFUNCTION("""COMPUTED_VALUE"""),40866)</f>
        <v>40866</v>
      </c>
      <c r="E72" s="1" t="str">
        <f ca="1">IFERROR(__xludf.DUMMYFUNCTION("""COMPUTED_VALUE"""),"Smart Grids and Sustainable Energy")</f>
        <v>Smart Grids and Sustainable Energy</v>
      </c>
      <c r="F72" s="1" t="str">
        <f ca="1">IFERROR(__xludf.DUMMYFUNCTION("""COMPUTED_VALUE"""),"2731-8087")</f>
        <v>2731-8087</v>
      </c>
      <c r="G72" s="1" t="str">
        <f ca="1">IFERROR(__xludf.DUMMYFUNCTION("""COMPUTED_VALUE"""),"Springer")</f>
        <v>Springer</v>
      </c>
      <c r="H72" s="1" t="str">
        <f ca="1">IFERROR(__xludf.DUMMYFUNCTION("""COMPUTED_VALUE"""),"Energy")</f>
        <v>Energy</v>
      </c>
      <c r="I72" s="1" t="str">
        <f ca="1">IFERROR(__xludf.DUMMYFUNCTION("""COMPUTED_VALUE"""),"Former title: Technology and Economics of Smart Grids and Sustainable Energy")</f>
        <v>Former title: Technology and Economics of Smart Grids and Sustainable Energy</v>
      </c>
      <c r="J72" s="28" t="str">
        <f ca="1">IFERROR(__xludf.DUMMYFUNCTION("""COMPUTED_VALUE"""),"Title change. Prior to Volume 7 published as Technology and Economics of Smart Grids and Sustainable Energy.")</f>
        <v>Title change. Prior to Volume 7 published as Technology and Economics of Smart Grids and Sustainable Energy.</v>
      </c>
    </row>
    <row r="73" spans="1:10" x14ac:dyDescent="0.25">
      <c r="A73" s="1"/>
      <c r="B73" s="1" t="str">
        <f ca="1">IFERROR(__xludf.DUMMYFUNCTION("""COMPUTED_VALUE"""),"タイトル変更")</f>
        <v>タイトル変更</v>
      </c>
      <c r="C73" s="1">
        <f ca="1">IFERROR(__xludf.DUMMYFUNCTION("""COMPUTED_VALUE"""),2023)</f>
        <v>2023</v>
      </c>
      <c r="D73" s="1">
        <f ca="1">IFERROR(__xludf.DUMMYFUNCTION("""COMPUTED_VALUE"""),550)</f>
        <v>550</v>
      </c>
      <c r="E73" s="1" t="str">
        <f ca="1">IFERROR(__xludf.DUMMYFUNCTION("""COMPUTED_VALUE"""),"Sustainability Nexus Forum")</f>
        <v>Sustainability Nexus Forum</v>
      </c>
      <c r="F73" s="1" t="str">
        <f ca="1">IFERROR(__xludf.DUMMYFUNCTION("""COMPUTED_VALUE"""),"2522-5995")</f>
        <v>2522-5995</v>
      </c>
      <c r="G73" s="1" t="str">
        <f ca="1">IFERROR(__xludf.DUMMYFUNCTION("""COMPUTED_VALUE"""),"Springer")</f>
        <v>Springer</v>
      </c>
      <c r="H73" s="1" t="str">
        <f ca="1">IFERROR(__xludf.DUMMYFUNCTION("""COMPUTED_VALUE"""),"Economics and Finance")</f>
        <v>Economics and Finance</v>
      </c>
      <c r="I73" s="1" t="str">
        <f ca="1">IFERROR(__xludf.DUMMYFUNCTION("""COMPUTED_VALUE"""),"Former title: Sustainability Management Forum | NachhaltigkeitsManagementForum")</f>
        <v>Former title: Sustainability Management Forum | NachhaltigkeitsManagementForum</v>
      </c>
      <c r="J73" s="28" t="str">
        <f ca="1">IFERROR(__xludf.DUMMYFUNCTION("""COMPUTED_VALUE"""),"Title change. Prior to Volume 31 published as Sustainability Management Forum | NachhaltigkeitsManagementForum. ")</f>
        <v xml:space="preserve">Title change. Prior to Volume 31 published as Sustainability Management Forum | NachhaltigkeitsManagementForum. </v>
      </c>
    </row>
    <row r="74" spans="1:10" ht="12.75" customHeight="1" x14ac:dyDescent="0.25">
      <c r="A74" s="1"/>
      <c r="B74" s="1" t="str">
        <f ca="1">IFERROR(__xludf.DUMMYFUNCTION("""COMPUTED_VALUE"""),"タイトル変更")</f>
        <v>タイトル変更</v>
      </c>
      <c r="C74" s="1">
        <f ca="1">IFERROR(__xludf.DUMMYFUNCTION("""COMPUTED_VALUE"""),2023)</f>
        <v>2023</v>
      </c>
      <c r="D74" s="1">
        <f ca="1">IFERROR(__xludf.DUMMYFUNCTION("""COMPUTED_VALUE"""),10405)</f>
        <v>10405</v>
      </c>
      <c r="E74" s="1" t="str">
        <f ca="1">IFERROR(__xludf.DUMMYFUNCTION("""COMPUTED_VALUE"""),"Zeitschrift für Pneumologie")</f>
        <v>Zeitschrift für Pneumologie</v>
      </c>
      <c r="F74" s="1" t="str">
        <f ca="1">IFERROR(__xludf.DUMMYFUNCTION("""COMPUTED_VALUE"""),"2731-7412")</f>
        <v>2731-7412</v>
      </c>
      <c r="G74" s="1" t="str">
        <f ca="1">IFERROR(__xludf.DUMMYFUNCTION("""COMPUTED_VALUE"""),"SpringerMedizin")</f>
        <v>SpringerMedizin</v>
      </c>
      <c r="H74" s="1" t="str">
        <f ca="1">IFERROR(__xludf.DUMMYFUNCTION("""COMPUTED_VALUE"""),"Medicine")</f>
        <v>Medicine</v>
      </c>
      <c r="I74" s="1" t="str">
        <f ca="1">IFERROR(__xludf.DUMMYFUNCTION("""COMPUTED_VALUE"""),"Former title: Der Pneumologe")</f>
        <v>Former title: Der Pneumologe</v>
      </c>
      <c r="J74" s="28" t="str">
        <f ca="1">IFERROR(__xludf.DUMMYFUNCTION("""COMPUTED_VALUE"""),"Title change. Prior to Volume 19  published as Der Pneumologe.")</f>
        <v>Title change. Prior to Volume 19  published as Der Pneumologe.</v>
      </c>
    </row>
    <row r="75" spans="1:10" ht="12.75" customHeight="1" x14ac:dyDescent="0.25">
      <c r="A75" s="1"/>
      <c r="B75" s="1" t="str">
        <f ca="1">IFERROR(__xludf.DUMMYFUNCTION("""COMPUTED_VALUE"""),"ISSN-e 変更")</f>
        <v>ISSN-e 変更</v>
      </c>
      <c r="C75" s="1">
        <f ca="1">IFERROR(__xludf.DUMMYFUNCTION("""COMPUTED_VALUE"""),2022)</f>
        <v>2022</v>
      </c>
      <c r="D75" s="1">
        <f ca="1">IFERROR(__xludf.DUMMYFUNCTION("""COMPUTED_VALUE"""),43678)</f>
        <v>43678</v>
      </c>
      <c r="E75" s="1" t="str">
        <f ca="1">IFERROR(__xludf.DUMMYFUNCTION("""COMPUTED_VALUE"""),"Canadian Journal of Emergency Medicine")</f>
        <v>Canadian Journal of Emergency Medicine</v>
      </c>
      <c r="F75" s="1" t="str">
        <f ca="1">IFERROR(__xludf.DUMMYFUNCTION("""COMPUTED_VALUE"""),"1481-8043")</f>
        <v>1481-8043</v>
      </c>
      <c r="G75" s="1" t="str">
        <f ca="1">IFERROR(__xludf.DUMMYFUNCTION("""COMPUTED_VALUE"""),"Springer")</f>
        <v>Springer</v>
      </c>
      <c r="H75" s="1" t="str">
        <f ca="1">IFERROR(__xludf.DUMMYFUNCTION("""COMPUTED_VALUE"""),"Medicine")</f>
        <v>Medicine</v>
      </c>
      <c r="I75" s="1" t="str">
        <f ca="1">IFERROR(__xludf.DUMMYFUNCTION("""COMPUTED_VALUE"""),"Old ISSN-e: 1481-8035")</f>
        <v>Old ISSN-e: 1481-8035</v>
      </c>
      <c r="J75" s="28"/>
    </row>
    <row r="76" spans="1:10" ht="12.75" customHeight="1" x14ac:dyDescent="0.25">
      <c r="A76" s="1"/>
      <c r="B76" s="1" t="str">
        <f ca="1">IFERROR(__xludf.DUMMYFUNCTION("""COMPUTED_VALUE"""),"ISSN-e 変更")</f>
        <v>ISSN-e 変更</v>
      </c>
      <c r="C76" s="1">
        <f ca="1">IFERROR(__xludf.DUMMYFUNCTION("""COMPUTED_VALUE"""),2022)</f>
        <v>2022</v>
      </c>
      <c r="D76" s="1">
        <f ca="1">IFERROR(__xludf.DUMMYFUNCTION("""COMPUTED_VALUE"""),11696)</f>
        <v>11696</v>
      </c>
      <c r="E76" s="1" t="str">
        <f ca="1">IFERROR(__xludf.DUMMYFUNCTION("""COMPUTED_VALUE"""),"Chemical Papers")</f>
        <v>Chemical Papers</v>
      </c>
      <c r="F76" s="1" t="str">
        <f ca="1">IFERROR(__xludf.DUMMYFUNCTION("""COMPUTED_VALUE"""),"2585-7290")</f>
        <v>2585-7290</v>
      </c>
      <c r="G76" s="1" t="str">
        <f ca="1">IFERROR(__xludf.DUMMYFUNCTION("""COMPUTED_VALUE"""),"Springer")</f>
        <v>Springer</v>
      </c>
      <c r="H76" s="1" t="str">
        <f ca="1">IFERROR(__xludf.DUMMYFUNCTION("""COMPUTED_VALUE"""),"Chemistry and Materials Science")</f>
        <v>Chemistry and Materials Science</v>
      </c>
      <c r="I76" s="1" t="str">
        <f ca="1">IFERROR(__xludf.DUMMYFUNCTION("""COMPUTED_VALUE"""),"Old ISSN-e: 1336-9075")</f>
        <v>Old ISSN-e: 1336-9075</v>
      </c>
      <c r="J76" s="28"/>
    </row>
    <row r="77" spans="1:10" ht="12.75" customHeight="1" x14ac:dyDescent="0.25">
      <c r="A77" s="1"/>
      <c r="B77" s="1" t="str">
        <f ca="1">IFERROR(__xludf.DUMMYFUNCTION("""COMPUTED_VALUE"""),"ISSN-e 変更")</f>
        <v>ISSN-e 変更</v>
      </c>
      <c r="C77" s="1">
        <f ca="1">IFERROR(__xludf.DUMMYFUNCTION("""COMPUTED_VALUE"""),2022)</f>
        <v>2022</v>
      </c>
      <c r="D77" s="1">
        <f ca="1">IFERROR(__xludf.DUMMYFUNCTION("""COMPUTED_VALUE"""),41127)</f>
        <v>41127</v>
      </c>
      <c r="E77" s="1" t="str">
        <f ca="1">IFERROR(__xludf.DUMMYFUNCTION("""COMPUTED_VALUE"""),"Graphene and 2D Materials")</f>
        <v>Graphene and 2D Materials</v>
      </c>
      <c r="F77" s="1" t="str">
        <f ca="1">IFERROR(__xludf.DUMMYFUNCTION("""COMPUTED_VALUE"""),"2731-6513")</f>
        <v>2731-6513</v>
      </c>
      <c r="G77" s="1" t="str">
        <f ca="1">IFERROR(__xludf.DUMMYFUNCTION("""COMPUTED_VALUE"""),"Springer")</f>
        <v>Springer</v>
      </c>
      <c r="H77" s="1" t="str">
        <f ca="1">IFERROR(__xludf.DUMMYFUNCTION("""COMPUTED_VALUE"""),"Chemistry and Materials Science")</f>
        <v>Chemistry and Materials Science</v>
      </c>
      <c r="I77" s="1" t="str">
        <f ca="1">IFERROR(__xludf.DUMMYFUNCTION("""COMPUTED_VALUE"""),"Old ISSN-e: 2730-9967")</f>
        <v>Old ISSN-e: 2730-9967</v>
      </c>
      <c r="J77" s="28"/>
    </row>
    <row r="78" spans="1:10" ht="12.75" customHeight="1" x14ac:dyDescent="0.25">
      <c r="A78" s="1"/>
      <c r="B78" s="1" t="str">
        <f ca="1">IFERROR(__xludf.DUMMYFUNCTION("""COMPUTED_VALUE"""),"ISSN-e 変更")</f>
        <v>ISSN-e 変更</v>
      </c>
      <c r="C78" s="1">
        <f ca="1">IFERROR(__xludf.DUMMYFUNCTION("""COMPUTED_VALUE"""),2022)</f>
        <v>2022</v>
      </c>
      <c r="D78" s="1">
        <f ca="1">IFERROR(__xludf.DUMMYFUNCTION("""COMPUTED_VALUE"""),42106)</f>
        <v>42106</v>
      </c>
      <c r="E78" s="1" t="str">
        <f ca="1">IFERROR(__xludf.DUMMYFUNCTION("""COMPUTED_VALUE"""),"International Journal of Plant Production")</f>
        <v>International Journal of Plant Production</v>
      </c>
      <c r="F78" s="1" t="str">
        <f ca="1">IFERROR(__xludf.DUMMYFUNCTION("""COMPUTED_VALUE"""),"1735-8043")</f>
        <v>1735-8043</v>
      </c>
      <c r="G78" s="1" t="str">
        <f ca="1">IFERROR(__xludf.DUMMYFUNCTION("""COMPUTED_VALUE"""),"Springer")</f>
        <v>Springer</v>
      </c>
      <c r="H78" s="1" t="str">
        <f ca="1">IFERROR(__xludf.DUMMYFUNCTION("""COMPUTED_VALUE"""),"Biomedical and Life Sciences")</f>
        <v>Biomedical and Life Sciences</v>
      </c>
      <c r="I78" s="1" t="str">
        <f ca="1">IFERROR(__xludf.DUMMYFUNCTION("""COMPUTED_VALUE"""),"Old ISSN-e: 1735-6814")</f>
        <v>Old ISSN-e: 1735-6814</v>
      </c>
      <c r="J78" s="28"/>
    </row>
    <row r="79" spans="1:10" ht="12.75" customHeight="1" x14ac:dyDescent="0.25">
      <c r="A79" s="1"/>
      <c r="B79" s="1" t="str">
        <f ca="1">IFERROR(__xludf.DUMMYFUNCTION("""COMPUTED_VALUE"""),"ISSN-e 変更")</f>
        <v>ISSN-e 変更</v>
      </c>
      <c r="C79" s="1">
        <f ca="1">IFERROR(__xludf.DUMMYFUNCTION("""COMPUTED_VALUE"""),2022)</f>
        <v>2022</v>
      </c>
      <c r="D79" s="1">
        <f ca="1">IFERROR(__xludf.DUMMYFUNCTION("""COMPUTED_VALUE"""),10935)</f>
        <v>10935</v>
      </c>
      <c r="E79" s="1" t="str">
        <f ca="1">IFERROR(__xludf.DUMMYFUNCTION("""COMPUTED_VALUE"""),"Journal of Prevention")</f>
        <v>Journal of Prevention</v>
      </c>
      <c r="F79" s="1" t="str">
        <f ca="1">IFERROR(__xludf.DUMMYFUNCTION("""COMPUTED_VALUE"""),"2731-5541")</f>
        <v>2731-5541</v>
      </c>
      <c r="G79" s="1" t="str">
        <f ca="1">IFERROR(__xludf.DUMMYFUNCTION("""COMPUTED_VALUE"""),"Springer")</f>
        <v>Springer</v>
      </c>
      <c r="H79" s="1" t="str">
        <f ca="1">IFERROR(__xludf.DUMMYFUNCTION("""COMPUTED_VALUE"""),"Medicine")</f>
        <v>Medicine</v>
      </c>
      <c r="I79" s="1" t="str">
        <f ca="1">IFERROR(__xludf.DUMMYFUNCTION("""COMPUTED_VALUE"""),"Old ISSN-e: 1573-6547")</f>
        <v>Old ISSN-e: 1573-6547</v>
      </c>
      <c r="J79" s="28"/>
    </row>
    <row r="80" spans="1:10" ht="12.75" customHeight="1" x14ac:dyDescent="0.25">
      <c r="A80" s="1"/>
      <c r="B80" s="1" t="str">
        <f ca="1">IFERROR(__xludf.DUMMYFUNCTION("""COMPUTED_VALUE"""),"ISSN-e 変更")</f>
        <v>ISSN-e 変更</v>
      </c>
      <c r="C80" s="1">
        <f ca="1">IFERROR(__xludf.DUMMYFUNCTION("""COMPUTED_VALUE"""),2022)</f>
        <v>2022</v>
      </c>
      <c r="D80" s="1">
        <f ca="1">IFERROR(__xludf.DUMMYFUNCTION("""COMPUTED_VALUE"""),40881)</f>
        <v>40881</v>
      </c>
      <c r="E80" s="1" t="str">
        <f ca="1">IFERROR(__xludf.DUMMYFUNCTION("""COMPUTED_VALUE"""),"Journal of the Economic Science Association")</f>
        <v>Journal of the Economic Science Association</v>
      </c>
      <c r="F80" s="1" t="str">
        <f ca="1">IFERROR(__xludf.DUMMYFUNCTION("""COMPUTED_VALUE"""),"2199-6776")</f>
        <v>2199-6776</v>
      </c>
      <c r="G80" s="1" t="str">
        <f ca="1">IFERROR(__xludf.DUMMYFUNCTION("""COMPUTED_VALUE"""),"Springer")</f>
        <v>Springer</v>
      </c>
      <c r="H80" s="1" t="str">
        <f ca="1">IFERROR(__xludf.DUMMYFUNCTION("""COMPUTED_VALUE"""),"Economics and Finance")</f>
        <v>Economics and Finance</v>
      </c>
      <c r="I80" s="1" t="str">
        <f ca="1">IFERROR(__xludf.DUMMYFUNCTION("""COMPUTED_VALUE"""),"Old ISSN-e: 2199-6784")</f>
        <v>Old ISSN-e: 2199-6784</v>
      </c>
      <c r="J80" s="28"/>
    </row>
    <row r="81" spans="1:10" ht="12.75" customHeight="1" x14ac:dyDescent="0.25">
      <c r="A81" s="1"/>
      <c r="B81" s="1" t="str">
        <f ca="1">IFERROR(__xludf.DUMMYFUNCTION("""COMPUTED_VALUE"""),"ISSN-e 変更")</f>
        <v>ISSN-e 変更</v>
      </c>
      <c r="C81" s="1">
        <f ca="1">IFERROR(__xludf.DUMMYFUNCTION("""COMPUTED_VALUE"""),2022)</f>
        <v>2022</v>
      </c>
      <c r="D81" s="1">
        <f ca="1">IFERROR(__xludf.DUMMYFUNCTION("""COMPUTED_VALUE"""),44029)</f>
        <v>44029</v>
      </c>
      <c r="E81" s="1" t="str">
        <f ca="1">IFERROR(__xludf.DUMMYFUNCTION("""COMPUTED_VALUE"""),"maschinenbau")</f>
        <v>maschinenbau</v>
      </c>
      <c r="F81" s="1" t="str">
        <f ca="1">IFERROR(__xludf.DUMMYFUNCTION("""COMPUTED_VALUE"""),"2730-9843")</f>
        <v>2730-9843</v>
      </c>
      <c r="G81" s="1" t="str">
        <f ca="1">IFERROR(__xludf.DUMMYFUNCTION("""COMPUTED_VALUE"""),"Springer Vieweg")</f>
        <v>Springer Vieweg</v>
      </c>
      <c r="H81" s="1" t="str">
        <f ca="1">IFERROR(__xludf.DUMMYFUNCTION("""COMPUTED_VALUE"""),"Engineering")</f>
        <v>Engineering</v>
      </c>
      <c r="I81" s="1" t="str">
        <f ca="1">IFERROR(__xludf.DUMMYFUNCTION("""COMPUTED_VALUE"""),"Old ISSN-e: 1573-0530")</f>
        <v>Old ISSN-e: 1573-0530</v>
      </c>
      <c r="J81" s="28"/>
    </row>
    <row r="82" spans="1:10" ht="12.75" customHeight="1" x14ac:dyDescent="0.25">
      <c r="A82" s="1"/>
      <c r="B82" s="1" t="str">
        <f ca="1">IFERROR(__xludf.DUMMYFUNCTION("""COMPUTED_VALUE"""),"ISSN-e 変更")</f>
        <v>ISSN-e 変更</v>
      </c>
      <c r="C82" s="1">
        <f ca="1">IFERROR(__xludf.DUMMYFUNCTION("""COMPUTED_VALUE"""),2022)</f>
        <v>2022</v>
      </c>
      <c r="D82" s="1">
        <f ca="1">IFERROR(__xludf.DUMMYFUNCTION("""COMPUTED_VALUE"""),12201)</f>
        <v>12201</v>
      </c>
      <c r="E82" s="1" t="str">
        <f ca="1">IFERROR(__xludf.DUMMYFUNCTION("""COMPUTED_VALUE"""),"Nanobiotechnology Reports")</f>
        <v>Nanobiotechnology Reports</v>
      </c>
      <c r="F82" s="1" t="str">
        <f ca="1">IFERROR(__xludf.DUMMYFUNCTION("""COMPUTED_VALUE"""),"2635-1684")</f>
        <v>2635-1684</v>
      </c>
      <c r="G82" s="1" t="str">
        <f ca="1">IFERROR(__xludf.DUMMYFUNCTION("""COMPUTED_VALUE"""),"Pleiades Publishing")</f>
        <v>Pleiades Publishing</v>
      </c>
      <c r="H82" s="1" t="str">
        <f ca="1">IFERROR(__xludf.DUMMYFUNCTION("""COMPUTED_VALUE"""),"Chemistry and Materials Science")</f>
        <v>Chemistry and Materials Science</v>
      </c>
      <c r="I82" s="1" t="str">
        <f ca="1">IFERROR(__xludf.DUMMYFUNCTION("""COMPUTED_VALUE"""),"Old ISSN-e: 1995-0799")</f>
        <v>Old ISSN-e: 1995-0799</v>
      </c>
      <c r="J82" s="28"/>
    </row>
    <row r="83" spans="1:10" ht="12.75" customHeight="1" x14ac:dyDescent="0.25">
      <c r="A83" s="1"/>
      <c r="B83" s="1" t="str">
        <f ca="1">IFERROR(__xludf.DUMMYFUNCTION("""COMPUTED_VALUE"""),"ISSN-e 変更")</f>
        <v>ISSN-e 変更</v>
      </c>
      <c r="C83" s="1">
        <f ca="1">IFERROR(__xludf.DUMMYFUNCTION("""COMPUTED_VALUE"""),2023)</f>
        <v>2023</v>
      </c>
      <c r="D83" s="1">
        <f ca="1">IFERROR(__xludf.DUMMYFUNCTION("""COMPUTED_VALUE"""),101)</f>
        <v>101</v>
      </c>
      <c r="E83" s="1" t="str">
        <f ca="1">IFERROR(__xludf.DUMMYFUNCTION("""COMPUTED_VALUE"""),"Die Anaesthesiologie")</f>
        <v>Die Anaesthesiologie</v>
      </c>
      <c r="F83" s="1" t="str">
        <f ca="1">IFERROR(__xludf.DUMMYFUNCTION("""COMPUTED_VALUE"""),"2731-6866")</f>
        <v>2731-6866</v>
      </c>
      <c r="G83" s="1" t="str">
        <f ca="1">IFERROR(__xludf.DUMMYFUNCTION("""COMPUTED_VALUE"""),"SpringerMedizin")</f>
        <v>SpringerMedizin</v>
      </c>
      <c r="H83" s="1" t="str">
        <f ca="1">IFERROR(__xludf.DUMMYFUNCTION("""COMPUTED_VALUE"""),"Medicine")</f>
        <v>Medicine</v>
      </c>
      <c r="I83" s="1" t="str">
        <f ca="1">IFERROR(__xludf.DUMMYFUNCTION("""COMPUTED_VALUE"""),"Old ISSN-e:1432-055X")</f>
        <v>Old ISSN-e:1432-055X</v>
      </c>
      <c r="J83" s="28"/>
    </row>
    <row r="84" spans="1:10" ht="12.75" customHeight="1" x14ac:dyDescent="0.25">
      <c r="A84" s="1"/>
      <c r="B84" s="1" t="str">
        <f ca="1">IFERROR(__xludf.DUMMYFUNCTION("""COMPUTED_VALUE"""),"ISSN-e 変更")</f>
        <v>ISSN-e 変更</v>
      </c>
      <c r="C84" s="1">
        <f ca="1">IFERROR(__xludf.DUMMYFUNCTION("""COMPUTED_VALUE"""),2023)</f>
        <v>2023</v>
      </c>
      <c r="D84" s="1">
        <f ca="1">IFERROR(__xludf.DUMMYFUNCTION("""COMPUTED_VALUE"""),104)</f>
        <v>104</v>
      </c>
      <c r="E84" s="1" t="str">
        <f ca="1">IFERROR(__xludf.DUMMYFUNCTION("""COMPUTED_VALUE"""),"Die Chirurgie")</f>
        <v>Die Chirurgie</v>
      </c>
      <c r="F84" s="1" t="str">
        <f ca="1">IFERROR(__xludf.DUMMYFUNCTION("""COMPUTED_VALUE"""),"2731-698X")</f>
        <v>2731-698X</v>
      </c>
      <c r="G84" s="1" t="str">
        <f ca="1">IFERROR(__xludf.DUMMYFUNCTION("""COMPUTED_VALUE"""),"SpringerMedizin")</f>
        <v>SpringerMedizin</v>
      </c>
      <c r="H84" s="1" t="str">
        <f ca="1">IFERROR(__xludf.DUMMYFUNCTION("""COMPUTED_VALUE"""),"Medicine")</f>
        <v>Medicine</v>
      </c>
      <c r="I84" s="1" t="str">
        <f ca="1">IFERROR(__xludf.DUMMYFUNCTION("""COMPUTED_VALUE"""),"Old ISSN-e:1433-0385")</f>
        <v>Old ISSN-e:1433-0385</v>
      </c>
      <c r="J84" s="28"/>
    </row>
    <row r="85" spans="1:10" ht="12.75" customHeight="1" x14ac:dyDescent="0.25">
      <c r="A85" s="1"/>
      <c r="B85" s="1" t="str">
        <f ca="1">IFERROR(__xludf.DUMMYFUNCTION("""COMPUTED_VALUE"""),"ISSN-e 変更")</f>
        <v>ISSN-e 変更</v>
      </c>
      <c r="C85" s="1">
        <f ca="1">IFERROR(__xludf.DUMMYFUNCTION("""COMPUTED_VALUE"""),2023)</f>
        <v>2023</v>
      </c>
      <c r="D85" s="1">
        <f ca="1">IFERROR(__xludf.DUMMYFUNCTION("""COMPUTED_VALUE"""),105)</f>
        <v>105</v>
      </c>
      <c r="E85" s="1" t="str">
        <f ca="1">IFERROR(__xludf.DUMMYFUNCTION("""COMPUTED_VALUE"""),"Die Dermatologie")</f>
        <v>Die Dermatologie</v>
      </c>
      <c r="F85" s="1" t="str">
        <f ca="1">IFERROR(__xludf.DUMMYFUNCTION("""COMPUTED_VALUE"""),"2731-7013")</f>
        <v>2731-7013</v>
      </c>
      <c r="G85" s="1" t="str">
        <f ca="1">IFERROR(__xludf.DUMMYFUNCTION("""COMPUTED_VALUE"""),"SpringerMedizin")</f>
        <v>SpringerMedizin</v>
      </c>
      <c r="H85" s="1" t="str">
        <f ca="1">IFERROR(__xludf.DUMMYFUNCTION("""COMPUTED_VALUE"""),"Medicine")</f>
        <v>Medicine</v>
      </c>
      <c r="I85" s="1" t="str">
        <f ca="1">IFERROR(__xludf.DUMMYFUNCTION("""COMPUTED_VALUE"""),"Old ISSN-e:1432-1173")</f>
        <v>Old ISSN-e:1432-1173</v>
      </c>
      <c r="J85" s="28"/>
    </row>
    <row r="86" spans="1:10" ht="12.75" customHeight="1" x14ac:dyDescent="0.25">
      <c r="A86" s="1"/>
      <c r="B86" s="1" t="str">
        <f ca="1">IFERROR(__xludf.DUMMYFUNCTION("""COMPUTED_VALUE"""),"ISSN-e 変更")</f>
        <v>ISSN-e 変更</v>
      </c>
      <c r="C86" s="1">
        <f ca="1">IFERROR(__xludf.DUMMYFUNCTION("""COMPUTED_VALUE"""),2023)</f>
        <v>2023</v>
      </c>
      <c r="D86" s="1">
        <f ca="1">IFERROR(__xludf.DUMMYFUNCTION("""COMPUTED_VALUE"""),11428)</f>
        <v>11428</v>
      </c>
      <c r="E86" s="1" t="str">
        <f ca="1">IFERROR(__xludf.DUMMYFUNCTION("""COMPUTED_VALUE"""),"Die Diabetologie")</f>
        <v>Die Diabetologie</v>
      </c>
      <c r="F86" s="1" t="str">
        <f ca="1">IFERROR(__xludf.DUMMYFUNCTION("""COMPUTED_VALUE"""),"2731-7455")</f>
        <v>2731-7455</v>
      </c>
      <c r="G86" s="1" t="str">
        <f ca="1">IFERROR(__xludf.DUMMYFUNCTION("""COMPUTED_VALUE"""),"SpringerMedizin")</f>
        <v>SpringerMedizin</v>
      </c>
      <c r="H86" s="1" t="str">
        <f ca="1">IFERROR(__xludf.DUMMYFUNCTION("""COMPUTED_VALUE"""),"Medicine")</f>
        <v>Medicine</v>
      </c>
      <c r="I86" s="1" t="str">
        <f ca="1">IFERROR(__xludf.DUMMYFUNCTION("""COMPUTED_VALUE"""),"Old ISSN-e:1860-9724")</f>
        <v>Old ISSN-e:1860-9724</v>
      </c>
      <c r="J86" s="28"/>
    </row>
    <row r="87" spans="1:10" ht="12.75" customHeight="1" x14ac:dyDescent="0.25">
      <c r="A87" s="1"/>
      <c r="B87" s="1" t="str">
        <f ca="1">IFERROR(__xludf.DUMMYFUNCTION("""COMPUTED_VALUE"""),"ISSN-e 変更")</f>
        <v>ISSN-e 変更</v>
      </c>
      <c r="C87" s="1">
        <f ca="1">IFERROR(__xludf.DUMMYFUNCTION("""COMPUTED_VALUE"""),2023)</f>
        <v>2023</v>
      </c>
      <c r="D87" s="1">
        <f ca="1">IFERROR(__xludf.DUMMYFUNCTION("""COMPUTED_VALUE"""),11377)</f>
        <v>11377</v>
      </c>
      <c r="E87" s="1" t="str">
        <f ca="1">IFERROR(__xludf.DUMMYFUNCTION("""COMPUTED_VALUE"""),"Die Gastroenterologie")</f>
        <v>Die Gastroenterologie</v>
      </c>
      <c r="F87" s="1" t="str">
        <f ca="1">IFERROR(__xludf.DUMMYFUNCTION("""COMPUTED_VALUE"""),"2731-7439")</f>
        <v>2731-7439</v>
      </c>
      <c r="G87" s="1" t="str">
        <f ca="1">IFERROR(__xludf.DUMMYFUNCTION("""COMPUTED_VALUE"""),"SpringerMedizin")</f>
        <v>SpringerMedizin</v>
      </c>
      <c r="H87" s="1" t="str">
        <f ca="1">IFERROR(__xludf.DUMMYFUNCTION("""COMPUTED_VALUE"""),"Medicine")</f>
        <v>Medicine</v>
      </c>
      <c r="I87" s="1" t="str">
        <f ca="1">IFERROR(__xludf.DUMMYFUNCTION("""COMPUTED_VALUE"""),"Old ISSN-e:1861-969X")</f>
        <v>Old ISSN-e:1861-969X</v>
      </c>
      <c r="J87" s="28"/>
    </row>
    <row r="88" spans="1:10" ht="12.75" customHeight="1" x14ac:dyDescent="0.25">
      <c r="A88" s="1"/>
      <c r="B88" s="1" t="str">
        <f ca="1">IFERROR(__xludf.DUMMYFUNCTION("""COMPUTED_VALUE"""),"ISSN-e 変更")</f>
        <v>ISSN-e 変更</v>
      </c>
      <c r="C88" s="1">
        <f ca="1">IFERROR(__xludf.DUMMYFUNCTION("""COMPUTED_VALUE"""),2023)</f>
        <v>2023</v>
      </c>
      <c r="D88" s="1">
        <f ca="1">IFERROR(__xludf.DUMMYFUNCTION("""COMPUTED_VALUE"""),129)</f>
        <v>129</v>
      </c>
      <c r="E88" s="1" t="str">
        <f ca="1">IFERROR(__xludf.DUMMYFUNCTION("""COMPUTED_VALUE"""),"Die Gynäkologie")</f>
        <v>Die Gynäkologie</v>
      </c>
      <c r="F88" s="1" t="str">
        <f ca="1">IFERROR(__xludf.DUMMYFUNCTION("""COMPUTED_VALUE"""),"2731-7110")</f>
        <v>2731-7110</v>
      </c>
      <c r="G88" s="1" t="str">
        <f ca="1">IFERROR(__xludf.DUMMYFUNCTION("""COMPUTED_VALUE"""),"SpringerMedizin")</f>
        <v>SpringerMedizin</v>
      </c>
      <c r="H88" s="1" t="str">
        <f ca="1">IFERROR(__xludf.DUMMYFUNCTION("""COMPUTED_VALUE"""),"Medicine")</f>
        <v>Medicine</v>
      </c>
      <c r="I88" s="1" t="str">
        <f ca="1">IFERROR(__xludf.DUMMYFUNCTION("""COMPUTED_VALUE"""),"Old ISSN-e:1433-0393")</f>
        <v>Old ISSN-e:1433-0393</v>
      </c>
      <c r="J88" s="28"/>
    </row>
    <row r="89" spans="1:10" ht="12.75" customHeight="1" x14ac:dyDescent="0.25">
      <c r="A89" s="1"/>
      <c r="B89" s="1" t="str">
        <f ca="1">IFERROR(__xludf.DUMMYFUNCTION("""COMPUTED_VALUE"""),"ISSN-e 変更")</f>
        <v>ISSN-e 変更</v>
      </c>
      <c r="C89" s="1">
        <f ca="1">IFERROR(__xludf.DUMMYFUNCTION("""COMPUTED_VALUE"""),2023)</f>
        <v>2023</v>
      </c>
      <c r="D89" s="1">
        <f ca="1">IFERROR(__xludf.DUMMYFUNCTION("""COMPUTED_VALUE"""),108)</f>
        <v>108</v>
      </c>
      <c r="E89" s="1" t="str">
        <f ca="1">IFERROR(__xludf.DUMMYFUNCTION("""COMPUTED_VALUE"""),"Die Innere Medizin")</f>
        <v>Die Innere Medizin</v>
      </c>
      <c r="F89" s="1" t="str">
        <f ca="1">IFERROR(__xludf.DUMMYFUNCTION("""COMPUTED_VALUE"""),"2731-7099")</f>
        <v>2731-7099</v>
      </c>
      <c r="G89" s="1" t="str">
        <f ca="1">IFERROR(__xludf.DUMMYFUNCTION("""COMPUTED_VALUE"""),"SpringerMedizin")</f>
        <v>SpringerMedizin</v>
      </c>
      <c r="H89" s="1" t="str">
        <f ca="1">IFERROR(__xludf.DUMMYFUNCTION("""COMPUTED_VALUE"""),"Medicine")</f>
        <v>Medicine</v>
      </c>
      <c r="I89" s="1" t="str">
        <f ca="1">IFERROR(__xludf.DUMMYFUNCTION("""COMPUTED_VALUE"""),"Old ISSN-e:1432-1289")</f>
        <v>Old ISSN-e:1432-1289</v>
      </c>
      <c r="J89" s="28"/>
    </row>
    <row r="90" spans="1:10" ht="12.75" customHeight="1" x14ac:dyDescent="0.25">
      <c r="A90" s="1"/>
      <c r="B90" s="1" t="str">
        <f ca="1">IFERROR(__xludf.DUMMYFUNCTION("""COMPUTED_VALUE"""),"ISSN-e 変更")</f>
        <v>ISSN-e 変更</v>
      </c>
      <c r="C90" s="1">
        <f ca="1">IFERROR(__xludf.DUMMYFUNCTION("""COMPUTED_VALUE"""),2023)</f>
        <v>2023</v>
      </c>
      <c r="D90" s="1">
        <f ca="1">IFERROR(__xludf.DUMMYFUNCTION("""COMPUTED_VALUE"""),12181)</f>
        <v>12181</v>
      </c>
      <c r="E90" s="1" t="str">
        <f ca="1">IFERROR(__xludf.DUMMYFUNCTION("""COMPUTED_VALUE"""),"Die Kardiologie")</f>
        <v>Die Kardiologie</v>
      </c>
      <c r="F90" s="1" t="str">
        <f ca="1">IFERROR(__xludf.DUMMYFUNCTION("""COMPUTED_VALUE"""),"2731-7137")</f>
        <v>2731-7137</v>
      </c>
      <c r="G90" s="1" t="str">
        <f ca="1">IFERROR(__xludf.DUMMYFUNCTION("""COMPUTED_VALUE"""),"SpringerMedizin")</f>
        <v>SpringerMedizin</v>
      </c>
      <c r="H90" s="1" t="str">
        <f ca="1">IFERROR(__xludf.DUMMYFUNCTION("""COMPUTED_VALUE"""),"Medicine")</f>
        <v>Medicine</v>
      </c>
      <c r="I90" s="1" t="str">
        <f ca="1">IFERROR(__xludf.DUMMYFUNCTION("""COMPUTED_VALUE"""),"Old ISSN-e:1864-9726")</f>
        <v>Old ISSN-e:1864-9726</v>
      </c>
      <c r="J90" s="28"/>
    </row>
    <row r="91" spans="1:10" ht="12.75" customHeight="1" x14ac:dyDescent="0.25">
      <c r="A91" s="1"/>
      <c r="B91" s="1" t="str">
        <f ca="1">IFERROR(__xludf.DUMMYFUNCTION("""COMPUTED_VALUE"""),"ISSN-e 変更")</f>
        <v>ISSN-e 変更</v>
      </c>
      <c r="C91" s="1">
        <f ca="1">IFERROR(__xludf.DUMMYFUNCTION("""COMPUTED_VALUE"""),2023)</f>
        <v>2023</v>
      </c>
      <c r="D91" s="1">
        <f ca="1">IFERROR(__xludf.DUMMYFUNCTION("""COMPUTED_VALUE"""),12285)</f>
        <v>12285</v>
      </c>
      <c r="E91" s="1" t="str">
        <f ca="1">IFERROR(__xludf.DUMMYFUNCTION("""COMPUTED_VALUE"""),"Die MKG-Chirurgie")</f>
        <v>Die MKG-Chirurgie</v>
      </c>
      <c r="F91" s="1" t="str">
        <f ca="1">IFERROR(__xludf.DUMMYFUNCTION("""COMPUTED_VALUE"""),"2731-7498")</f>
        <v>2731-7498</v>
      </c>
      <c r="G91" s="1" t="str">
        <f ca="1">IFERROR(__xludf.DUMMYFUNCTION("""COMPUTED_VALUE"""),"SpringerMedizin")</f>
        <v>SpringerMedizin</v>
      </c>
      <c r="H91" s="1" t="str">
        <f ca="1">IFERROR(__xludf.DUMMYFUNCTION("""COMPUTED_VALUE"""),"Medicine")</f>
        <v>Medicine</v>
      </c>
      <c r="I91" s="1" t="str">
        <f ca="1">IFERROR(__xludf.DUMMYFUNCTION("""COMPUTED_VALUE"""),"Old ISSN-e:1865-9667")</f>
        <v>Old ISSN-e:1865-9667</v>
      </c>
      <c r="J91" s="28"/>
    </row>
    <row r="92" spans="1:10" ht="12.75" customHeight="1" x14ac:dyDescent="0.25">
      <c r="A92" s="1"/>
      <c r="B92" s="1" t="str">
        <f ca="1">IFERROR(__xludf.DUMMYFUNCTION("""COMPUTED_VALUE"""),"ISSN-e 変更")</f>
        <v>ISSN-e 変更</v>
      </c>
      <c r="C92" s="1">
        <f ca="1">IFERROR(__xludf.DUMMYFUNCTION("""COMPUTED_VALUE"""),2023)</f>
        <v>2023</v>
      </c>
      <c r="D92" s="1">
        <f ca="1">IFERROR(__xludf.DUMMYFUNCTION("""COMPUTED_VALUE"""),11560)</f>
        <v>11560</v>
      </c>
      <c r="E92" s="1" t="str">
        <f ca="1">IFERROR(__xludf.DUMMYFUNCTION("""COMPUTED_VALUE"""),"Die Nephrologie")</f>
        <v>Die Nephrologie</v>
      </c>
      <c r="F92" s="1" t="str">
        <f ca="1">IFERROR(__xludf.DUMMYFUNCTION("""COMPUTED_VALUE"""),"2731-7471")</f>
        <v>2731-7471</v>
      </c>
      <c r="G92" s="1" t="str">
        <f ca="1">IFERROR(__xludf.DUMMYFUNCTION("""COMPUTED_VALUE"""),"SpringerMedizin")</f>
        <v>SpringerMedizin</v>
      </c>
      <c r="H92" s="1" t="str">
        <f ca="1">IFERROR(__xludf.DUMMYFUNCTION("""COMPUTED_VALUE"""),"Medicine")</f>
        <v>Medicine</v>
      </c>
      <c r="I92" s="1" t="str">
        <f ca="1">IFERROR(__xludf.DUMMYFUNCTION("""COMPUTED_VALUE"""),"Old ISSN-e:1862-0418")</f>
        <v>Old ISSN-e:1862-0418</v>
      </c>
      <c r="J92" s="28"/>
    </row>
    <row r="93" spans="1:10" ht="12.75" customHeight="1" x14ac:dyDescent="0.25">
      <c r="A93" s="1"/>
      <c r="B93" s="1" t="str">
        <f ca="1">IFERROR(__xludf.DUMMYFUNCTION("""COMPUTED_VALUE"""),"ISSN-e 変更")</f>
        <v>ISSN-e 変更</v>
      </c>
      <c r="C93" s="1">
        <f ca="1">IFERROR(__xludf.DUMMYFUNCTION("""COMPUTED_VALUE"""),2023)</f>
        <v>2023</v>
      </c>
      <c r="D93" s="1">
        <f ca="1">IFERROR(__xludf.DUMMYFUNCTION("""COMPUTED_VALUE"""),761)</f>
        <v>761</v>
      </c>
      <c r="E93" s="1" t="str">
        <f ca="1">IFERROR(__xludf.DUMMYFUNCTION("""COMPUTED_VALUE"""),"Die Onkologie")</f>
        <v>Die Onkologie</v>
      </c>
      <c r="F93" s="1" t="str">
        <f ca="1">IFERROR(__xludf.DUMMYFUNCTION("""COMPUTED_VALUE"""),"2731-7234")</f>
        <v>2731-7234</v>
      </c>
      <c r="G93" s="1" t="str">
        <f ca="1">IFERROR(__xludf.DUMMYFUNCTION("""COMPUTED_VALUE"""),"SpringerMedizin")</f>
        <v>SpringerMedizin</v>
      </c>
      <c r="H93" s="1" t="str">
        <f ca="1">IFERROR(__xludf.DUMMYFUNCTION("""COMPUTED_VALUE"""),"Medicine")</f>
        <v>Medicine</v>
      </c>
      <c r="I93" s="1" t="str">
        <f ca="1">IFERROR(__xludf.DUMMYFUNCTION("""COMPUTED_VALUE"""),"Old ISSN-e:1433-0415")</f>
        <v>Old ISSN-e:1433-0415</v>
      </c>
      <c r="J93" s="28"/>
    </row>
    <row r="94" spans="1:10" ht="12.75" customHeight="1" x14ac:dyDescent="0.25">
      <c r="A94" s="1"/>
      <c r="B94" s="1" t="str">
        <f ca="1">IFERROR(__xludf.DUMMYFUNCTION("""COMPUTED_VALUE"""),"ISSN-e 変更")</f>
        <v>ISSN-e 変更</v>
      </c>
      <c r="C94" s="1">
        <f ca="1">IFERROR(__xludf.DUMMYFUNCTION("""COMPUTED_VALUE"""),2023)</f>
        <v>2023</v>
      </c>
      <c r="D94" s="1">
        <f ca="1">IFERROR(__xludf.DUMMYFUNCTION("""COMPUTED_VALUE"""),347)</f>
        <v>347</v>
      </c>
      <c r="E94" s="1" t="str">
        <f ca="1">IFERROR(__xludf.DUMMYFUNCTION("""COMPUTED_VALUE"""),"Die Ophthalmologie")</f>
        <v>Die Ophthalmologie</v>
      </c>
      <c r="F94" s="1" t="str">
        <f ca="1">IFERROR(__xludf.DUMMYFUNCTION("""COMPUTED_VALUE"""),"2731-7218")</f>
        <v>2731-7218</v>
      </c>
      <c r="G94" s="1" t="str">
        <f ca="1">IFERROR(__xludf.DUMMYFUNCTION("""COMPUTED_VALUE"""),"SpringerMedizin")</f>
        <v>SpringerMedizin</v>
      </c>
      <c r="H94" s="1" t="str">
        <f ca="1">IFERROR(__xludf.DUMMYFUNCTION("""COMPUTED_VALUE"""),"Medicine")</f>
        <v>Medicine</v>
      </c>
      <c r="I94" s="1" t="str">
        <f ca="1">IFERROR(__xludf.DUMMYFUNCTION("""COMPUTED_VALUE"""),"Old ISSN-e:1433-0423")</f>
        <v>Old ISSN-e:1433-0423</v>
      </c>
      <c r="J94" s="28"/>
    </row>
    <row r="95" spans="1:10" ht="12.75" customHeight="1" x14ac:dyDescent="0.25">
      <c r="A95" s="1"/>
      <c r="B95" s="1" t="str">
        <f ca="1">IFERROR(__xludf.DUMMYFUNCTION("""COMPUTED_VALUE"""),"ISSN-e 変更")</f>
        <v>ISSN-e 変更</v>
      </c>
      <c r="C95" s="1">
        <f ca="1">IFERROR(__xludf.DUMMYFUNCTION("""COMPUTED_VALUE"""),2023)</f>
        <v>2023</v>
      </c>
      <c r="D95" s="1">
        <f ca="1">IFERROR(__xludf.DUMMYFUNCTION("""COMPUTED_VALUE"""),132)</f>
        <v>132</v>
      </c>
      <c r="E95" s="1" t="str">
        <f ca="1">IFERROR(__xludf.DUMMYFUNCTION("""COMPUTED_VALUE"""),"Die Orthopädie")</f>
        <v>Die Orthopädie</v>
      </c>
      <c r="F95" s="1" t="str">
        <f ca="1">IFERROR(__xludf.DUMMYFUNCTION("""COMPUTED_VALUE"""),"2731-7153")</f>
        <v>2731-7153</v>
      </c>
      <c r="G95" s="1" t="str">
        <f ca="1">IFERROR(__xludf.DUMMYFUNCTION("""COMPUTED_VALUE"""),"SpringerMedizin")</f>
        <v>SpringerMedizin</v>
      </c>
      <c r="H95" s="1" t="str">
        <f ca="1">IFERROR(__xludf.DUMMYFUNCTION("""COMPUTED_VALUE"""),"Medicine")</f>
        <v>Medicine</v>
      </c>
      <c r="I95" s="1" t="str">
        <f ca="1">IFERROR(__xludf.DUMMYFUNCTION("""COMPUTED_VALUE"""),"Old ISSN-e:1433-0431")</f>
        <v>Old ISSN-e:1433-0431</v>
      </c>
      <c r="J95" s="28"/>
    </row>
    <row r="96" spans="1:10" ht="12.75" customHeight="1" x14ac:dyDescent="0.25">
      <c r="A96" s="1"/>
      <c r="B96" s="1" t="str">
        <f ca="1">IFERROR(__xludf.DUMMYFUNCTION("""COMPUTED_VALUE"""),"ISSN-e 変更")</f>
        <v>ISSN-e 変更</v>
      </c>
      <c r="C96" s="1">
        <f ca="1">IFERROR(__xludf.DUMMYFUNCTION("""COMPUTED_VALUE"""),2023)</f>
        <v>2023</v>
      </c>
      <c r="D96" s="1">
        <f ca="1">IFERROR(__xludf.DUMMYFUNCTION("""COMPUTED_VALUE"""),292)</f>
        <v>292</v>
      </c>
      <c r="E96" s="1" t="str">
        <f ca="1">IFERROR(__xludf.DUMMYFUNCTION("""COMPUTED_VALUE"""),"Die Pathologie")</f>
        <v>Die Pathologie</v>
      </c>
      <c r="F96" s="1" t="str">
        <f ca="1">IFERROR(__xludf.DUMMYFUNCTION("""COMPUTED_VALUE"""),"2731-7196")</f>
        <v>2731-7196</v>
      </c>
      <c r="G96" s="1" t="str">
        <f ca="1">IFERROR(__xludf.DUMMYFUNCTION("""COMPUTED_VALUE"""),"SpringerMedizin")</f>
        <v>SpringerMedizin</v>
      </c>
      <c r="H96" s="1" t="str">
        <f ca="1">IFERROR(__xludf.DUMMYFUNCTION("""COMPUTED_VALUE"""),"Medicine")</f>
        <v>Medicine</v>
      </c>
      <c r="I96" s="1" t="str">
        <f ca="1">IFERROR(__xludf.DUMMYFUNCTION("""COMPUTED_VALUE"""),"Old ISSN-e:1432-1963")</f>
        <v>Old ISSN-e:1432-1963</v>
      </c>
      <c r="J96" s="28"/>
    </row>
    <row r="97" spans="1:10" ht="12.75" customHeight="1" x14ac:dyDescent="0.25">
      <c r="A97" s="1"/>
      <c r="B97" s="1" t="str">
        <f ca="1">IFERROR(__xludf.DUMMYFUNCTION("""COMPUTED_VALUE"""),"ISSN-e 変更")</f>
        <v>ISSN-e 変更</v>
      </c>
      <c r="C97" s="1">
        <f ca="1">IFERROR(__xludf.DUMMYFUNCTION("""COMPUTED_VALUE"""),2023)</f>
        <v>2023</v>
      </c>
      <c r="D97" s="1">
        <f ca="1">IFERROR(__xludf.DUMMYFUNCTION("""COMPUTED_VALUE"""),278)</f>
        <v>278</v>
      </c>
      <c r="E97" s="1" t="str">
        <f ca="1">IFERROR(__xludf.DUMMYFUNCTION("""COMPUTED_VALUE"""),"Die Psychotherapie")</f>
        <v>Die Psychotherapie</v>
      </c>
      <c r="F97" s="1" t="str">
        <f ca="1">IFERROR(__xludf.DUMMYFUNCTION("""COMPUTED_VALUE"""),"2731-717X")</f>
        <v>2731-717X</v>
      </c>
      <c r="G97" s="1" t="str">
        <f ca="1">IFERROR(__xludf.DUMMYFUNCTION("""COMPUTED_VALUE"""),"SpringerMedizin")</f>
        <v>SpringerMedizin</v>
      </c>
      <c r="H97" s="1" t="str">
        <f ca="1">IFERROR(__xludf.DUMMYFUNCTION("""COMPUTED_VALUE"""),"Medicine")</f>
        <v>Medicine</v>
      </c>
      <c r="I97" s="1" t="str">
        <f ca="1">IFERROR(__xludf.DUMMYFUNCTION("""COMPUTED_VALUE"""),"Old ISSN-e:1432-2080")</f>
        <v>Old ISSN-e:1432-2080</v>
      </c>
      <c r="J97" s="28"/>
    </row>
    <row r="98" spans="1:10" ht="12.75" customHeight="1" x14ac:dyDescent="0.25">
      <c r="A98" s="1"/>
      <c r="B98" s="1" t="str">
        <f ca="1">IFERROR(__xludf.DUMMYFUNCTION("""COMPUTED_VALUE"""),"ISSN-e 変更")</f>
        <v>ISSN-e 変更</v>
      </c>
      <c r="C98" s="1">
        <f ca="1">IFERROR(__xludf.DUMMYFUNCTION("""COMPUTED_VALUE"""),2023)</f>
        <v>2023</v>
      </c>
      <c r="D98" s="1">
        <f ca="1">IFERROR(__xludf.DUMMYFUNCTION("""COMPUTED_VALUE"""),117)</f>
        <v>117</v>
      </c>
      <c r="E98" s="1" t="str">
        <f ca="1">IFERROR(__xludf.DUMMYFUNCTION("""COMPUTED_VALUE"""),"Die Radiologie")</f>
        <v>Die Radiologie</v>
      </c>
      <c r="F98" s="1" t="str">
        <f ca="1">IFERROR(__xludf.DUMMYFUNCTION("""COMPUTED_VALUE"""),"2731-7056")</f>
        <v>2731-7056</v>
      </c>
      <c r="G98" s="1" t="str">
        <f ca="1">IFERROR(__xludf.DUMMYFUNCTION("""COMPUTED_VALUE"""),"SpringerMedizin")</f>
        <v>SpringerMedizin</v>
      </c>
      <c r="H98" s="1" t="str">
        <f ca="1">IFERROR(__xludf.DUMMYFUNCTION("""COMPUTED_VALUE"""),"Medicine")</f>
        <v>Medicine</v>
      </c>
      <c r="I98" s="1" t="str">
        <f ca="1">IFERROR(__xludf.DUMMYFUNCTION("""COMPUTED_VALUE"""),"Old ISSN-e:1432-2102")</f>
        <v>Old ISSN-e:1432-2102</v>
      </c>
      <c r="J98" s="28"/>
    </row>
    <row r="99" spans="1:10" ht="12.75" customHeight="1" x14ac:dyDescent="0.25">
      <c r="A99" s="1"/>
      <c r="B99" s="1" t="str">
        <f ca="1">IFERROR(__xludf.DUMMYFUNCTION("""COMPUTED_VALUE"""),"ISSN-e 変更")</f>
        <v>ISSN-e 変更</v>
      </c>
      <c r="C99" s="1">
        <f ca="1">IFERROR(__xludf.DUMMYFUNCTION("""COMPUTED_VALUE"""),2023)</f>
        <v>2023</v>
      </c>
      <c r="D99" s="1">
        <f ca="1">IFERROR(__xludf.DUMMYFUNCTION("""COMPUTED_VALUE"""),113)</f>
        <v>113</v>
      </c>
      <c r="E99" s="1" t="str">
        <f ca="1">IFERROR(__xludf.DUMMYFUNCTION("""COMPUTED_VALUE"""),"Die Unfallchirurgie")</f>
        <v>Die Unfallchirurgie</v>
      </c>
      <c r="F99" s="1" t="str">
        <f ca="1">IFERROR(__xludf.DUMMYFUNCTION("""COMPUTED_VALUE"""),"2731-703X")</f>
        <v>2731-703X</v>
      </c>
      <c r="G99" s="1" t="str">
        <f ca="1">IFERROR(__xludf.DUMMYFUNCTION("""COMPUTED_VALUE"""),"SpringerMedizin")</f>
        <v>SpringerMedizin</v>
      </c>
      <c r="H99" s="1" t="str">
        <f ca="1">IFERROR(__xludf.DUMMYFUNCTION("""COMPUTED_VALUE"""),"Medicine")</f>
        <v>Medicine</v>
      </c>
      <c r="I99" s="1" t="str">
        <f ca="1">IFERROR(__xludf.DUMMYFUNCTION("""COMPUTED_VALUE"""),"Old ISSN-e:1433-044X")</f>
        <v>Old ISSN-e:1433-044X</v>
      </c>
      <c r="J99" s="28"/>
    </row>
    <row r="100" spans="1:10" ht="12.75" customHeight="1" x14ac:dyDescent="0.25">
      <c r="A100" s="1"/>
      <c r="B100" s="1" t="str">
        <f ca="1">IFERROR(__xludf.DUMMYFUNCTION("""COMPUTED_VALUE"""),"ISSN-e 変更")</f>
        <v>ISSN-e 変更</v>
      </c>
      <c r="C100" s="1">
        <f ca="1">IFERROR(__xludf.DUMMYFUNCTION("""COMPUTED_VALUE"""),2023)</f>
        <v>2023</v>
      </c>
      <c r="D100" s="1">
        <f ca="1">IFERROR(__xludf.DUMMYFUNCTION("""COMPUTED_VALUE"""),120)</f>
        <v>120</v>
      </c>
      <c r="E100" s="1" t="str">
        <f ca="1">IFERROR(__xludf.DUMMYFUNCTION("""COMPUTED_VALUE"""),"Die Urologie")</f>
        <v>Die Urologie</v>
      </c>
      <c r="F100" s="1" t="str">
        <f ca="1">IFERROR(__xludf.DUMMYFUNCTION("""COMPUTED_VALUE"""),"2731-7072")</f>
        <v>2731-7072</v>
      </c>
      <c r="G100" s="1" t="str">
        <f ca="1">IFERROR(__xludf.DUMMYFUNCTION("""COMPUTED_VALUE"""),"SpringerMedizin")</f>
        <v>SpringerMedizin</v>
      </c>
      <c r="H100" s="1" t="str">
        <f ca="1">IFERROR(__xludf.DUMMYFUNCTION("""COMPUTED_VALUE"""),"Medicine")</f>
        <v>Medicine</v>
      </c>
      <c r="I100" s="1" t="str">
        <f ca="1">IFERROR(__xludf.DUMMYFUNCTION("""COMPUTED_VALUE"""),"Old ISSN-e:1433-0563")</f>
        <v>Old ISSN-e:1433-0563</v>
      </c>
      <c r="J100" s="28"/>
    </row>
    <row r="101" spans="1:10" ht="12.75" customHeight="1" x14ac:dyDescent="0.25">
      <c r="A101" s="1"/>
      <c r="B101" s="1" t="str">
        <f ca="1">IFERROR(__xludf.DUMMYFUNCTION("""COMPUTED_VALUE"""),"ISSN-e 変更")</f>
        <v>ISSN-e 変更</v>
      </c>
      <c r="C101" s="1">
        <f ca="1">IFERROR(__xludf.DUMMYFUNCTION("""COMPUTED_VALUE"""),2023)</f>
        <v>2023</v>
      </c>
      <c r="D101" s="1">
        <f ca="1">IFERROR(__xludf.DUMMYFUNCTION("""COMPUTED_VALUE"""),15202)</f>
        <v>15202</v>
      </c>
      <c r="E101" s="1" t="str">
        <f ca="1">IFERROR(__xludf.DUMMYFUNCTION("""COMPUTED_VALUE"""),"DNP – Die Neurologie &amp; Psychiatrie")</f>
        <v>DNP – Die Neurologie &amp; Psychiatrie</v>
      </c>
      <c r="F101" s="1" t="str">
        <f ca="1">IFERROR(__xludf.DUMMYFUNCTION("""COMPUTED_VALUE"""),"2731-8176")</f>
        <v>2731-8176</v>
      </c>
      <c r="G101" s="1" t="str">
        <f ca="1">IFERROR(__xludf.DUMMYFUNCTION("""COMPUTED_VALUE"""),"SpringerMedizin")</f>
        <v>SpringerMedizin</v>
      </c>
      <c r="H101" s="1" t="str">
        <f ca="1">IFERROR(__xludf.DUMMYFUNCTION("""COMPUTED_VALUE"""),"Medicine")</f>
        <v>Medicine</v>
      </c>
      <c r="I101" s="1" t="str">
        <f ca="1">IFERROR(__xludf.DUMMYFUNCTION("""COMPUTED_VALUE"""),"Old ISSN-e:2196-6427")</f>
        <v>Old ISSN-e:2196-6427</v>
      </c>
      <c r="J101" s="28"/>
    </row>
    <row r="102" spans="1:10" ht="12.75" customHeight="1" x14ac:dyDescent="0.25">
      <c r="A102" s="1"/>
      <c r="B102" s="1" t="str">
        <f ca="1">IFERROR(__xludf.DUMMYFUNCTION("""COMPUTED_VALUE"""),"ISSN-e 変更")</f>
        <v>ISSN-e 変更</v>
      </c>
      <c r="C102" s="1">
        <f ca="1">IFERROR(__xludf.DUMMYFUNCTION("""COMPUTED_VALUE"""),2023)</f>
        <v>2023</v>
      </c>
      <c r="D102" s="1">
        <f ca="1">IFERROR(__xludf.DUMMYFUNCTION("""COMPUTED_VALUE"""),40995)</f>
        <v>40995</v>
      </c>
      <c r="E102" s="1" t="str">
        <f ca="1">IFERROR(__xludf.DUMMYFUNCTION("""COMPUTED_VALUE"""),"Iranian Journal of Science")</f>
        <v>Iranian Journal of Science</v>
      </c>
      <c r="F102" s="1" t="str">
        <f ca="1">IFERROR(__xludf.DUMMYFUNCTION("""COMPUTED_VALUE"""),"2731-8109")</f>
        <v>2731-8109</v>
      </c>
      <c r="G102" s="1" t="str">
        <f ca="1">IFERROR(__xludf.DUMMYFUNCTION("""COMPUTED_VALUE"""),"Springer")</f>
        <v>Springer</v>
      </c>
      <c r="H102" s="1" t="str">
        <f ca="1">IFERROR(__xludf.DUMMYFUNCTION("""COMPUTED_VALUE"""),"Engineering")</f>
        <v>Engineering</v>
      </c>
      <c r="I102" s="1" t="str">
        <f ca="1">IFERROR(__xludf.DUMMYFUNCTION("""COMPUTED_VALUE"""),"Old ISSN-e:2364-1819")</f>
        <v>Old ISSN-e:2364-1819</v>
      </c>
      <c r="J102" s="28"/>
    </row>
    <row r="103" spans="1:10" ht="12.75" customHeight="1" x14ac:dyDescent="0.25">
      <c r="A103" s="1"/>
      <c r="B103" s="1" t="str">
        <f ca="1">IFERROR(__xludf.DUMMYFUNCTION("""COMPUTED_VALUE"""),"ISSN-e 変更")</f>
        <v>ISSN-e 変更</v>
      </c>
      <c r="C103" s="1">
        <f ca="1">IFERROR(__xludf.DUMMYFUNCTION("""COMPUTED_VALUE"""),2023)</f>
        <v>2023</v>
      </c>
      <c r="D103" s="1">
        <f ca="1">IFERROR(__xludf.DUMMYFUNCTION("""COMPUTED_VALUE"""),40881)</f>
        <v>40881</v>
      </c>
      <c r="E103" s="1" t="str">
        <f ca="1">IFERROR(__xludf.DUMMYFUNCTION("""COMPUTED_VALUE"""),"Journal of the Economic Science Association")</f>
        <v>Journal of the Economic Science Association</v>
      </c>
      <c r="F103" s="1" t="str">
        <f ca="1">IFERROR(__xludf.DUMMYFUNCTION("""COMPUTED_VALUE"""),"2199-6784")</f>
        <v>2199-6784</v>
      </c>
      <c r="G103" s="1" t="str">
        <f ca="1">IFERROR(__xludf.DUMMYFUNCTION("""COMPUTED_VALUE"""),"Springer")</f>
        <v>Springer</v>
      </c>
      <c r="H103" s="1" t="str">
        <f ca="1">IFERROR(__xludf.DUMMYFUNCTION("""COMPUTED_VALUE"""),"Economics and Finance")</f>
        <v>Economics and Finance</v>
      </c>
      <c r="I103" s="1" t="str">
        <f ca="1">IFERROR(__xludf.DUMMYFUNCTION("""COMPUTED_VALUE"""),"Old ISSN-e:2199-6776")</f>
        <v>Old ISSN-e:2199-6776</v>
      </c>
      <c r="J103" s="28"/>
    </row>
    <row r="104" spans="1:10" ht="12.75" customHeight="1" x14ac:dyDescent="0.25">
      <c r="A104" s="1"/>
      <c r="B104" s="1" t="str">
        <f ca="1">IFERROR(__xludf.DUMMYFUNCTION("""COMPUTED_VALUE"""),"ISSN-e 変更")</f>
        <v>ISSN-e 変更</v>
      </c>
      <c r="C104" s="1">
        <f ca="1">IFERROR(__xludf.DUMMYFUNCTION("""COMPUTED_VALUE"""),2023)</f>
        <v>2023</v>
      </c>
      <c r="D104" s="1">
        <f ca="1">IFERROR(__xludf.DUMMYFUNCTION("""COMPUTED_VALUE"""),40866)</f>
        <v>40866</v>
      </c>
      <c r="E104" s="1" t="str">
        <f ca="1">IFERROR(__xludf.DUMMYFUNCTION("""COMPUTED_VALUE"""),"Smart Grids and Sustainable Energy")</f>
        <v>Smart Grids and Sustainable Energy</v>
      </c>
      <c r="F104" s="1" t="str">
        <f ca="1">IFERROR(__xludf.DUMMYFUNCTION("""COMPUTED_VALUE"""),"2731-8087")</f>
        <v>2731-8087</v>
      </c>
      <c r="G104" s="1" t="str">
        <f ca="1">IFERROR(__xludf.DUMMYFUNCTION("""COMPUTED_VALUE"""),"Springer")</f>
        <v>Springer</v>
      </c>
      <c r="H104" s="1" t="str">
        <f ca="1">IFERROR(__xludf.DUMMYFUNCTION("""COMPUTED_VALUE"""),"Energy")</f>
        <v>Energy</v>
      </c>
      <c r="I104" s="1" t="str">
        <f ca="1">IFERROR(__xludf.DUMMYFUNCTION("""COMPUTED_VALUE"""),"Old ISSN-e:2199-4706")</f>
        <v>Old ISSN-e:2199-4706</v>
      </c>
      <c r="J104" s="28"/>
    </row>
    <row r="105" spans="1:10" ht="12.75" customHeight="1" x14ac:dyDescent="0.25">
      <c r="A105" s="1"/>
      <c r="B105" s="1" t="str">
        <f ca="1">IFERROR(__xludf.DUMMYFUNCTION("""COMPUTED_VALUE"""),"ISSN-e 変更")</f>
        <v>ISSN-e 変更</v>
      </c>
      <c r="C105" s="1">
        <f ca="1">IFERROR(__xludf.DUMMYFUNCTION("""COMPUTED_VALUE"""),2023)</f>
        <v>2023</v>
      </c>
      <c r="D105" s="1">
        <f ca="1">IFERROR(__xludf.DUMMYFUNCTION("""COMPUTED_VALUE"""),10405)</f>
        <v>10405</v>
      </c>
      <c r="E105" s="1" t="str">
        <f ca="1">IFERROR(__xludf.DUMMYFUNCTION("""COMPUTED_VALUE"""),"Zeitschrift für Pneumologie")</f>
        <v>Zeitschrift für Pneumologie</v>
      </c>
      <c r="F105" s="1" t="str">
        <f ca="1">IFERROR(__xludf.DUMMYFUNCTION("""COMPUTED_VALUE"""),"2731-7412")</f>
        <v>2731-7412</v>
      </c>
      <c r="G105" s="1" t="str">
        <f ca="1">IFERROR(__xludf.DUMMYFUNCTION("""COMPUTED_VALUE"""),"SpringerMedizin")</f>
        <v>SpringerMedizin</v>
      </c>
      <c r="H105" s="1" t="str">
        <f ca="1">IFERROR(__xludf.DUMMYFUNCTION("""COMPUTED_VALUE"""),"Medicine")</f>
        <v>Medicine</v>
      </c>
      <c r="I105" s="1" t="str">
        <f ca="1">IFERROR(__xludf.DUMMYFUNCTION("""COMPUTED_VALUE"""),"Old ISSN-e:1613-6055")</f>
        <v>Old ISSN-e:1613-6055</v>
      </c>
      <c r="J105" s="28"/>
    </row>
    <row r="106" spans="1:10" ht="12.75" customHeight="1" x14ac:dyDescent="0.25">
      <c r="A106" s="1"/>
      <c r="B106" s="1" t="str">
        <f ca="1">IFERROR(__xludf.DUMMYFUNCTION("""COMPUTED_VALUE"""),"ISSN-p 変更")</f>
        <v>ISSN-p 変更</v>
      </c>
      <c r="C106" s="1">
        <f ca="1">IFERROR(__xludf.DUMMYFUNCTION("""COMPUTED_VALUE"""),2022)</f>
        <v>2022</v>
      </c>
      <c r="D106" s="1">
        <f ca="1">IFERROR(__xludf.DUMMYFUNCTION("""COMPUTED_VALUE"""),52)</f>
        <v>52</v>
      </c>
      <c r="E106" s="1" t="str">
        <f ca="1">IFERROR(__xludf.DUMMYFUNCTION("""COMPUTED_VALUE"""),"Chinesische Medizin / Chinese Medicine")</f>
        <v>Chinesische Medizin / Chinese Medicine</v>
      </c>
      <c r="F106" s="1" t="str">
        <f ca="1">IFERROR(__xludf.DUMMYFUNCTION("""COMPUTED_VALUE"""),"2196-5668")</f>
        <v>2196-5668</v>
      </c>
      <c r="G106" s="1" t="str">
        <f ca="1">IFERROR(__xludf.DUMMYFUNCTION("""COMPUTED_VALUE"""),"SpringerMedizin")</f>
        <v>SpringerMedizin</v>
      </c>
      <c r="H106" s="1" t="str">
        <f ca="1">IFERROR(__xludf.DUMMYFUNCTION("""COMPUTED_VALUE"""),"Medicine")</f>
        <v>Medicine</v>
      </c>
      <c r="I106" s="1" t="str">
        <f ca="1">IFERROR(__xludf.DUMMYFUNCTION("""COMPUTED_VALUE"""),"Old ISSN-p: 0930-2786")</f>
        <v>Old ISSN-p: 0930-2786</v>
      </c>
      <c r="J106" s="28"/>
    </row>
    <row r="107" spans="1:10" ht="12.75" customHeight="1" x14ac:dyDescent="0.25">
      <c r="A107" s="1"/>
      <c r="B107" s="1" t="str">
        <f ca="1">IFERROR(__xludf.DUMMYFUNCTION("""COMPUTED_VALUE"""),"ISSN-p 変更")</f>
        <v>ISSN-p 変更</v>
      </c>
      <c r="C107" s="1">
        <f ca="1">IFERROR(__xludf.DUMMYFUNCTION("""COMPUTED_VALUE"""),2022)</f>
        <v>2022</v>
      </c>
      <c r="D107" s="1">
        <f ca="1">IFERROR(__xludf.DUMMYFUNCTION("""COMPUTED_VALUE"""),41127)</f>
        <v>41127</v>
      </c>
      <c r="E107" s="1" t="str">
        <f ca="1">IFERROR(__xludf.DUMMYFUNCTION("""COMPUTED_VALUE"""),"Graphene and 2D Materials")</f>
        <v>Graphene and 2D Materials</v>
      </c>
      <c r="F107" s="1" t="str">
        <f ca="1">IFERROR(__xludf.DUMMYFUNCTION("""COMPUTED_VALUE"""),"2731-6513")</f>
        <v>2731-6513</v>
      </c>
      <c r="G107" s="1" t="str">
        <f ca="1">IFERROR(__xludf.DUMMYFUNCTION("""COMPUTED_VALUE"""),"Springer")</f>
        <v>Springer</v>
      </c>
      <c r="H107" s="1" t="str">
        <f ca="1">IFERROR(__xludf.DUMMYFUNCTION("""COMPUTED_VALUE"""),"Chemistry and Materials Science")</f>
        <v>Chemistry and Materials Science</v>
      </c>
      <c r="I107" s="1" t="str">
        <f ca="1">IFERROR(__xludf.DUMMYFUNCTION("""COMPUTED_VALUE"""),"Old ISSN-p: 2730-9967")</f>
        <v>Old ISSN-p: 2730-9967</v>
      </c>
      <c r="J107" s="28"/>
    </row>
    <row r="108" spans="1:10" ht="12.75" customHeight="1" x14ac:dyDescent="0.25">
      <c r="A108" s="1"/>
      <c r="B108" s="1" t="str">
        <f ca="1">IFERROR(__xludf.DUMMYFUNCTION("""COMPUTED_VALUE"""),"ISSN-p 変更")</f>
        <v>ISSN-p 変更</v>
      </c>
      <c r="C108" s="1">
        <f ca="1">IFERROR(__xludf.DUMMYFUNCTION("""COMPUTED_VALUE"""),2022)</f>
        <v>2022</v>
      </c>
      <c r="D108" s="1">
        <f ca="1">IFERROR(__xludf.DUMMYFUNCTION("""COMPUTED_VALUE"""),42106)</f>
        <v>42106</v>
      </c>
      <c r="E108" s="1" t="str">
        <f ca="1">IFERROR(__xludf.DUMMYFUNCTION("""COMPUTED_VALUE"""),"International Journal of Plant Production")</f>
        <v>International Journal of Plant Production</v>
      </c>
      <c r="F108" s="1" t="str">
        <f ca="1">IFERROR(__xludf.DUMMYFUNCTION("""COMPUTED_VALUE"""),"1735-8043")</f>
        <v>1735-8043</v>
      </c>
      <c r="G108" s="1" t="str">
        <f ca="1">IFERROR(__xludf.DUMMYFUNCTION("""COMPUTED_VALUE"""),"Springer")</f>
        <v>Springer</v>
      </c>
      <c r="H108" s="1" t="str">
        <f ca="1">IFERROR(__xludf.DUMMYFUNCTION("""COMPUTED_VALUE"""),"Biomedical and Life Sciences")</f>
        <v>Biomedical and Life Sciences</v>
      </c>
      <c r="I108" s="1" t="str">
        <f ca="1">IFERROR(__xludf.DUMMYFUNCTION("""COMPUTED_VALUE"""),"Old ISSN-p: 1735-8043")</f>
        <v>Old ISSN-p: 1735-8043</v>
      </c>
      <c r="J108" s="28"/>
    </row>
    <row r="109" spans="1:10" ht="12.75" customHeight="1" x14ac:dyDescent="0.25">
      <c r="A109" s="1"/>
      <c r="B109" s="1" t="str">
        <f ca="1">IFERROR(__xludf.DUMMYFUNCTION("""COMPUTED_VALUE"""),"ISSN-p 変更")</f>
        <v>ISSN-p 変更</v>
      </c>
      <c r="C109" s="1">
        <f ca="1">IFERROR(__xludf.DUMMYFUNCTION("""COMPUTED_VALUE"""),2022)</f>
        <v>2022</v>
      </c>
      <c r="D109" s="1">
        <f ca="1">IFERROR(__xludf.DUMMYFUNCTION("""COMPUTED_VALUE"""),10895)</f>
        <v>10895</v>
      </c>
      <c r="E109" s="1" t="str">
        <f ca="1">IFERROR(__xludf.DUMMYFUNCTION("""COMPUTED_VALUE"""),"Journal of Fluorescence")</f>
        <v>Journal of Fluorescence</v>
      </c>
      <c r="F109" s="1" t="str">
        <f ca="1">IFERROR(__xludf.DUMMYFUNCTION("""COMPUTED_VALUE"""),"1573-4994")</f>
        <v>1573-4994</v>
      </c>
      <c r="G109" s="1" t="str">
        <f ca="1">IFERROR(__xludf.DUMMYFUNCTION("""COMPUTED_VALUE"""),"Springer")</f>
        <v>Springer</v>
      </c>
      <c r="H109" s="1" t="str">
        <f ca="1">IFERROR(__xludf.DUMMYFUNCTION("""COMPUTED_VALUE"""),"Biomedical and Life Sciences")</f>
        <v>Biomedical and Life Sciences</v>
      </c>
      <c r="I109" s="1" t="str">
        <f ca="1">IFERROR(__xludf.DUMMYFUNCTION("""COMPUTED_VALUE"""),"追加")</f>
        <v>追加</v>
      </c>
      <c r="J109" s="28"/>
    </row>
    <row r="110" spans="1:10" ht="12.75" customHeight="1" x14ac:dyDescent="0.25">
      <c r="A110" s="1"/>
      <c r="B110" s="1" t="str">
        <f ca="1">IFERROR(__xludf.DUMMYFUNCTION("""COMPUTED_VALUE"""),"ISSN-p 変更")</f>
        <v>ISSN-p 変更</v>
      </c>
      <c r="C110" s="1">
        <f ca="1">IFERROR(__xludf.DUMMYFUNCTION("""COMPUTED_VALUE"""),2022)</f>
        <v>2022</v>
      </c>
      <c r="D110" s="1">
        <f ca="1">IFERROR(__xludf.DUMMYFUNCTION("""COMPUTED_VALUE"""),10935)</f>
        <v>10935</v>
      </c>
      <c r="E110" s="1" t="str">
        <f ca="1">IFERROR(__xludf.DUMMYFUNCTION("""COMPUTED_VALUE"""),"Journal of Prevention")</f>
        <v>Journal of Prevention</v>
      </c>
      <c r="F110" s="1" t="str">
        <f ca="1">IFERROR(__xludf.DUMMYFUNCTION("""COMPUTED_VALUE"""),"1573-6547")</f>
        <v>1573-6547</v>
      </c>
      <c r="G110" s="1" t="str">
        <f ca="1">IFERROR(__xludf.DUMMYFUNCTION("""COMPUTED_VALUE"""),"Springer")</f>
        <v>Springer</v>
      </c>
      <c r="H110" s="1" t="str">
        <f ca="1">IFERROR(__xludf.DUMMYFUNCTION("""COMPUTED_VALUE"""),"Medicine")</f>
        <v>Medicine</v>
      </c>
      <c r="I110" s="1" t="str">
        <f ca="1">IFERROR(__xludf.DUMMYFUNCTION("""COMPUTED_VALUE"""),"Old ISSN-p: 0278-095X")</f>
        <v>Old ISSN-p: 0278-095X</v>
      </c>
      <c r="J110" s="28"/>
    </row>
    <row r="111" spans="1:10" ht="12.75" customHeight="1" x14ac:dyDescent="0.25">
      <c r="A111" s="1"/>
      <c r="B111" s="1" t="str">
        <f ca="1">IFERROR(__xludf.DUMMYFUNCTION("""COMPUTED_VALUE"""),"ISSN-p 変更")</f>
        <v>ISSN-p 変更</v>
      </c>
      <c r="C111" s="1">
        <f ca="1">IFERROR(__xludf.DUMMYFUNCTION("""COMPUTED_VALUE"""),2022)</f>
        <v>2022</v>
      </c>
      <c r="D111" s="1">
        <f ca="1">IFERROR(__xludf.DUMMYFUNCTION("""COMPUTED_VALUE"""),42729)</f>
        <v>42729</v>
      </c>
      <c r="E111" s="1" t="str">
        <f ca="1">IFERROR(__xludf.DUMMYFUNCTION("""COMPUTED_VALUE"""),"Journal of Soil Science and Plant Nutrition")</f>
        <v>Journal of Soil Science and Plant Nutrition</v>
      </c>
      <c r="F111" s="1" t="str">
        <f ca="1">IFERROR(__xludf.DUMMYFUNCTION("""COMPUTED_VALUE"""),"0718-9516")</f>
        <v>0718-9516</v>
      </c>
      <c r="G111" s="1" t="str">
        <f ca="1">IFERROR(__xludf.DUMMYFUNCTION("""COMPUTED_VALUE"""),"Springer")</f>
        <v>Springer</v>
      </c>
      <c r="H111" s="1" t="str">
        <f ca="1">IFERROR(__xludf.DUMMYFUNCTION("""COMPUTED_VALUE"""),"Biomedical and Life Sciences")</f>
        <v>Biomedical and Life Sciences</v>
      </c>
      <c r="I111" s="1" t="str">
        <f ca="1">IFERROR(__xludf.DUMMYFUNCTION("""COMPUTED_VALUE"""),"追加")</f>
        <v>追加</v>
      </c>
      <c r="J111" s="28"/>
    </row>
    <row r="112" spans="1:10" ht="12.75" customHeight="1" x14ac:dyDescent="0.25">
      <c r="A112" s="1"/>
      <c r="B112" s="1" t="str">
        <f ca="1">IFERROR(__xludf.DUMMYFUNCTION("""COMPUTED_VALUE"""),"ISSN-p 変更")</f>
        <v>ISSN-p 変更</v>
      </c>
      <c r="C112" s="1">
        <f ca="1">IFERROR(__xludf.DUMMYFUNCTION("""COMPUTED_VALUE"""),2022)</f>
        <v>2022</v>
      </c>
      <c r="D112" s="1">
        <f ca="1">IFERROR(__xludf.DUMMYFUNCTION("""COMPUTED_VALUE"""),12201)</f>
        <v>12201</v>
      </c>
      <c r="E112" s="1" t="str">
        <f ca="1">IFERROR(__xludf.DUMMYFUNCTION("""COMPUTED_VALUE"""),"Nanobiotechnology Reports")</f>
        <v>Nanobiotechnology Reports</v>
      </c>
      <c r="F112" s="1" t="str">
        <f ca="1">IFERROR(__xludf.DUMMYFUNCTION("""COMPUTED_VALUE"""),"2635-1684")</f>
        <v>2635-1684</v>
      </c>
      <c r="G112" s="1" t="str">
        <f ca="1">IFERROR(__xludf.DUMMYFUNCTION("""COMPUTED_VALUE"""),"Pleiades Publishing")</f>
        <v>Pleiades Publishing</v>
      </c>
      <c r="H112" s="1" t="str">
        <f ca="1">IFERROR(__xludf.DUMMYFUNCTION("""COMPUTED_VALUE"""),"Chemistry and Materials Science")</f>
        <v>Chemistry and Materials Science</v>
      </c>
      <c r="I112" s="1" t="str">
        <f ca="1">IFERROR(__xludf.DUMMYFUNCTION("""COMPUTED_VALUE"""),"Old ISSN-p: 1995-0780")</f>
        <v>Old ISSN-p: 1995-0780</v>
      </c>
      <c r="J112" s="28"/>
    </row>
    <row r="113" spans="1:10" ht="12.75" customHeight="1" x14ac:dyDescent="0.25">
      <c r="A113" s="1"/>
      <c r="B113" s="1" t="str">
        <f ca="1">IFERROR(__xludf.DUMMYFUNCTION("""COMPUTED_VALUE"""),"ISSN-p 変更")</f>
        <v>ISSN-p 変更</v>
      </c>
      <c r="C113" s="1">
        <f ca="1">IFERROR(__xludf.DUMMYFUNCTION("""COMPUTED_VALUE"""),2023)</f>
        <v>2023</v>
      </c>
      <c r="D113" s="1">
        <f ca="1">IFERROR(__xludf.DUMMYFUNCTION("""COMPUTED_VALUE"""),101)</f>
        <v>101</v>
      </c>
      <c r="E113" s="1" t="str">
        <f ca="1">IFERROR(__xludf.DUMMYFUNCTION("""COMPUTED_VALUE"""),"Die Anaesthesiologie")</f>
        <v>Die Anaesthesiologie</v>
      </c>
      <c r="F113" s="1" t="str">
        <f ca="1">IFERROR(__xludf.DUMMYFUNCTION("""COMPUTED_VALUE"""),"2731-6866")</f>
        <v>2731-6866</v>
      </c>
      <c r="G113" s="1" t="str">
        <f ca="1">IFERROR(__xludf.DUMMYFUNCTION("""COMPUTED_VALUE"""),"SpringerMedizin")</f>
        <v>SpringerMedizin</v>
      </c>
      <c r="H113" s="1" t="str">
        <f ca="1">IFERROR(__xludf.DUMMYFUNCTION("""COMPUTED_VALUE"""),"Medicine")</f>
        <v>Medicine</v>
      </c>
      <c r="I113" s="1" t="str">
        <f ca="1">IFERROR(__xludf.DUMMYFUNCTION("""COMPUTED_VALUE"""),"Old ISSN-p: 0003-2417")</f>
        <v>Old ISSN-p: 0003-2417</v>
      </c>
      <c r="J113" s="28"/>
    </row>
    <row r="114" spans="1:10" ht="12.75" customHeight="1" x14ac:dyDescent="0.25">
      <c r="A114" s="1"/>
      <c r="B114" s="1" t="str">
        <f ca="1">IFERROR(__xludf.DUMMYFUNCTION("""COMPUTED_VALUE"""),"ISSN-p 変更")</f>
        <v>ISSN-p 変更</v>
      </c>
      <c r="C114" s="1">
        <f ca="1">IFERROR(__xludf.DUMMYFUNCTION("""COMPUTED_VALUE"""),2023)</f>
        <v>2023</v>
      </c>
      <c r="D114" s="1">
        <f ca="1">IFERROR(__xludf.DUMMYFUNCTION("""COMPUTED_VALUE"""),104)</f>
        <v>104</v>
      </c>
      <c r="E114" s="1" t="str">
        <f ca="1">IFERROR(__xludf.DUMMYFUNCTION("""COMPUTED_VALUE"""),"Die Chirurgie")</f>
        <v>Die Chirurgie</v>
      </c>
      <c r="F114" s="1" t="str">
        <f ca="1">IFERROR(__xludf.DUMMYFUNCTION("""COMPUTED_VALUE"""),"2731-698X")</f>
        <v>2731-698X</v>
      </c>
      <c r="G114" s="1" t="str">
        <f ca="1">IFERROR(__xludf.DUMMYFUNCTION("""COMPUTED_VALUE"""),"SpringerMedizin")</f>
        <v>SpringerMedizin</v>
      </c>
      <c r="H114" s="1" t="str">
        <f ca="1">IFERROR(__xludf.DUMMYFUNCTION("""COMPUTED_VALUE"""),"Medicine")</f>
        <v>Medicine</v>
      </c>
      <c r="I114" s="1" t="str">
        <f ca="1">IFERROR(__xludf.DUMMYFUNCTION("""COMPUTED_VALUE"""),"Old ISSN-p: 0009-4722")</f>
        <v>Old ISSN-p: 0009-4722</v>
      </c>
      <c r="J114" s="28"/>
    </row>
    <row r="115" spans="1:10" ht="12.75" customHeight="1" x14ac:dyDescent="0.25">
      <c r="A115" s="1"/>
      <c r="B115" s="1" t="str">
        <f ca="1">IFERROR(__xludf.DUMMYFUNCTION("""COMPUTED_VALUE"""),"ISSN-p 変更")</f>
        <v>ISSN-p 変更</v>
      </c>
      <c r="C115" s="1">
        <f ca="1">IFERROR(__xludf.DUMMYFUNCTION("""COMPUTED_VALUE"""),2023)</f>
        <v>2023</v>
      </c>
      <c r="D115" s="1">
        <f ca="1">IFERROR(__xludf.DUMMYFUNCTION("""COMPUTED_VALUE"""),105)</f>
        <v>105</v>
      </c>
      <c r="E115" s="1" t="str">
        <f ca="1">IFERROR(__xludf.DUMMYFUNCTION("""COMPUTED_VALUE"""),"Die Dermatologie")</f>
        <v>Die Dermatologie</v>
      </c>
      <c r="F115" s="1" t="str">
        <f ca="1">IFERROR(__xludf.DUMMYFUNCTION("""COMPUTED_VALUE"""),"2731-7013")</f>
        <v>2731-7013</v>
      </c>
      <c r="G115" s="1" t="str">
        <f ca="1">IFERROR(__xludf.DUMMYFUNCTION("""COMPUTED_VALUE"""),"SpringerMedizin")</f>
        <v>SpringerMedizin</v>
      </c>
      <c r="H115" s="1" t="str">
        <f ca="1">IFERROR(__xludf.DUMMYFUNCTION("""COMPUTED_VALUE"""),"Medicine")</f>
        <v>Medicine</v>
      </c>
      <c r="I115" s="1" t="str">
        <f ca="1">IFERROR(__xludf.DUMMYFUNCTION("""COMPUTED_VALUE"""),"Old ISSN-p: 0017-8470")</f>
        <v>Old ISSN-p: 0017-8470</v>
      </c>
      <c r="J115" s="28"/>
    </row>
    <row r="116" spans="1:10" ht="12.75" customHeight="1" x14ac:dyDescent="0.25">
      <c r="A116" s="1"/>
      <c r="B116" s="1" t="str">
        <f ca="1">IFERROR(__xludf.DUMMYFUNCTION("""COMPUTED_VALUE"""),"ISSN-p 変更")</f>
        <v>ISSN-p 変更</v>
      </c>
      <c r="C116" s="1">
        <f ca="1">IFERROR(__xludf.DUMMYFUNCTION("""COMPUTED_VALUE"""),2023)</f>
        <v>2023</v>
      </c>
      <c r="D116" s="1">
        <f ca="1">IFERROR(__xludf.DUMMYFUNCTION("""COMPUTED_VALUE"""),11428)</f>
        <v>11428</v>
      </c>
      <c r="E116" s="1" t="str">
        <f ca="1">IFERROR(__xludf.DUMMYFUNCTION("""COMPUTED_VALUE"""),"Die Diabetologie")</f>
        <v>Die Diabetologie</v>
      </c>
      <c r="F116" s="1" t="str">
        <f ca="1">IFERROR(__xludf.DUMMYFUNCTION("""COMPUTED_VALUE"""),"2731-7455")</f>
        <v>2731-7455</v>
      </c>
      <c r="G116" s="1" t="str">
        <f ca="1">IFERROR(__xludf.DUMMYFUNCTION("""COMPUTED_VALUE"""),"SpringerMedizin")</f>
        <v>SpringerMedizin</v>
      </c>
      <c r="H116" s="1" t="str">
        <f ca="1">IFERROR(__xludf.DUMMYFUNCTION("""COMPUTED_VALUE"""),"Medicine")</f>
        <v>Medicine</v>
      </c>
      <c r="I116" s="1" t="str">
        <f ca="1">IFERROR(__xludf.DUMMYFUNCTION("""COMPUTED_VALUE"""),"Old ISSN-p: 1860-9716")</f>
        <v>Old ISSN-p: 1860-9716</v>
      </c>
      <c r="J116" s="28"/>
    </row>
    <row r="117" spans="1:10" ht="12.75" customHeight="1" x14ac:dyDescent="0.25">
      <c r="A117" s="1"/>
      <c r="B117" s="1" t="str">
        <f ca="1">IFERROR(__xludf.DUMMYFUNCTION("""COMPUTED_VALUE"""),"ISSN-p 変更")</f>
        <v>ISSN-p 変更</v>
      </c>
      <c r="C117" s="1">
        <f ca="1">IFERROR(__xludf.DUMMYFUNCTION("""COMPUTED_VALUE"""),2023)</f>
        <v>2023</v>
      </c>
      <c r="D117" s="1">
        <f ca="1">IFERROR(__xludf.DUMMYFUNCTION("""COMPUTED_VALUE"""),11377)</f>
        <v>11377</v>
      </c>
      <c r="E117" s="1" t="str">
        <f ca="1">IFERROR(__xludf.DUMMYFUNCTION("""COMPUTED_VALUE"""),"Die Gastroenterologie")</f>
        <v>Die Gastroenterologie</v>
      </c>
      <c r="F117" s="1" t="str">
        <f ca="1">IFERROR(__xludf.DUMMYFUNCTION("""COMPUTED_VALUE"""),"2731-7439")</f>
        <v>2731-7439</v>
      </c>
      <c r="G117" s="1" t="str">
        <f ca="1">IFERROR(__xludf.DUMMYFUNCTION("""COMPUTED_VALUE"""),"SpringerMedizin")</f>
        <v>SpringerMedizin</v>
      </c>
      <c r="H117" s="1" t="str">
        <f ca="1">IFERROR(__xludf.DUMMYFUNCTION("""COMPUTED_VALUE"""),"Medicine")</f>
        <v>Medicine</v>
      </c>
      <c r="I117" s="1" t="str">
        <f ca="1">IFERROR(__xludf.DUMMYFUNCTION("""COMPUTED_VALUE"""),"Old ISSN-p: 1861-9681")</f>
        <v>Old ISSN-p: 1861-9681</v>
      </c>
      <c r="J117" s="28"/>
    </row>
    <row r="118" spans="1:10" ht="12.75" customHeight="1" x14ac:dyDescent="0.25">
      <c r="A118" s="1"/>
      <c r="B118" s="1" t="str">
        <f ca="1">IFERROR(__xludf.DUMMYFUNCTION("""COMPUTED_VALUE"""),"ISSN-p 変更")</f>
        <v>ISSN-p 変更</v>
      </c>
      <c r="C118" s="1">
        <f ca="1">IFERROR(__xludf.DUMMYFUNCTION("""COMPUTED_VALUE"""),2023)</f>
        <v>2023</v>
      </c>
      <c r="D118" s="1">
        <f ca="1">IFERROR(__xludf.DUMMYFUNCTION("""COMPUTED_VALUE"""),129)</f>
        <v>129</v>
      </c>
      <c r="E118" s="1" t="str">
        <f ca="1">IFERROR(__xludf.DUMMYFUNCTION("""COMPUTED_VALUE"""),"Die Gynäkologie")</f>
        <v>Die Gynäkologie</v>
      </c>
      <c r="F118" s="1" t="str">
        <f ca="1">IFERROR(__xludf.DUMMYFUNCTION("""COMPUTED_VALUE"""),"2731-7110")</f>
        <v>2731-7110</v>
      </c>
      <c r="G118" s="1" t="str">
        <f ca="1">IFERROR(__xludf.DUMMYFUNCTION("""COMPUTED_VALUE"""),"SpringerMedizin")</f>
        <v>SpringerMedizin</v>
      </c>
      <c r="H118" s="1" t="str">
        <f ca="1">IFERROR(__xludf.DUMMYFUNCTION("""COMPUTED_VALUE"""),"Medicine")</f>
        <v>Medicine</v>
      </c>
      <c r="I118" s="1" t="str">
        <f ca="1">IFERROR(__xludf.DUMMYFUNCTION("""COMPUTED_VALUE"""),"Old ISSN-p: 0017-5994")</f>
        <v>Old ISSN-p: 0017-5994</v>
      </c>
      <c r="J118" s="28"/>
    </row>
    <row r="119" spans="1:10" ht="12.75" customHeight="1" x14ac:dyDescent="0.25">
      <c r="A119" s="1"/>
      <c r="B119" s="1" t="str">
        <f ca="1">IFERROR(__xludf.DUMMYFUNCTION("""COMPUTED_VALUE"""),"ISSN-p 変更")</f>
        <v>ISSN-p 変更</v>
      </c>
      <c r="C119" s="1">
        <f ca="1">IFERROR(__xludf.DUMMYFUNCTION("""COMPUTED_VALUE"""),2023)</f>
        <v>2023</v>
      </c>
      <c r="D119" s="1">
        <f ca="1">IFERROR(__xludf.DUMMYFUNCTION("""COMPUTED_VALUE"""),108)</f>
        <v>108</v>
      </c>
      <c r="E119" s="1" t="str">
        <f ca="1">IFERROR(__xludf.DUMMYFUNCTION("""COMPUTED_VALUE"""),"Die Innere Medizin")</f>
        <v>Die Innere Medizin</v>
      </c>
      <c r="F119" s="1" t="str">
        <f ca="1">IFERROR(__xludf.DUMMYFUNCTION("""COMPUTED_VALUE"""),"2731-7099")</f>
        <v>2731-7099</v>
      </c>
      <c r="G119" s="1" t="str">
        <f ca="1">IFERROR(__xludf.DUMMYFUNCTION("""COMPUTED_VALUE"""),"SpringerMedizin")</f>
        <v>SpringerMedizin</v>
      </c>
      <c r="H119" s="1" t="str">
        <f ca="1">IFERROR(__xludf.DUMMYFUNCTION("""COMPUTED_VALUE"""),"Medicine")</f>
        <v>Medicine</v>
      </c>
      <c r="I119" s="1" t="str">
        <f ca="1">IFERROR(__xludf.DUMMYFUNCTION("""COMPUTED_VALUE"""),"Old ISSN-p: 0020-9554")</f>
        <v>Old ISSN-p: 0020-9554</v>
      </c>
      <c r="J119" s="28"/>
    </row>
    <row r="120" spans="1:10" ht="12.75" customHeight="1" x14ac:dyDescent="0.25">
      <c r="A120" s="1"/>
      <c r="B120" s="1" t="str">
        <f ca="1">IFERROR(__xludf.DUMMYFUNCTION("""COMPUTED_VALUE"""),"ISSN-p 変更")</f>
        <v>ISSN-p 変更</v>
      </c>
      <c r="C120" s="1">
        <f ca="1">IFERROR(__xludf.DUMMYFUNCTION("""COMPUTED_VALUE"""),2023)</f>
        <v>2023</v>
      </c>
      <c r="D120" s="1">
        <f ca="1">IFERROR(__xludf.DUMMYFUNCTION("""COMPUTED_VALUE"""),12181)</f>
        <v>12181</v>
      </c>
      <c r="E120" s="1" t="str">
        <f ca="1">IFERROR(__xludf.DUMMYFUNCTION("""COMPUTED_VALUE"""),"Die Kardiologie")</f>
        <v>Die Kardiologie</v>
      </c>
      <c r="F120" s="1" t="str">
        <f ca="1">IFERROR(__xludf.DUMMYFUNCTION("""COMPUTED_VALUE"""),"2731-7137")</f>
        <v>2731-7137</v>
      </c>
      <c r="G120" s="1" t="str">
        <f ca="1">IFERROR(__xludf.DUMMYFUNCTION("""COMPUTED_VALUE"""),"SpringerMedizin")</f>
        <v>SpringerMedizin</v>
      </c>
      <c r="H120" s="1" t="str">
        <f ca="1">IFERROR(__xludf.DUMMYFUNCTION("""COMPUTED_VALUE"""),"Medicine")</f>
        <v>Medicine</v>
      </c>
      <c r="I120" s="1" t="str">
        <f ca="1">IFERROR(__xludf.DUMMYFUNCTION("""COMPUTED_VALUE"""),"Old ISSN-p: 1864-9718")</f>
        <v>Old ISSN-p: 1864-9718</v>
      </c>
      <c r="J120" s="28"/>
    </row>
    <row r="121" spans="1:10" ht="12.75" customHeight="1" x14ac:dyDescent="0.25">
      <c r="A121" s="1"/>
      <c r="B121" s="1" t="str">
        <f ca="1">IFERROR(__xludf.DUMMYFUNCTION("""COMPUTED_VALUE"""),"ISSN-p 変更")</f>
        <v>ISSN-p 変更</v>
      </c>
      <c r="C121" s="1">
        <f ca="1">IFERROR(__xludf.DUMMYFUNCTION("""COMPUTED_VALUE"""),2023)</f>
        <v>2023</v>
      </c>
      <c r="D121" s="1">
        <f ca="1">IFERROR(__xludf.DUMMYFUNCTION("""COMPUTED_VALUE"""),12285)</f>
        <v>12285</v>
      </c>
      <c r="E121" s="1" t="str">
        <f ca="1">IFERROR(__xludf.DUMMYFUNCTION("""COMPUTED_VALUE"""),"Die MKG-Chirurgie")</f>
        <v>Die MKG-Chirurgie</v>
      </c>
      <c r="F121" s="1" t="str">
        <f ca="1">IFERROR(__xludf.DUMMYFUNCTION("""COMPUTED_VALUE"""),"2731-7498")</f>
        <v>2731-7498</v>
      </c>
      <c r="G121" s="1" t="str">
        <f ca="1">IFERROR(__xludf.DUMMYFUNCTION("""COMPUTED_VALUE"""),"SpringerMedizin")</f>
        <v>SpringerMedizin</v>
      </c>
      <c r="H121" s="1" t="str">
        <f ca="1">IFERROR(__xludf.DUMMYFUNCTION("""COMPUTED_VALUE"""),"Medicine")</f>
        <v>Medicine</v>
      </c>
      <c r="I121" s="1" t="str">
        <f ca="1">IFERROR(__xludf.DUMMYFUNCTION("""COMPUTED_VALUE"""),"Old ISSN-p: 1865-9659")</f>
        <v>Old ISSN-p: 1865-9659</v>
      </c>
      <c r="J121" s="28"/>
    </row>
    <row r="122" spans="1:10" ht="12.75" customHeight="1" x14ac:dyDescent="0.25">
      <c r="A122" s="1"/>
      <c r="B122" s="1" t="str">
        <f ca="1">IFERROR(__xludf.DUMMYFUNCTION("""COMPUTED_VALUE"""),"ISSN-p 変更")</f>
        <v>ISSN-p 変更</v>
      </c>
      <c r="C122" s="1">
        <f ca="1">IFERROR(__xludf.DUMMYFUNCTION("""COMPUTED_VALUE"""),2023)</f>
        <v>2023</v>
      </c>
      <c r="D122" s="1">
        <f ca="1">IFERROR(__xludf.DUMMYFUNCTION("""COMPUTED_VALUE"""),11560)</f>
        <v>11560</v>
      </c>
      <c r="E122" s="1" t="str">
        <f ca="1">IFERROR(__xludf.DUMMYFUNCTION("""COMPUTED_VALUE"""),"Die Nephrologie")</f>
        <v>Die Nephrologie</v>
      </c>
      <c r="F122" s="1" t="str">
        <f ca="1">IFERROR(__xludf.DUMMYFUNCTION("""COMPUTED_VALUE"""),"2731-7471")</f>
        <v>2731-7471</v>
      </c>
      <c r="G122" s="1" t="str">
        <f ca="1">IFERROR(__xludf.DUMMYFUNCTION("""COMPUTED_VALUE"""),"SpringerMedizin")</f>
        <v>SpringerMedizin</v>
      </c>
      <c r="H122" s="1" t="str">
        <f ca="1">IFERROR(__xludf.DUMMYFUNCTION("""COMPUTED_VALUE"""),"Medicine")</f>
        <v>Medicine</v>
      </c>
      <c r="I122" s="1" t="str">
        <f ca="1">IFERROR(__xludf.DUMMYFUNCTION("""COMPUTED_VALUE"""),"Old ISSN-p: 1862-040X")</f>
        <v>Old ISSN-p: 1862-040X</v>
      </c>
      <c r="J122" s="28"/>
    </row>
    <row r="123" spans="1:10" ht="12.75" customHeight="1" x14ac:dyDescent="0.25">
      <c r="A123" s="1"/>
      <c r="B123" s="1" t="str">
        <f ca="1">IFERROR(__xludf.DUMMYFUNCTION("""COMPUTED_VALUE"""),"ISSN-p 変更")</f>
        <v>ISSN-p 変更</v>
      </c>
      <c r="C123" s="1">
        <f ca="1">IFERROR(__xludf.DUMMYFUNCTION("""COMPUTED_VALUE"""),2023)</f>
        <v>2023</v>
      </c>
      <c r="D123" s="1">
        <f ca="1">IFERROR(__xludf.DUMMYFUNCTION("""COMPUTED_VALUE"""),761)</f>
        <v>761</v>
      </c>
      <c r="E123" s="1" t="str">
        <f ca="1">IFERROR(__xludf.DUMMYFUNCTION("""COMPUTED_VALUE"""),"Die Onkologie")</f>
        <v>Die Onkologie</v>
      </c>
      <c r="F123" s="1" t="str">
        <f ca="1">IFERROR(__xludf.DUMMYFUNCTION("""COMPUTED_VALUE"""),"2731-7234")</f>
        <v>2731-7234</v>
      </c>
      <c r="G123" s="1" t="str">
        <f ca="1">IFERROR(__xludf.DUMMYFUNCTION("""COMPUTED_VALUE"""),"SpringerMedizin")</f>
        <v>SpringerMedizin</v>
      </c>
      <c r="H123" s="1" t="str">
        <f ca="1">IFERROR(__xludf.DUMMYFUNCTION("""COMPUTED_VALUE"""),"Medicine")</f>
        <v>Medicine</v>
      </c>
      <c r="I123" s="1" t="str">
        <f ca="1">IFERROR(__xludf.DUMMYFUNCTION("""COMPUTED_VALUE"""),"Old ISSN-p: 0947-8965")</f>
        <v>Old ISSN-p: 0947-8965</v>
      </c>
      <c r="J123" s="28"/>
    </row>
    <row r="124" spans="1:10" ht="12.75" customHeight="1" x14ac:dyDescent="0.25">
      <c r="A124" s="1"/>
      <c r="B124" s="1" t="str">
        <f ca="1">IFERROR(__xludf.DUMMYFUNCTION("""COMPUTED_VALUE"""),"ISSN-p 変更")</f>
        <v>ISSN-p 変更</v>
      </c>
      <c r="C124" s="1">
        <f ca="1">IFERROR(__xludf.DUMMYFUNCTION("""COMPUTED_VALUE"""),2023)</f>
        <v>2023</v>
      </c>
      <c r="D124" s="1">
        <f ca="1">IFERROR(__xludf.DUMMYFUNCTION("""COMPUTED_VALUE"""),347)</f>
        <v>347</v>
      </c>
      <c r="E124" s="1" t="str">
        <f ca="1">IFERROR(__xludf.DUMMYFUNCTION("""COMPUTED_VALUE"""),"Die Ophthalmologie")</f>
        <v>Die Ophthalmologie</v>
      </c>
      <c r="F124" s="1" t="str">
        <f ca="1">IFERROR(__xludf.DUMMYFUNCTION("""COMPUTED_VALUE"""),"2731-7218")</f>
        <v>2731-7218</v>
      </c>
      <c r="G124" s="1" t="str">
        <f ca="1">IFERROR(__xludf.DUMMYFUNCTION("""COMPUTED_VALUE"""),"SpringerMedizin")</f>
        <v>SpringerMedizin</v>
      </c>
      <c r="H124" s="1" t="str">
        <f ca="1">IFERROR(__xludf.DUMMYFUNCTION("""COMPUTED_VALUE"""),"Medicine")</f>
        <v>Medicine</v>
      </c>
      <c r="I124" s="1" t="str">
        <f ca="1">IFERROR(__xludf.DUMMYFUNCTION("""COMPUTED_VALUE"""),"Old ISSN-p: 0941-293X")</f>
        <v>Old ISSN-p: 0941-293X</v>
      </c>
      <c r="J124" s="28"/>
    </row>
    <row r="125" spans="1:10" ht="12.75" customHeight="1" x14ac:dyDescent="0.25">
      <c r="A125" s="1"/>
      <c r="B125" s="1" t="str">
        <f ca="1">IFERROR(__xludf.DUMMYFUNCTION("""COMPUTED_VALUE"""),"ISSN-p 変更")</f>
        <v>ISSN-p 変更</v>
      </c>
      <c r="C125" s="1">
        <f ca="1">IFERROR(__xludf.DUMMYFUNCTION("""COMPUTED_VALUE"""),2023)</f>
        <v>2023</v>
      </c>
      <c r="D125" s="1">
        <f ca="1">IFERROR(__xludf.DUMMYFUNCTION("""COMPUTED_VALUE"""),132)</f>
        <v>132</v>
      </c>
      <c r="E125" s="1" t="str">
        <f ca="1">IFERROR(__xludf.DUMMYFUNCTION("""COMPUTED_VALUE"""),"Die Orthopädie")</f>
        <v>Die Orthopädie</v>
      </c>
      <c r="F125" s="1" t="str">
        <f ca="1">IFERROR(__xludf.DUMMYFUNCTION("""COMPUTED_VALUE"""),"2731-7153")</f>
        <v>2731-7153</v>
      </c>
      <c r="G125" s="1" t="str">
        <f ca="1">IFERROR(__xludf.DUMMYFUNCTION("""COMPUTED_VALUE"""),"SpringerMedizin")</f>
        <v>SpringerMedizin</v>
      </c>
      <c r="H125" s="1" t="str">
        <f ca="1">IFERROR(__xludf.DUMMYFUNCTION("""COMPUTED_VALUE"""),"Medicine")</f>
        <v>Medicine</v>
      </c>
      <c r="I125" s="1" t="str">
        <f ca="1">IFERROR(__xludf.DUMMYFUNCTION("""COMPUTED_VALUE"""),"Old ISSN-p: 0085-4530")</f>
        <v>Old ISSN-p: 0085-4530</v>
      </c>
      <c r="J125" s="28"/>
    </row>
    <row r="126" spans="1:10" ht="12.75" customHeight="1" x14ac:dyDescent="0.25">
      <c r="A126" s="1"/>
      <c r="B126" s="1" t="str">
        <f ca="1">IFERROR(__xludf.DUMMYFUNCTION("""COMPUTED_VALUE"""),"ISSN-p 変更")</f>
        <v>ISSN-p 変更</v>
      </c>
      <c r="C126" s="1">
        <f ca="1">IFERROR(__xludf.DUMMYFUNCTION("""COMPUTED_VALUE"""),2023)</f>
        <v>2023</v>
      </c>
      <c r="D126" s="1">
        <f ca="1">IFERROR(__xludf.DUMMYFUNCTION("""COMPUTED_VALUE"""),292)</f>
        <v>292</v>
      </c>
      <c r="E126" s="1" t="str">
        <f ca="1">IFERROR(__xludf.DUMMYFUNCTION("""COMPUTED_VALUE"""),"Die Pathologie")</f>
        <v>Die Pathologie</v>
      </c>
      <c r="F126" s="1" t="str">
        <f ca="1">IFERROR(__xludf.DUMMYFUNCTION("""COMPUTED_VALUE"""),"2731-7196")</f>
        <v>2731-7196</v>
      </c>
      <c r="G126" s="1" t="str">
        <f ca="1">IFERROR(__xludf.DUMMYFUNCTION("""COMPUTED_VALUE"""),"SpringerMedizin")</f>
        <v>SpringerMedizin</v>
      </c>
      <c r="H126" s="1" t="str">
        <f ca="1">IFERROR(__xludf.DUMMYFUNCTION("""COMPUTED_VALUE"""),"Medicine")</f>
        <v>Medicine</v>
      </c>
      <c r="I126" s="1" t="str">
        <f ca="1">IFERROR(__xludf.DUMMYFUNCTION("""COMPUTED_VALUE"""),"Old ISSN-p: 0172-8113")</f>
        <v>Old ISSN-p: 0172-8113</v>
      </c>
      <c r="J126" s="28"/>
    </row>
    <row r="127" spans="1:10" ht="12.75" customHeight="1" x14ac:dyDescent="0.25">
      <c r="A127" s="1"/>
      <c r="B127" s="1" t="str">
        <f ca="1">IFERROR(__xludf.DUMMYFUNCTION("""COMPUTED_VALUE"""),"ISSN-p 変更")</f>
        <v>ISSN-p 変更</v>
      </c>
      <c r="C127" s="1">
        <f ca="1">IFERROR(__xludf.DUMMYFUNCTION("""COMPUTED_VALUE"""),2023)</f>
        <v>2023</v>
      </c>
      <c r="D127" s="1">
        <f ca="1">IFERROR(__xludf.DUMMYFUNCTION("""COMPUTED_VALUE"""),278)</f>
        <v>278</v>
      </c>
      <c r="E127" s="1" t="str">
        <f ca="1">IFERROR(__xludf.DUMMYFUNCTION("""COMPUTED_VALUE"""),"Die Psychotherapie")</f>
        <v>Die Psychotherapie</v>
      </c>
      <c r="F127" s="1" t="str">
        <f ca="1">IFERROR(__xludf.DUMMYFUNCTION("""COMPUTED_VALUE"""),"2731-717X")</f>
        <v>2731-717X</v>
      </c>
      <c r="G127" s="1" t="str">
        <f ca="1">IFERROR(__xludf.DUMMYFUNCTION("""COMPUTED_VALUE"""),"SpringerMedizin")</f>
        <v>SpringerMedizin</v>
      </c>
      <c r="H127" s="1" t="str">
        <f ca="1">IFERROR(__xludf.DUMMYFUNCTION("""COMPUTED_VALUE"""),"Medicine")</f>
        <v>Medicine</v>
      </c>
      <c r="I127" s="1" t="str">
        <f ca="1">IFERROR(__xludf.DUMMYFUNCTION("""COMPUTED_VALUE"""),"Old ISSN-p: 0935-6185")</f>
        <v>Old ISSN-p: 0935-6185</v>
      </c>
      <c r="J127" s="28"/>
    </row>
    <row r="128" spans="1:10" ht="12.75" customHeight="1" x14ac:dyDescent="0.25">
      <c r="A128" s="1"/>
      <c r="B128" s="1" t="str">
        <f ca="1">IFERROR(__xludf.DUMMYFUNCTION("""COMPUTED_VALUE"""),"ISSN-p 変更")</f>
        <v>ISSN-p 変更</v>
      </c>
      <c r="C128" s="1">
        <f ca="1">IFERROR(__xludf.DUMMYFUNCTION("""COMPUTED_VALUE"""),2023)</f>
        <v>2023</v>
      </c>
      <c r="D128" s="1">
        <f ca="1">IFERROR(__xludf.DUMMYFUNCTION("""COMPUTED_VALUE"""),117)</f>
        <v>117</v>
      </c>
      <c r="E128" s="1" t="str">
        <f ca="1">IFERROR(__xludf.DUMMYFUNCTION("""COMPUTED_VALUE"""),"Die Radiologie")</f>
        <v>Die Radiologie</v>
      </c>
      <c r="F128" s="1" t="str">
        <f ca="1">IFERROR(__xludf.DUMMYFUNCTION("""COMPUTED_VALUE"""),"2731-7056")</f>
        <v>2731-7056</v>
      </c>
      <c r="G128" s="1" t="str">
        <f ca="1">IFERROR(__xludf.DUMMYFUNCTION("""COMPUTED_VALUE"""),"SpringerMedizin")</f>
        <v>SpringerMedizin</v>
      </c>
      <c r="H128" s="1" t="str">
        <f ca="1">IFERROR(__xludf.DUMMYFUNCTION("""COMPUTED_VALUE"""),"Medicine")</f>
        <v>Medicine</v>
      </c>
      <c r="I128" s="1" t="str">
        <f ca="1">IFERROR(__xludf.DUMMYFUNCTION("""COMPUTED_VALUE"""),"Old ISSN-p: 0033-832X")</f>
        <v>Old ISSN-p: 0033-832X</v>
      </c>
      <c r="J128" s="28"/>
    </row>
    <row r="129" spans="1:10" ht="12.75" customHeight="1" x14ac:dyDescent="0.25">
      <c r="A129" s="1"/>
      <c r="B129" s="1" t="str">
        <f ca="1">IFERROR(__xludf.DUMMYFUNCTION("""COMPUTED_VALUE"""),"ISSN-p 変更")</f>
        <v>ISSN-p 変更</v>
      </c>
      <c r="C129" s="1">
        <f ca="1">IFERROR(__xludf.DUMMYFUNCTION("""COMPUTED_VALUE"""),2023)</f>
        <v>2023</v>
      </c>
      <c r="D129" s="1">
        <f ca="1">IFERROR(__xludf.DUMMYFUNCTION("""COMPUTED_VALUE"""),113)</f>
        <v>113</v>
      </c>
      <c r="E129" s="1" t="str">
        <f ca="1">IFERROR(__xludf.DUMMYFUNCTION("""COMPUTED_VALUE"""),"Die Unfallchirurgie")</f>
        <v>Die Unfallchirurgie</v>
      </c>
      <c r="F129" s="1" t="str">
        <f ca="1">IFERROR(__xludf.DUMMYFUNCTION("""COMPUTED_VALUE"""),"2731-703X")</f>
        <v>2731-703X</v>
      </c>
      <c r="G129" s="1" t="str">
        <f ca="1">IFERROR(__xludf.DUMMYFUNCTION("""COMPUTED_VALUE"""),"SpringerMedizin")</f>
        <v>SpringerMedizin</v>
      </c>
      <c r="H129" s="1" t="str">
        <f ca="1">IFERROR(__xludf.DUMMYFUNCTION("""COMPUTED_VALUE"""),"Medicine")</f>
        <v>Medicine</v>
      </c>
      <c r="I129" s="1" t="str">
        <f ca="1">IFERROR(__xludf.DUMMYFUNCTION("""COMPUTED_VALUE"""),"Old ISSN-p: 0177-5537")</f>
        <v>Old ISSN-p: 0177-5537</v>
      </c>
      <c r="J129" s="28"/>
    </row>
    <row r="130" spans="1:10" ht="12.75" customHeight="1" x14ac:dyDescent="0.25">
      <c r="A130" s="1"/>
      <c r="B130" s="1" t="str">
        <f ca="1">IFERROR(__xludf.DUMMYFUNCTION("""COMPUTED_VALUE"""),"ISSN-p 変更")</f>
        <v>ISSN-p 変更</v>
      </c>
      <c r="C130" s="1">
        <f ca="1">IFERROR(__xludf.DUMMYFUNCTION("""COMPUTED_VALUE"""),2023)</f>
        <v>2023</v>
      </c>
      <c r="D130" s="1">
        <f ca="1">IFERROR(__xludf.DUMMYFUNCTION("""COMPUTED_VALUE"""),120)</f>
        <v>120</v>
      </c>
      <c r="E130" s="1" t="str">
        <f ca="1">IFERROR(__xludf.DUMMYFUNCTION("""COMPUTED_VALUE"""),"Die Urologie")</f>
        <v>Die Urologie</v>
      </c>
      <c r="F130" s="1" t="str">
        <f ca="1">IFERROR(__xludf.DUMMYFUNCTION("""COMPUTED_VALUE"""),"2731-7072")</f>
        <v>2731-7072</v>
      </c>
      <c r="G130" s="1" t="str">
        <f ca="1">IFERROR(__xludf.DUMMYFUNCTION("""COMPUTED_VALUE"""),"SpringerMedizin")</f>
        <v>SpringerMedizin</v>
      </c>
      <c r="H130" s="1" t="str">
        <f ca="1">IFERROR(__xludf.DUMMYFUNCTION("""COMPUTED_VALUE"""),"Medicine")</f>
        <v>Medicine</v>
      </c>
      <c r="I130" s="1" t="str">
        <f ca="1">IFERROR(__xludf.DUMMYFUNCTION("""COMPUTED_VALUE"""),"Old ISSN-p: 0340-2592")</f>
        <v>Old ISSN-p: 0340-2592</v>
      </c>
      <c r="J130" s="28"/>
    </row>
    <row r="131" spans="1:10" ht="12.75" customHeight="1" x14ac:dyDescent="0.25">
      <c r="A131" s="1"/>
      <c r="B131" s="1" t="str">
        <f ca="1">IFERROR(__xludf.DUMMYFUNCTION("""COMPUTED_VALUE"""),"ISSN-p 変更")</f>
        <v>ISSN-p 変更</v>
      </c>
      <c r="C131" s="1">
        <f ca="1">IFERROR(__xludf.DUMMYFUNCTION("""COMPUTED_VALUE"""),2023)</f>
        <v>2023</v>
      </c>
      <c r="D131" s="1">
        <f ca="1">IFERROR(__xludf.DUMMYFUNCTION("""COMPUTED_VALUE"""),15202)</f>
        <v>15202</v>
      </c>
      <c r="E131" s="1" t="str">
        <f ca="1">IFERROR(__xludf.DUMMYFUNCTION("""COMPUTED_VALUE"""),"DNP – Die Neurologie &amp; Psychiatrie")</f>
        <v>DNP – Die Neurologie &amp; Psychiatrie</v>
      </c>
      <c r="F131" s="1" t="str">
        <f ca="1">IFERROR(__xludf.DUMMYFUNCTION("""COMPUTED_VALUE"""),"2731-8176")</f>
        <v>2731-8176</v>
      </c>
      <c r="G131" s="1" t="str">
        <f ca="1">IFERROR(__xludf.DUMMYFUNCTION("""COMPUTED_VALUE"""),"SpringerMedizin")</f>
        <v>SpringerMedizin</v>
      </c>
      <c r="H131" s="1" t="str">
        <f ca="1">IFERROR(__xludf.DUMMYFUNCTION("""COMPUTED_VALUE"""),"Medicine")</f>
        <v>Medicine</v>
      </c>
      <c r="I131" s="1" t="str">
        <f ca="1">IFERROR(__xludf.DUMMYFUNCTION("""COMPUTED_VALUE"""),"Old ISSN-p: 1616-2455")</f>
        <v>Old ISSN-p: 1616-2455</v>
      </c>
      <c r="J131" s="28"/>
    </row>
    <row r="132" spans="1:10" ht="12.75" customHeight="1" x14ac:dyDescent="0.25">
      <c r="A132" s="1"/>
      <c r="B132" s="1" t="str">
        <f ca="1">IFERROR(__xludf.DUMMYFUNCTION("""COMPUTED_VALUE"""),"ISSN-p 変更")</f>
        <v>ISSN-p 変更</v>
      </c>
      <c r="C132" s="1">
        <f ca="1">IFERROR(__xludf.DUMMYFUNCTION("""COMPUTED_VALUE"""),2023)</f>
        <v>2023</v>
      </c>
      <c r="D132" s="1">
        <f ca="1">IFERROR(__xludf.DUMMYFUNCTION("""COMPUTED_VALUE"""),40995)</f>
        <v>40995</v>
      </c>
      <c r="E132" s="1" t="str">
        <f ca="1">IFERROR(__xludf.DUMMYFUNCTION("""COMPUTED_VALUE"""),"Iranian Journal of Science")</f>
        <v>Iranian Journal of Science</v>
      </c>
      <c r="F132" s="1" t="str">
        <f ca="1">IFERROR(__xludf.DUMMYFUNCTION("""COMPUTED_VALUE"""),"2731-8109")</f>
        <v>2731-8109</v>
      </c>
      <c r="G132" s="1" t="str">
        <f ca="1">IFERROR(__xludf.DUMMYFUNCTION("""COMPUTED_VALUE"""),"Springer")</f>
        <v>Springer</v>
      </c>
      <c r="H132" s="1" t="str">
        <f ca="1">IFERROR(__xludf.DUMMYFUNCTION("""COMPUTED_VALUE"""),"Engineering")</f>
        <v>Engineering</v>
      </c>
      <c r="I132" s="1" t="str">
        <f ca="1">IFERROR(__xludf.DUMMYFUNCTION("""COMPUTED_VALUE"""),"Old ISSN-p: 1028-6276")</f>
        <v>Old ISSN-p: 1028-6276</v>
      </c>
      <c r="J132" s="28"/>
    </row>
    <row r="133" spans="1:10" ht="12.75" customHeight="1" x14ac:dyDescent="0.25">
      <c r="A133" s="1"/>
      <c r="B133" s="1" t="str">
        <f ca="1">IFERROR(__xludf.DUMMYFUNCTION("""COMPUTED_VALUE"""),"ISSN-p 変更")</f>
        <v>ISSN-p 変更</v>
      </c>
      <c r="C133" s="1">
        <f ca="1">IFERROR(__xludf.DUMMYFUNCTION("""COMPUTED_VALUE"""),2023)</f>
        <v>2023</v>
      </c>
      <c r="D133" s="1">
        <f ca="1">IFERROR(__xludf.DUMMYFUNCTION("""COMPUTED_VALUE"""),10405)</f>
        <v>10405</v>
      </c>
      <c r="E133" s="1" t="str">
        <f ca="1">IFERROR(__xludf.DUMMYFUNCTION("""COMPUTED_VALUE"""),"Zeitschrift für Pneumologie")</f>
        <v>Zeitschrift für Pneumologie</v>
      </c>
      <c r="F133" s="1" t="str">
        <f ca="1">IFERROR(__xludf.DUMMYFUNCTION("""COMPUTED_VALUE"""),"2731-7412")</f>
        <v>2731-7412</v>
      </c>
      <c r="G133" s="1" t="str">
        <f ca="1">IFERROR(__xludf.DUMMYFUNCTION("""COMPUTED_VALUE"""),"SpringerMedizin")</f>
        <v>SpringerMedizin</v>
      </c>
      <c r="H133" s="1" t="str">
        <f ca="1">IFERROR(__xludf.DUMMYFUNCTION("""COMPUTED_VALUE"""),"Medicine")</f>
        <v>Medicine</v>
      </c>
      <c r="I133" s="1" t="str">
        <f ca="1">IFERROR(__xludf.DUMMYFUNCTION("""COMPUTED_VALUE"""),"Old ISSN-p: 1613-5636")</f>
        <v>Old ISSN-p: 1613-5636</v>
      </c>
      <c r="J133" s="28"/>
    </row>
    <row r="134" spans="1:10" ht="12.75" customHeight="1" x14ac:dyDescent="0.25">
      <c r="A134" s="1"/>
      <c r="B134" s="1" t="str">
        <f ca="1">IFERROR(__xludf.DUMMYFUNCTION("""COMPUTED_VALUE"""),"Subject変更")</f>
        <v>Subject変更</v>
      </c>
      <c r="C134" s="1">
        <f ca="1">IFERROR(__xludf.DUMMYFUNCTION("""COMPUTED_VALUE"""),2023)</f>
        <v>2023</v>
      </c>
      <c r="D134" s="1">
        <f ca="1">IFERROR(__xludf.DUMMYFUNCTION("""COMPUTED_VALUE"""),42423)</f>
        <v>42423</v>
      </c>
      <c r="E134" s="1" t="str">
        <f ca="1">IFERROR(__xludf.DUMMYFUNCTION("""COMPUTED_VALUE"""),"Advances in Astronautics Science and Technology")</f>
        <v>Advances in Astronautics Science and Technology</v>
      </c>
      <c r="F134" s="1" t="str">
        <f ca="1">IFERROR(__xludf.DUMMYFUNCTION("""COMPUTED_VALUE"""),"2524-5260")</f>
        <v>2524-5260</v>
      </c>
      <c r="G134" s="1" t="str">
        <f ca="1">IFERROR(__xludf.DUMMYFUNCTION("""COMPUTED_VALUE"""),"Springer")</f>
        <v>Springer</v>
      </c>
      <c r="H134" s="1" t="str">
        <f ca="1">IFERROR(__xludf.DUMMYFUNCTION("""COMPUTED_VALUE"""),"Engineering")</f>
        <v>Engineering</v>
      </c>
      <c r="I134" s="1" t="str">
        <f ca="1">IFERROR(__xludf.DUMMYFUNCTION("""COMPUTED_VALUE"""),"Former subject: Physics and Astronomy")</f>
        <v>Former subject: Physics and Astronomy</v>
      </c>
      <c r="J134" s="28"/>
    </row>
    <row r="135" spans="1:10" ht="12.75" customHeight="1" x14ac:dyDescent="0.25">
      <c r="A135" s="1"/>
      <c r="B135" s="1" t="str">
        <f ca="1">IFERROR(__xludf.DUMMYFUNCTION("""COMPUTED_VALUE"""),"Subject変更")</f>
        <v>Subject変更</v>
      </c>
      <c r="C135" s="1">
        <f ca="1">IFERROR(__xludf.DUMMYFUNCTION("""COMPUTED_VALUE"""),2023)</f>
        <v>2023</v>
      </c>
      <c r="D135" s="1">
        <f ca="1">IFERROR(__xludf.DUMMYFUNCTION("""COMPUTED_VALUE"""),10707)</f>
        <v>10707</v>
      </c>
      <c r="E135" s="1" t="str">
        <f ca="1">IFERROR(__xludf.DUMMYFUNCTION("""COMPUTED_VALUE"""),"GeoInformatica")</f>
        <v>GeoInformatica</v>
      </c>
      <c r="F135" s="1" t="str">
        <f ca="1">IFERROR(__xludf.DUMMYFUNCTION("""COMPUTED_VALUE"""),"1573-7624")</f>
        <v>1573-7624</v>
      </c>
      <c r="G135" s="1" t="str">
        <f ca="1">IFERROR(__xludf.DUMMYFUNCTION("""COMPUTED_VALUE"""),"Springer")</f>
        <v>Springer</v>
      </c>
      <c r="H135" s="1" t="str">
        <f ca="1">IFERROR(__xludf.DUMMYFUNCTION("""COMPUTED_VALUE"""),"Computer Science")</f>
        <v>Computer Science</v>
      </c>
      <c r="I135" s="1" t="str">
        <f ca="1">IFERROR(__xludf.DUMMYFUNCTION("""COMPUTED_VALUE"""),"Former subject: Earth and Environmental Science")</f>
        <v>Former subject: Earth and Environmental Science</v>
      </c>
      <c r="J135" s="28"/>
    </row>
    <row r="136" spans="1:10" ht="12.75" customHeight="1" x14ac:dyDescent="0.25">
      <c r="A136" s="1"/>
      <c r="B136" s="1" t="str">
        <f ca="1">IFERROR(__xludf.DUMMYFUNCTION("""COMPUTED_VALUE"""),"Subject変更")</f>
        <v>Subject変更</v>
      </c>
      <c r="C136" s="1">
        <f ca="1">IFERROR(__xludf.DUMMYFUNCTION("""COMPUTED_VALUE"""),2023)</f>
        <v>2023</v>
      </c>
      <c r="D136" s="1">
        <f ca="1">IFERROR(__xludf.DUMMYFUNCTION("""COMPUTED_VALUE"""),10704)</f>
        <v>10704</v>
      </c>
      <c r="E136" s="1" t="str">
        <f ca="1">IFERROR(__xludf.DUMMYFUNCTION("""COMPUTED_VALUE"""),"International Journal of Fracture")</f>
        <v>International Journal of Fracture</v>
      </c>
      <c r="F136" s="1" t="str">
        <f ca="1">IFERROR(__xludf.DUMMYFUNCTION("""COMPUTED_VALUE"""),"1573-2673")</f>
        <v>1573-2673</v>
      </c>
      <c r="G136" s="1" t="str">
        <f ca="1">IFERROR(__xludf.DUMMYFUNCTION("""COMPUTED_VALUE"""),"Springer")</f>
        <v>Springer</v>
      </c>
      <c r="H136" s="1" t="str">
        <f ca="1">IFERROR(__xludf.DUMMYFUNCTION("""COMPUTED_VALUE"""),"Engineering")</f>
        <v>Engineering</v>
      </c>
      <c r="I136" s="1" t="str">
        <f ca="1">IFERROR(__xludf.DUMMYFUNCTION("""COMPUTED_VALUE"""),"Former subject: Chemistry and Materials Science")</f>
        <v>Former subject: Chemistry and Materials Science</v>
      </c>
      <c r="J136" s="28"/>
    </row>
    <row r="137" spans="1:10" ht="12.75" customHeight="1" x14ac:dyDescent="0.25">
      <c r="A137" s="1"/>
      <c r="B137" s="1" t="str">
        <f ca="1">IFERROR(__xludf.DUMMYFUNCTION("""COMPUTED_VALUE"""),"Subject変更")</f>
        <v>Subject変更</v>
      </c>
      <c r="C137" s="1">
        <f ca="1">IFERROR(__xludf.DUMMYFUNCTION("""COMPUTED_VALUE"""),2023)</f>
        <v>2023</v>
      </c>
      <c r="D137" s="1">
        <f ca="1">IFERROR(__xludf.DUMMYFUNCTION("""COMPUTED_VALUE"""),10659)</f>
        <v>10659</v>
      </c>
      <c r="E137" s="1" t="str">
        <f ca="1">IFERROR(__xludf.DUMMYFUNCTION("""COMPUTED_VALUE"""),"Journal of Elasticity")</f>
        <v>Journal of Elasticity</v>
      </c>
      <c r="F137" s="1" t="str">
        <f ca="1">IFERROR(__xludf.DUMMYFUNCTION("""COMPUTED_VALUE"""),"1573-2681")</f>
        <v>1573-2681</v>
      </c>
      <c r="G137" s="1" t="str">
        <f ca="1">IFERROR(__xludf.DUMMYFUNCTION("""COMPUTED_VALUE"""),"Springer")</f>
        <v>Springer</v>
      </c>
      <c r="H137" s="1" t="str">
        <f ca="1">IFERROR(__xludf.DUMMYFUNCTION("""COMPUTED_VALUE"""),"Engineering")</f>
        <v>Engineering</v>
      </c>
      <c r="I137" s="1" t="str">
        <f ca="1">IFERROR(__xludf.DUMMYFUNCTION("""COMPUTED_VALUE"""),"Former subject: Physics and Astronomy")</f>
        <v>Former subject: Physics and Astronomy</v>
      </c>
      <c r="J137" s="28"/>
    </row>
    <row r="138" spans="1:10" ht="12.75" customHeight="1" x14ac:dyDescent="0.25">
      <c r="A138" s="1"/>
      <c r="B138" s="1" t="str">
        <f ca="1">IFERROR(__xludf.DUMMYFUNCTION("""COMPUTED_VALUE"""),"Subject変更")</f>
        <v>Subject変更</v>
      </c>
      <c r="C138" s="1">
        <f ca="1">IFERROR(__xludf.DUMMYFUNCTION("""COMPUTED_VALUE"""),2023)</f>
        <v>2023</v>
      </c>
      <c r="D138" s="1">
        <f ca="1">IFERROR(__xludf.DUMMYFUNCTION("""COMPUTED_VALUE"""),11633)</f>
        <v>11633</v>
      </c>
      <c r="E138" s="1" t="str">
        <f ca="1">IFERROR(__xludf.DUMMYFUNCTION("""COMPUTED_VALUE"""),"Machine Intelligence Research")</f>
        <v>Machine Intelligence Research</v>
      </c>
      <c r="F138" s="1" t="str">
        <f ca="1">IFERROR(__xludf.DUMMYFUNCTION("""COMPUTED_VALUE"""),"1751-8520")</f>
        <v>1751-8520</v>
      </c>
      <c r="G138" s="1" t="str">
        <f ca="1">IFERROR(__xludf.DUMMYFUNCTION("""COMPUTED_VALUE"""),"Institute of Automation, Chinese Academy of Sciences, co-published with Springer")</f>
        <v>Institute of Automation, Chinese Academy of Sciences, co-published with Springer</v>
      </c>
      <c r="H138" s="1" t="str">
        <f ca="1">IFERROR(__xludf.DUMMYFUNCTION("""COMPUTED_VALUE"""),"Computer Science")</f>
        <v>Computer Science</v>
      </c>
      <c r="I138" s="1" t="str">
        <f ca="1">IFERROR(__xludf.DUMMYFUNCTION("""COMPUTED_VALUE"""),"Former subject: Engineering")</f>
        <v>Former subject: Engineering</v>
      </c>
      <c r="J138" s="28"/>
    </row>
    <row r="139" spans="1:10" ht="12.75" customHeight="1" x14ac:dyDescent="0.25">
      <c r="A139" s="1"/>
      <c r="B139" s="1" t="str">
        <f ca="1">IFERROR(__xludf.DUMMYFUNCTION("""COMPUTED_VALUE"""),"Subject変更")</f>
        <v>Subject変更</v>
      </c>
      <c r="C139" s="1">
        <f ca="1">IFERROR(__xludf.DUMMYFUNCTION("""COMPUTED_VALUE"""),2023)</f>
        <v>2023</v>
      </c>
      <c r="D139" s="1">
        <f ca="1">IFERROR(__xludf.DUMMYFUNCTION("""COMPUTED_VALUE"""),10048)</f>
        <v>10048</v>
      </c>
      <c r="E139" s="1" t="str">
        <f ca="1">IFERROR(__xludf.DUMMYFUNCTION("""COMPUTED_VALUE"""),"neurogenetics")</f>
        <v>neurogenetics</v>
      </c>
      <c r="F139" s="1" t="str">
        <f ca="1">IFERROR(__xludf.DUMMYFUNCTION("""COMPUTED_VALUE"""),"1364-6753")</f>
        <v>1364-6753</v>
      </c>
      <c r="G139" s="1" t="str">
        <f ca="1">IFERROR(__xludf.DUMMYFUNCTION("""COMPUTED_VALUE"""),"Springer")</f>
        <v>Springer</v>
      </c>
      <c r="H139" s="1" t="str">
        <f ca="1">IFERROR(__xludf.DUMMYFUNCTION("""COMPUTED_VALUE"""),"Medicine")</f>
        <v>Medicine</v>
      </c>
      <c r="I139" s="1" t="str">
        <f ca="1">IFERROR(__xludf.DUMMYFUNCTION("""COMPUTED_VALUE"""),"Former subject: Biomedical and Life Sciences")</f>
        <v>Former subject: Biomedical and Life Sciences</v>
      </c>
      <c r="J139" s="28"/>
    </row>
    <row r="140" spans="1:10" ht="12.75" customHeight="1" x14ac:dyDescent="0.25">
      <c r="A140" s="1"/>
      <c r="B140" s="1" t="str">
        <f ca="1">IFERROR(__xludf.DUMMYFUNCTION("""COMPUTED_VALUE"""),"Subject変更")</f>
        <v>Subject変更</v>
      </c>
      <c r="C140" s="1">
        <f ca="1">IFERROR(__xludf.DUMMYFUNCTION("""COMPUTED_VALUE"""),2023)</f>
        <v>2023</v>
      </c>
      <c r="D140" s="1">
        <f ca="1">IFERROR(__xludf.DUMMYFUNCTION("""COMPUTED_VALUE"""),11222)</f>
        <v>11222</v>
      </c>
      <c r="E140" s="1" t="str">
        <f ca="1">IFERROR(__xludf.DUMMYFUNCTION("""COMPUTED_VALUE"""),"Statistics and Computing")</f>
        <v>Statistics and Computing</v>
      </c>
      <c r="F140" s="1" t="str">
        <f ca="1">IFERROR(__xludf.DUMMYFUNCTION("""COMPUTED_VALUE"""),"1573-1375")</f>
        <v>1573-1375</v>
      </c>
      <c r="G140" s="1" t="str">
        <f ca="1">IFERROR(__xludf.DUMMYFUNCTION("""COMPUTED_VALUE"""),"Springer")</f>
        <v>Springer</v>
      </c>
      <c r="H140" s="1" t="str">
        <f ca="1">IFERROR(__xludf.DUMMYFUNCTION("""COMPUTED_VALUE"""),"Computer Science")</f>
        <v>Computer Science</v>
      </c>
      <c r="I140" s="1" t="str">
        <f ca="1">IFERROR(__xludf.DUMMYFUNCTION("""COMPUTED_VALUE"""),"Former subject: Mathematics and Statistics")</f>
        <v>Former subject: Mathematics and Statistics</v>
      </c>
      <c r="J140" s="28"/>
    </row>
    <row r="141" spans="1:10" ht="12.75" customHeight="1" x14ac:dyDescent="0.25">
      <c r="A141" s="1"/>
      <c r="B141" s="1" t="str">
        <f ca="1">IFERROR(__xludf.DUMMYFUNCTION("""COMPUTED_VALUE"""),"New Start title")</f>
        <v>New Start title</v>
      </c>
      <c r="C141" s="1">
        <f ca="1">IFERROR(__xludf.DUMMYFUNCTION("""COMPUTED_VALUE"""),2022)</f>
        <v>2022</v>
      </c>
      <c r="D141" s="1">
        <f ca="1">IFERROR(__xludf.DUMMYFUNCTION("""COMPUTED_VALUE"""),43674)</f>
        <v>43674</v>
      </c>
      <c r="E141" s="1" t="str">
        <f ca="1">IFERROR(__xludf.DUMMYFUNCTION("""COMPUTED_VALUE"""),"Advances in Computational Intelligence")</f>
        <v>Advances in Computational Intelligence</v>
      </c>
      <c r="F141" s="1" t="str">
        <f ca="1">IFERROR(__xludf.DUMMYFUNCTION("""COMPUTED_VALUE"""),"2730-7808")</f>
        <v>2730-7808</v>
      </c>
      <c r="G141" s="1" t="str">
        <f ca="1">IFERROR(__xludf.DUMMYFUNCTION("""COMPUTED_VALUE"""),"Springer")</f>
        <v>Springer</v>
      </c>
      <c r="H141" s="1" t="str">
        <f ca="1">IFERROR(__xludf.DUMMYFUNCTION("""COMPUTED_VALUE"""),"Engineering")</f>
        <v>Engineering</v>
      </c>
      <c r="I141" s="1" t="str">
        <f ca="1">IFERROR(__xludf.DUMMYFUNCTION("""COMPUTED_VALUE"""),"SNS21 (2021年 NewStart title） ")</f>
        <v xml:space="preserve">SNS21 (2021年 NewStart title） </v>
      </c>
      <c r="J141" s="28" t="str">
        <f ca="1">IFERROR(__xludf.DUMMYFUNCTION("""COMPUTED_VALUE""")," Access Only title 購読誌選択不可")</f>
        <v xml:space="preserve"> Access Only title 購読誌選択不可</v>
      </c>
    </row>
    <row r="142" spans="1:10" ht="12.75" customHeight="1" x14ac:dyDescent="0.25">
      <c r="A142" s="1"/>
      <c r="B142" s="1" t="str">
        <f ca="1">IFERROR(__xludf.DUMMYFUNCTION("""COMPUTED_VALUE"""),"New Start title")</f>
        <v>New Start title</v>
      </c>
      <c r="C142" s="1">
        <f ca="1">IFERROR(__xludf.DUMMYFUNCTION("""COMPUTED_VALUE"""),2022)</f>
        <v>2022</v>
      </c>
      <c r="D142" s="1">
        <f ca="1">IFERROR(__xludf.DUMMYFUNCTION("""COMPUTED_VALUE"""),43681)</f>
        <v>43681</v>
      </c>
      <c r="E142" s="1" t="str">
        <f ca="1">IFERROR(__xludf.DUMMYFUNCTION("""COMPUTED_VALUE"""),"AI and Ethics")</f>
        <v>AI and Ethics</v>
      </c>
      <c r="F142" s="1" t="str">
        <f ca="1">IFERROR(__xludf.DUMMYFUNCTION("""COMPUTED_VALUE"""),"2730-5961")</f>
        <v>2730-5961</v>
      </c>
      <c r="G142" s="1" t="str">
        <f ca="1">IFERROR(__xludf.DUMMYFUNCTION("""COMPUTED_VALUE"""),"Springer")</f>
        <v>Springer</v>
      </c>
      <c r="H142" s="1" t="str">
        <f ca="1">IFERROR(__xludf.DUMMYFUNCTION("""COMPUTED_VALUE"""),"Computer Science")</f>
        <v>Computer Science</v>
      </c>
      <c r="I142" s="1" t="str">
        <f ca="1">IFERROR(__xludf.DUMMYFUNCTION("""COMPUTED_VALUE"""),"SNS21 (2021年 NewStart title） ")</f>
        <v xml:space="preserve">SNS21 (2021年 NewStart title） </v>
      </c>
      <c r="J142" s="28" t="str">
        <f ca="1">IFERROR(__xludf.DUMMYFUNCTION("""COMPUTED_VALUE""")," Access Only title 購読誌選択不可")</f>
        <v xml:space="preserve"> Access Only title 購読誌選択不可</v>
      </c>
    </row>
    <row r="143" spans="1:10" ht="12.75" customHeight="1" x14ac:dyDescent="0.25">
      <c r="A143" s="1"/>
      <c r="B143" s="1" t="str">
        <f ca="1">IFERROR(__xludf.DUMMYFUNCTION("""COMPUTED_VALUE"""),"New Start title")</f>
        <v>New Start title</v>
      </c>
      <c r="C143" s="1">
        <f ca="1">IFERROR(__xludf.DUMMYFUNCTION("""COMPUTED_VALUE"""),2022)</f>
        <v>2022</v>
      </c>
      <c r="D143" s="1">
        <f ca="1">IFERROR(__xludf.DUMMYFUNCTION("""COMPUTED_VALUE"""),44177)</f>
        <v>44177</v>
      </c>
      <c r="E143" s="1" t="str">
        <f ca="1">IFERROR(__xludf.DUMMYFUNCTION("""COMPUTED_VALUE"""),"Anthropocene Science")</f>
        <v>Anthropocene Science</v>
      </c>
      <c r="F143" s="1" t="str">
        <f ca="1">IFERROR(__xludf.DUMMYFUNCTION("""COMPUTED_VALUE"""),"2731-3980")</f>
        <v>2731-3980</v>
      </c>
      <c r="G143" s="1" t="str">
        <f ca="1">IFERROR(__xludf.DUMMYFUNCTION("""COMPUTED_VALUE"""),"Springer")</f>
        <v>Springer</v>
      </c>
      <c r="H143" s="1" t="str">
        <f ca="1">IFERROR(__xludf.DUMMYFUNCTION("""COMPUTED_VALUE"""),"Earth and Environmental Science")</f>
        <v>Earth and Environmental Science</v>
      </c>
      <c r="I143" s="1" t="str">
        <f ca="1">IFERROR(__xludf.DUMMYFUNCTION("""COMPUTED_VALUE"""),"SNS22 (2022年 NewStart title）")</f>
        <v>SNS22 (2022年 NewStart title）</v>
      </c>
      <c r="J143" s="28" t="str">
        <f ca="1">IFERROR(__xludf.DUMMYFUNCTION("""COMPUTED_VALUE""")," Access Only title 購読誌選択不可")</f>
        <v xml:space="preserve"> Access Only title 購読誌選択不可</v>
      </c>
    </row>
    <row r="144" spans="1:10" ht="12.75" customHeight="1" x14ac:dyDescent="0.25">
      <c r="A144" s="1"/>
      <c r="B144" s="1" t="str">
        <f ca="1">IFERROR(__xludf.DUMMYFUNCTION("""COMPUTED_VALUE"""),"New Start title")</f>
        <v>New Start title</v>
      </c>
      <c r="C144" s="1">
        <f ca="1">IFERROR(__xludf.DUMMYFUNCTION("""COMPUTED_VALUE"""),2022)</f>
        <v>2022</v>
      </c>
      <c r="D144" s="1">
        <f ca="1">IFERROR(__xludf.DUMMYFUNCTION("""COMPUTED_VALUE"""),44150)</f>
        <v>44150</v>
      </c>
      <c r="E144" s="1" t="str">
        <f ca="1">IFERROR(__xludf.DUMMYFUNCTION("""COMPUTED_VALUE"""),"Architecture, Structures and Construction")</f>
        <v>Architecture, Structures and Construction</v>
      </c>
      <c r="F144" s="1" t="str">
        <f ca="1">IFERROR(__xludf.DUMMYFUNCTION("""COMPUTED_VALUE"""),"2730-9894")</f>
        <v>2730-9894</v>
      </c>
      <c r="G144" s="1" t="str">
        <f ca="1">IFERROR(__xludf.DUMMYFUNCTION("""COMPUTED_VALUE"""),"Springer")</f>
        <v>Springer</v>
      </c>
      <c r="H144" s="1" t="str">
        <f ca="1">IFERROR(__xludf.DUMMYFUNCTION("""COMPUTED_VALUE"""),"Engineering")</f>
        <v>Engineering</v>
      </c>
      <c r="I144" s="1" t="str">
        <f ca="1">IFERROR(__xludf.DUMMYFUNCTION("""COMPUTED_VALUE"""),"SNS21 (2021年 NewStart title） ")</f>
        <v xml:space="preserve">SNS21 (2021年 NewStart title） </v>
      </c>
      <c r="J144" s="28" t="str">
        <f ca="1">IFERROR(__xludf.DUMMYFUNCTION("""COMPUTED_VALUE""")," Access Only title 購読誌選択不可")</f>
        <v xml:space="preserve"> Access Only title 購読誌選択不可</v>
      </c>
    </row>
    <row r="145" spans="1:10" ht="12.75" customHeight="1" x14ac:dyDescent="0.25">
      <c r="A145" s="1"/>
      <c r="B145" s="1" t="str">
        <f ca="1">IFERROR(__xludf.DUMMYFUNCTION("""COMPUTED_VALUE"""),"New Start title")</f>
        <v>New Start title</v>
      </c>
      <c r="C145" s="1">
        <f ca="1">IFERROR(__xludf.DUMMYFUNCTION("""COMPUTED_VALUE"""),2022)</f>
        <v>2022</v>
      </c>
      <c r="D145" s="1">
        <f ca="1">IFERROR(__xludf.DUMMYFUNCTION("""COMPUTED_VALUE"""),44204)</f>
        <v>44204</v>
      </c>
      <c r="E145" s="1" t="str">
        <f ca="1">IFERROR(__xludf.DUMMYFUNCTION("""COMPUTED_VALUE"""),"Asian Journal of Philosophy")</f>
        <v>Asian Journal of Philosophy</v>
      </c>
      <c r="F145" s="1" t="str">
        <f ca="1">IFERROR(__xludf.DUMMYFUNCTION("""COMPUTED_VALUE"""),"2731-4642")</f>
        <v>2731-4642</v>
      </c>
      <c r="G145" s="1" t="str">
        <f ca="1">IFERROR(__xludf.DUMMYFUNCTION("""COMPUTED_VALUE"""),"Springer")</f>
        <v>Springer</v>
      </c>
      <c r="H145" s="1" t="str">
        <f ca="1">IFERROR(__xludf.DUMMYFUNCTION("""COMPUTED_VALUE"""),"Education")</f>
        <v>Education</v>
      </c>
      <c r="I145" s="1" t="str">
        <f ca="1">IFERROR(__xludf.DUMMYFUNCTION("""COMPUTED_VALUE"""),"SNS22 (2022年 NewStart title）")</f>
        <v>SNS22 (2022年 NewStart title）</v>
      </c>
      <c r="J145" s="28" t="str">
        <f ca="1">IFERROR(__xludf.DUMMYFUNCTION("""COMPUTED_VALUE""")," Access Only title 購読誌選択不可")</f>
        <v xml:space="preserve"> Access Only title 購読誌選択不可</v>
      </c>
    </row>
    <row r="146" spans="1:10" ht="12.75" customHeight="1" x14ac:dyDescent="0.25">
      <c r="A146" s="1"/>
      <c r="B146" s="1" t="str">
        <f ca="1">IFERROR(__xludf.DUMMYFUNCTION("""COMPUTED_VALUE"""),"New Start title")</f>
        <v>New Start title</v>
      </c>
      <c r="C146" s="1">
        <f ca="1">IFERROR(__xludf.DUMMYFUNCTION("""COMPUTED_VALUE"""),2022)</f>
        <v>2022</v>
      </c>
      <c r="D146" s="1">
        <f ca="1">IFERROR(__xludf.DUMMYFUNCTION("""COMPUTED_VALUE"""),43683)</f>
        <v>43683</v>
      </c>
      <c r="E146" s="1" t="str">
        <f ca="1">IFERROR(__xludf.DUMMYFUNCTION("""COMPUTED_VALUE"""),"Biomedical Engineering Education")</f>
        <v>Biomedical Engineering Education</v>
      </c>
      <c r="F146" s="1" t="str">
        <f ca="1">IFERROR(__xludf.DUMMYFUNCTION("""COMPUTED_VALUE"""),"2730-5945")</f>
        <v>2730-5945</v>
      </c>
      <c r="G146" s="1" t="str">
        <f ca="1">IFERROR(__xludf.DUMMYFUNCTION("""COMPUTED_VALUE"""),"Springer")</f>
        <v>Springer</v>
      </c>
      <c r="H146" s="1" t="str">
        <f ca="1">IFERROR(__xludf.DUMMYFUNCTION("""COMPUTED_VALUE"""),"Biomedical and Life Sciences")</f>
        <v>Biomedical and Life Sciences</v>
      </c>
      <c r="I146" s="1" t="str">
        <f ca="1">IFERROR(__xludf.DUMMYFUNCTION("""COMPUTED_VALUE"""),"SNS21 (2021年 NewStart title） ")</f>
        <v xml:space="preserve">SNS21 (2021年 NewStart title） </v>
      </c>
      <c r="J146" s="28" t="str">
        <f ca="1">IFERROR(__xludf.DUMMYFUNCTION("""COMPUTED_VALUE""")," Access Only title 購読誌選択不可")</f>
        <v xml:space="preserve"> Access Only title 購読誌選択不可</v>
      </c>
    </row>
    <row r="147" spans="1:10" ht="12.75" customHeight="1" x14ac:dyDescent="0.25">
      <c r="A147" s="1"/>
      <c r="B147" s="1" t="str">
        <f ca="1">IFERROR(__xludf.DUMMYFUNCTION("""COMPUTED_VALUE"""),"New Start title")</f>
        <v>New Start title</v>
      </c>
      <c r="C147" s="1">
        <f ca="1">IFERROR(__xludf.DUMMYFUNCTION("""COMPUTED_VALUE"""),2022)</f>
        <v>2022</v>
      </c>
      <c r="D147" s="1">
        <f ca="1">IFERROR(__xludf.DUMMYFUNCTION("""COMPUTED_VALUE"""),44174)</f>
        <v>44174</v>
      </c>
      <c r="E147" s="1" t="str">
        <f ca="1">IFERROR(__xludf.DUMMYFUNCTION("""COMPUTED_VALUE"""),"Biomedical Materials &amp; Devices")</f>
        <v>Biomedical Materials &amp; Devices</v>
      </c>
      <c r="F147" s="1" t="str">
        <f ca="1">IFERROR(__xludf.DUMMYFUNCTION("""COMPUTED_VALUE"""),"2731-4820")</f>
        <v>2731-4820</v>
      </c>
      <c r="G147" s="1" t="str">
        <f ca="1">IFERROR(__xludf.DUMMYFUNCTION("""COMPUTED_VALUE"""),"Springer")</f>
        <v>Springer</v>
      </c>
      <c r="H147" s="1" t="str">
        <f ca="1">IFERROR(__xludf.DUMMYFUNCTION("""COMPUTED_VALUE"""),"Chemistry and Materials Science")</f>
        <v>Chemistry and Materials Science</v>
      </c>
      <c r="I147" s="1" t="str">
        <f ca="1">IFERROR(__xludf.DUMMYFUNCTION("""COMPUTED_VALUE"""),"SNS22 (2022年 NewStart title）")</f>
        <v>SNS22 (2022年 NewStart title）</v>
      </c>
      <c r="J147" s="28" t="str">
        <f ca="1">IFERROR(__xludf.DUMMYFUNCTION("""COMPUTED_VALUE""")," Access Only title 購読誌選択不可")</f>
        <v xml:space="preserve"> Access Only title 購読誌選択不可</v>
      </c>
    </row>
    <row r="148" spans="1:10" ht="12.75" customHeight="1" x14ac:dyDescent="0.25">
      <c r="A148" s="1"/>
      <c r="B148" s="1" t="str">
        <f ca="1">IFERROR(__xludf.DUMMYFUNCTION("""COMPUTED_VALUE"""),"New Start title")</f>
        <v>New Start title</v>
      </c>
      <c r="C148" s="1">
        <f ca="1">IFERROR(__xludf.DUMMYFUNCTION("""COMPUTED_VALUE"""),2022)</f>
        <v>2022</v>
      </c>
      <c r="D148" s="1">
        <f ca="1">IFERROR(__xludf.DUMMYFUNCTION("""COMPUTED_VALUE"""),43615)</f>
        <v>43615</v>
      </c>
      <c r="E148" s="1" t="str">
        <f ca="1">IFERROR(__xludf.DUMMYFUNCTION("""COMPUTED_VALUE"""),"Circular Economy and Sustainability")</f>
        <v>Circular Economy and Sustainability</v>
      </c>
      <c r="F148" s="1" t="str">
        <f ca="1">IFERROR(__xludf.DUMMYFUNCTION("""COMPUTED_VALUE"""),"2730-5988")</f>
        <v>2730-5988</v>
      </c>
      <c r="G148" s="1" t="str">
        <f ca="1">IFERROR(__xludf.DUMMYFUNCTION("""COMPUTED_VALUE"""),"Springer")</f>
        <v>Springer</v>
      </c>
      <c r="H148" s="1" t="str">
        <f ca="1">IFERROR(__xludf.DUMMYFUNCTION("""COMPUTED_VALUE"""),"Earth and Environmental Science")</f>
        <v>Earth and Environmental Science</v>
      </c>
      <c r="I148" s="1" t="str">
        <f ca="1">IFERROR(__xludf.DUMMYFUNCTION("""COMPUTED_VALUE"""),"SNS21 (2021年 NewStart title） ")</f>
        <v xml:space="preserve">SNS21 (2021年 NewStart title） </v>
      </c>
      <c r="J148" s="28" t="str">
        <f ca="1">IFERROR(__xludf.DUMMYFUNCTION("""COMPUTED_VALUE""")," Access Only title 購読誌選択不可")</f>
        <v xml:space="preserve"> Access Only title 購読誌選択不可</v>
      </c>
    </row>
    <row r="149" spans="1:10" ht="12.75" customHeight="1" x14ac:dyDescent="0.25">
      <c r="A149" s="1"/>
      <c r="B149" s="1" t="str">
        <f ca="1">IFERROR(__xludf.DUMMYFUNCTION("""COMPUTED_VALUE"""),"New Start title")</f>
        <v>New Start title</v>
      </c>
      <c r="C149" s="1">
        <f ca="1">IFERROR(__xludf.DUMMYFUNCTION("""COMPUTED_VALUE"""),2022)</f>
        <v>2022</v>
      </c>
      <c r="D149" s="1">
        <f ca="1">IFERROR(__xludf.DUMMYFUNCTION("""COMPUTED_VALUE"""),43555)</f>
        <v>43555</v>
      </c>
      <c r="E149" s="1" t="str">
        <f ca="1">IFERROR(__xludf.DUMMYFUNCTION("""COMPUTED_VALUE"""),"Current Food Science and Technology Reports")</f>
        <v>Current Food Science and Technology Reports</v>
      </c>
      <c r="F149" s="1" t="str">
        <f ca="1">IFERROR(__xludf.DUMMYFUNCTION("""COMPUTED_VALUE"""),"2662-8473")</f>
        <v>2662-8473</v>
      </c>
      <c r="G149" s="1" t="str">
        <f ca="1">IFERROR(__xludf.DUMMYFUNCTION("""COMPUTED_VALUE"""),"Springer")</f>
        <v>Springer</v>
      </c>
      <c r="H149" s="1" t="str">
        <f ca="1">IFERROR(__xludf.DUMMYFUNCTION("""COMPUTED_VALUE"""),"Biomedical and Life Sciences")</f>
        <v>Biomedical and Life Sciences</v>
      </c>
      <c r="I149" s="1" t="str">
        <f ca="1">IFERROR(__xludf.DUMMYFUNCTION("""COMPUTED_VALUE"""),"SNS22 (2022年 NewStart title）")</f>
        <v>SNS22 (2022年 NewStart title）</v>
      </c>
      <c r="J149" s="28" t="str">
        <f ca="1">IFERROR(__xludf.DUMMYFUNCTION("""COMPUTED_VALUE""")," Access Only title 購読誌選択不可")</f>
        <v xml:space="preserve"> Access Only title 購読誌選択不可</v>
      </c>
    </row>
    <row r="150" spans="1:10" ht="12.75" customHeight="1" x14ac:dyDescent="0.25">
      <c r="A150" s="1"/>
      <c r="B150" s="1" t="str">
        <f ca="1">IFERROR(__xludf.DUMMYFUNCTION("""COMPUTED_VALUE"""),"New Start title")</f>
        <v>New Start title</v>
      </c>
      <c r="C150" s="1">
        <f ca="1">IFERROR(__xludf.DUMMYFUNCTION("""COMPUTED_VALUE"""),2022)</f>
        <v>2022</v>
      </c>
      <c r="D150" s="1">
        <f ca="1">IFERROR(__xludf.DUMMYFUNCTION("""COMPUTED_VALUE"""),43561)</f>
        <v>43561</v>
      </c>
      <c r="E150" s="1" t="str">
        <f ca="1">IFERROR(__xludf.DUMMYFUNCTION("""COMPUTED_VALUE"""),"Current Microscopy Reports")</f>
        <v>Current Microscopy Reports</v>
      </c>
      <c r="F150" s="1" t="str">
        <f ca="1">IFERROR(__xludf.DUMMYFUNCTION("""COMPUTED_VALUE"""),"2662-9747")</f>
        <v>2662-9747</v>
      </c>
      <c r="G150" s="1" t="str">
        <f ca="1">IFERROR(__xludf.DUMMYFUNCTION("""COMPUTED_VALUE"""),"Springer")</f>
        <v>Springer</v>
      </c>
      <c r="H150" s="1" t="str">
        <f ca="1">IFERROR(__xludf.DUMMYFUNCTION("""COMPUTED_VALUE"""),"Biomedical and Life Sciences")</f>
        <v>Biomedical and Life Sciences</v>
      </c>
      <c r="I150" s="1" t="str">
        <f ca="1">IFERROR(__xludf.DUMMYFUNCTION("""COMPUTED_VALUE"""),"SNS22 (2022年 NewStart title）")</f>
        <v>SNS22 (2022年 NewStart title）</v>
      </c>
      <c r="J150" s="28" t="str">
        <f ca="1">IFERROR(__xludf.DUMMYFUNCTION("""COMPUTED_VALUE""")," Access Only title 購読誌選択不可")</f>
        <v xml:space="preserve"> Access Only title 購読誌選択不可</v>
      </c>
    </row>
    <row r="151" spans="1:10" ht="12.75" customHeight="1" x14ac:dyDescent="0.25">
      <c r="A151" s="1"/>
      <c r="B151" s="1" t="str">
        <f ca="1">IFERROR(__xludf.DUMMYFUNCTION("""COMPUTED_VALUE"""),"New Start title")</f>
        <v>New Start title</v>
      </c>
      <c r="C151" s="1">
        <f ca="1">IFERROR(__xludf.DUMMYFUNCTION("""COMPUTED_VALUE"""),2022)</f>
        <v>2022</v>
      </c>
      <c r="D151" s="1">
        <f ca="1">IFERROR(__xludf.DUMMYFUNCTION("""COMPUTED_VALUE"""),44206)</f>
        <v>44206</v>
      </c>
      <c r="E151" s="1" t="str">
        <f ca="1">IFERROR(__xludf.DUMMYFUNCTION("""COMPUTED_VALUE"""),"Digital Society")</f>
        <v>Digital Society</v>
      </c>
      <c r="F151" s="1" t="str">
        <f ca="1">IFERROR(__xludf.DUMMYFUNCTION("""COMPUTED_VALUE"""),"2731-4669")</f>
        <v>2731-4669</v>
      </c>
      <c r="G151" s="1" t="str">
        <f ca="1">IFERROR(__xludf.DUMMYFUNCTION("""COMPUTED_VALUE"""),"Springer")</f>
        <v>Springer</v>
      </c>
      <c r="H151" s="1" t="str">
        <f ca="1">IFERROR(__xludf.DUMMYFUNCTION("""COMPUTED_VALUE"""),"Computer Science")</f>
        <v>Computer Science</v>
      </c>
      <c r="I151" s="1" t="str">
        <f ca="1">IFERROR(__xludf.DUMMYFUNCTION("""COMPUTED_VALUE"""),"SNS22 (2022年 NewStart title）")</f>
        <v>SNS22 (2022年 NewStart title）</v>
      </c>
      <c r="J151" s="28" t="str">
        <f ca="1">IFERROR(__xludf.DUMMYFUNCTION("""COMPUTED_VALUE""")," Access Only title 購読誌選択不可")</f>
        <v xml:space="preserve"> Access Only title 購読誌選択不可</v>
      </c>
    </row>
    <row r="152" spans="1:10" ht="12.75" customHeight="1" x14ac:dyDescent="0.25">
      <c r="A152" s="1"/>
      <c r="B152" s="1" t="str">
        <f ca="1">IFERROR(__xludf.DUMMYFUNCTION("""COMPUTED_VALUE"""),"New Start title")</f>
        <v>New Start title</v>
      </c>
      <c r="C152" s="1">
        <f ca="1">IFERROR(__xludf.DUMMYFUNCTION("""COMPUTED_VALUE"""),2022)</f>
        <v>2022</v>
      </c>
      <c r="D152" s="1">
        <f ca="1">IFERROR(__xludf.DUMMYFUNCTION("""COMPUTED_VALUE"""),43477)</f>
        <v>43477</v>
      </c>
      <c r="E152" s="1" t="str">
        <f ca="1">IFERROR(__xludf.DUMMYFUNCTION("""COMPUTED_VALUE"""),"Global Implementation Research and Applications")</f>
        <v>Global Implementation Research and Applications</v>
      </c>
      <c r="F152" s="1" t="str">
        <f ca="1">IFERROR(__xludf.DUMMYFUNCTION("""COMPUTED_VALUE"""),"2662-9275")</f>
        <v>2662-9275</v>
      </c>
      <c r="G152" s="1" t="str">
        <f ca="1">IFERROR(__xludf.DUMMYFUNCTION("""COMPUTED_VALUE"""),"Springer")</f>
        <v>Springer</v>
      </c>
      <c r="H152" s="1" t="str">
        <f ca="1">IFERROR(__xludf.DUMMYFUNCTION("""COMPUTED_VALUE"""),"Behavioral Science and Psychology")</f>
        <v>Behavioral Science and Psychology</v>
      </c>
      <c r="I152" s="1" t="str">
        <f ca="1">IFERROR(__xludf.DUMMYFUNCTION("""COMPUTED_VALUE"""),"SNS21 (2021年 NewStart title） ")</f>
        <v xml:space="preserve">SNS21 (2021年 NewStart title） </v>
      </c>
      <c r="J152" s="28" t="str">
        <f ca="1">IFERROR(__xludf.DUMMYFUNCTION("""COMPUTED_VALUE""")," Access Only title 購読誌選択不可")</f>
        <v xml:space="preserve"> Access Only title 購読誌選択不可</v>
      </c>
    </row>
    <row r="153" spans="1:10" ht="12.75" customHeight="1" x14ac:dyDescent="0.25">
      <c r="A153" s="1"/>
      <c r="B153" s="1" t="str">
        <f ca="1">IFERROR(__xludf.DUMMYFUNCTION("""COMPUTED_VALUE"""),"New Start title")</f>
        <v>New Start title</v>
      </c>
      <c r="C153" s="1">
        <f ca="1">IFERROR(__xludf.DUMMYFUNCTION("""COMPUTED_VALUE"""),2022)</f>
        <v>2022</v>
      </c>
      <c r="D153" s="1">
        <f ca="1">IFERROR(__xludf.DUMMYFUNCTION("""COMPUTED_VALUE"""),43508)</f>
        <v>43508</v>
      </c>
      <c r="E153" s="1" t="str">
        <f ca="1">IFERROR(__xludf.DUMMYFUNCTION("""COMPUTED_VALUE"""),"Global Public Policy and Governance")</f>
        <v>Global Public Policy and Governance</v>
      </c>
      <c r="F153" s="1" t="str">
        <f ca="1">IFERROR(__xludf.DUMMYFUNCTION("""COMPUTED_VALUE"""),"2730-6305")</f>
        <v>2730-6305</v>
      </c>
      <c r="G153" s="1" t="str">
        <f ca="1">IFERROR(__xludf.DUMMYFUNCTION("""COMPUTED_VALUE"""),"Springer")</f>
        <v>Springer</v>
      </c>
      <c r="H153" s="1" t="str">
        <f ca="1">IFERROR(__xludf.DUMMYFUNCTION("""COMPUTED_VALUE"""),"Political Science and International Studies")</f>
        <v>Political Science and International Studies</v>
      </c>
      <c r="I153" s="1" t="str">
        <f ca="1">IFERROR(__xludf.DUMMYFUNCTION("""COMPUTED_VALUE"""),"SNS21 (2021年 NewStart title） ")</f>
        <v xml:space="preserve">SNS21 (2021年 NewStart title） </v>
      </c>
      <c r="J153" s="28" t="str">
        <f ca="1">IFERROR(__xludf.DUMMYFUNCTION("""COMPUTED_VALUE""")," Access Only title 購読誌選択不可")</f>
        <v xml:space="preserve"> Access Only title 購読誌選択不可</v>
      </c>
    </row>
    <row r="154" spans="1:10" ht="12.75" customHeight="1" x14ac:dyDescent="0.25">
      <c r="A154" s="1"/>
      <c r="B154" s="1" t="str">
        <f ca="1">IFERROR(__xludf.DUMMYFUNCTION("""COMPUTED_VALUE"""),"New Start title")</f>
        <v>New Start title</v>
      </c>
      <c r="C154" s="1">
        <f ca="1">IFERROR(__xludf.DUMMYFUNCTION("""COMPUTED_VALUE"""),2022)</f>
        <v>2022</v>
      </c>
      <c r="D154" s="1">
        <f ca="1">IFERROR(__xludf.DUMMYFUNCTION("""COMPUTED_VALUE"""),44186)</f>
        <v>44186</v>
      </c>
      <c r="E154" s="1" t="str">
        <f ca="1">IFERROR(__xludf.DUMMYFUNCTION("""COMPUTED_VALUE"""),"Global Surgical Education - Journal of the Association for Surgical Education")</f>
        <v>Global Surgical Education - Journal of the Association for Surgical Education</v>
      </c>
      <c r="F154" s="1" t="str">
        <f ca="1">IFERROR(__xludf.DUMMYFUNCTION("""COMPUTED_VALUE"""),"2731-4588")</f>
        <v>2731-4588</v>
      </c>
      <c r="G154" s="1" t="str">
        <f ca="1">IFERROR(__xludf.DUMMYFUNCTION("""COMPUTED_VALUE"""),"Springer")</f>
        <v>Springer</v>
      </c>
      <c r="H154" s="1" t="str">
        <f ca="1">IFERROR(__xludf.DUMMYFUNCTION("""COMPUTED_VALUE"""),"Medicine")</f>
        <v>Medicine</v>
      </c>
      <c r="I154" s="1" t="str">
        <f ca="1">IFERROR(__xludf.DUMMYFUNCTION("""COMPUTED_VALUE"""),"SNS22 (2022年 NewStart title）")</f>
        <v>SNS22 (2022年 NewStart title）</v>
      </c>
      <c r="J154" s="28" t="str">
        <f ca="1">IFERROR(__xludf.DUMMYFUNCTION("""COMPUTED_VALUE""")," Access Only title 購読誌選択不可")</f>
        <v xml:space="preserve"> Access Only title 購読誌選択不可</v>
      </c>
    </row>
    <row r="155" spans="1:10" ht="12.75" customHeight="1" x14ac:dyDescent="0.25">
      <c r="A155" s="1"/>
      <c r="B155" s="1" t="str">
        <f ca="1">IFERROR(__xludf.DUMMYFUNCTION("""COMPUTED_VALUE"""),"New Start title")</f>
        <v>New Start title</v>
      </c>
      <c r="C155" s="1">
        <f ca="1">IFERROR(__xludf.DUMMYFUNCTION("""COMPUTED_VALUE"""),2022)</f>
        <v>2022</v>
      </c>
      <c r="D155" s="1">
        <f ca="1">IFERROR(__xludf.DUMMYFUNCTION("""COMPUTED_VALUE"""),43877)</f>
        <v>43877</v>
      </c>
      <c r="E155" s="1" t="str">
        <f ca="1">IFERROR(__xludf.DUMMYFUNCTION("""COMPUTED_VALUE"""),"Hebammen Wissen")</f>
        <v>Hebammen Wissen</v>
      </c>
      <c r="F155" s="1" t="str">
        <f ca="1">IFERROR(__xludf.DUMMYFUNCTION("""COMPUTED_VALUE"""),"2730-7255")</f>
        <v>2730-7255</v>
      </c>
      <c r="G155" s="1" t="str">
        <f ca="1">IFERROR(__xludf.DUMMYFUNCTION("""COMPUTED_VALUE"""),"SpringerMedizin")</f>
        <v>SpringerMedizin</v>
      </c>
      <c r="H155" s="1" t="str">
        <f ca="1">IFERROR(__xludf.DUMMYFUNCTION("""COMPUTED_VALUE"""),"Medicine")</f>
        <v>Medicine</v>
      </c>
      <c r="I155" s="1" t="str">
        <f ca="1">IFERROR(__xludf.DUMMYFUNCTION("""COMPUTED_VALUE"""),"SNS21 (2021年 NewStart title） ")</f>
        <v xml:space="preserve">SNS21 (2021年 NewStart title） </v>
      </c>
      <c r="J155" s="28" t="str">
        <f ca="1">IFERROR(__xludf.DUMMYFUNCTION("""COMPUTED_VALUE""")," Access Only title 購読誌選択不可")</f>
        <v xml:space="preserve"> Access Only title 購読誌選択不可</v>
      </c>
    </row>
    <row r="156" spans="1:10" ht="12.75" customHeight="1" x14ac:dyDescent="0.25">
      <c r="A156" s="1"/>
      <c r="B156" s="1" t="str">
        <f ca="1">IFERROR(__xludf.DUMMYFUNCTION("""COMPUTED_VALUE"""),"New Start title")</f>
        <v>New Start title</v>
      </c>
      <c r="C156" s="1">
        <f ca="1">IFERROR(__xludf.DUMMYFUNCTION("""COMPUTED_VALUE"""),2022)</f>
        <v>2022</v>
      </c>
      <c r="D156" s="1">
        <f ca="1">IFERROR(__xludf.DUMMYFUNCTION("""COMPUTED_VALUE"""),44164)</f>
        <v>44164</v>
      </c>
      <c r="E156" s="1" t="str">
        <f ca="1">IFERROR(__xludf.DUMMYFUNCTION("""COMPUTED_VALUE"""),"In vitro models")</f>
        <v>In vitro models</v>
      </c>
      <c r="F156" s="1" t="str">
        <f ca="1">IFERROR(__xludf.DUMMYFUNCTION("""COMPUTED_VALUE"""),"2731-3441")</f>
        <v>2731-3441</v>
      </c>
      <c r="G156" s="1" t="str">
        <f ca="1">IFERROR(__xludf.DUMMYFUNCTION("""COMPUTED_VALUE"""),"Springer")</f>
        <v>Springer</v>
      </c>
      <c r="H156" s="1" t="str">
        <f ca="1">IFERROR(__xludf.DUMMYFUNCTION("""COMPUTED_VALUE"""),"Biomedical and Life Sciences")</f>
        <v>Biomedical and Life Sciences</v>
      </c>
      <c r="I156" s="1" t="str">
        <f ca="1">IFERROR(__xludf.DUMMYFUNCTION("""COMPUTED_VALUE"""),"SNS22 (2022年 NewStart title）")</f>
        <v>SNS22 (2022年 NewStart title）</v>
      </c>
      <c r="J156" s="28" t="str">
        <f ca="1">IFERROR(__xludf.DUMMYFUNCTION("""COMPUTED_VALUE""")," Access Only title 購読誌選択不可")</f>
        <v xml:space="preserve"> Access Only title 購読誌選択不可</v>
      </c>
    </row>
    <row r="157" spans="1:10" ht="12.75" customHeight="1" x14ac:dyDescent="0.25">
      <c r="A157" s="1"/>
      <c r="B157" s="1" t="str">
        <f ca="1">IFERROR(__xludf.DUMMYFUNCTION("""COMPUTED_VALUE"""),"New Start title")</f>
        <v>New Start title</v>
      </c>
      <c r="C157" s="1">
        <f ca="1">IFERROR(__xludf.DUMMYFUNCTION("""COMPUTED_VALUE"""),2022)</f>
        <v>2022</v>
      </c>
      <c r="D157" s="1">
        <f ca="1">IFERROR(__xludf.DUMMYFUNCTION("""COMPUTED_VALUE"""),43576)</f>
        <v>43576</v>
      </c>
      <c r="E157" s="1" t="str">
        <f ca="1">IFERROR(__xludf.DUMMYFUNCTION("""COMPUTED_VALUE"""),"International Criminology")</f>
        <v>International Criminology</v>
      </c>
      <c r="F157" s="1" t="str">
        <f ca="1">IFERROR(__xludf.DUMMYFUNCTION("""COMPUTED_VALUE"""),"2662-9976")</f>
        <v>2662-9976</v>
      </c>
      <c r="G157" s="1" t="str">
        <f ca="1">IFERROR(__xludf.DUMMYFUNCTION("""COMPUTED_VALUE"""),"Springer")</f>
        <v>Springer</v>
      </c>
      <c r="H157" s="1" t="str">
        <f ca="1">IFERROR(__xludf.DUMMYFUNCTION("""COMPUTED_VALUE"""),"Law and Criminology")</f>
        <v>Law and Criminology</v>
      </c>
      <c r="I157" s="1" t="str">
        <f ca="1">IFERROR(__xludf.DUMMYFUNCTION("""COMPUTED_VALUE"""),"SNS21 (2021年 NewStart title） ")</f>
        <v xml:space="preserve">SNS21 (2021年 NewStart title） </v>
      </c>
      <c r="J157" s="28" t="str">
        <f ca="1">IFERROR(__xludf.DUMMYFUNCTION("""COMPUTED_VALUE""")," Access Only title 購読誌選択不可")</f>
        <v xml:space="preserve"> Access Only title 購読誌選択不可</v>
      </c>
    </row>
    <row r="158" spans="1:10" ht="12.75" customHeight="1" x14ac:dyDescent="0.25">
      <c r="A158" s="1"/>
      <c r="B158" s="1" t="str">
        <f ca="1">IFERROR(__xludf.DUMMYFUNCTION("""COMPUTED_VALUE"""),"New Start title")</f>
        <v>New Start title</v>
      </c>
      <c r="C158" s="1">
        <f ca="1">IFERROR(__xludf.DUMMYFUNCTION("""COMPUTED_VALUE"""),2022)</f>
        <v>2022</v>
      </c>
      <c r="D158" s="1">
        <f ca="1">IFERROR(__xludf.DUMMYFUNCTION("""COMPUTED_VALUE"""),44007)</f>
        <v>44007</v>
      </c>
      <c r="E158" s="1" t="str">
        <f ca="1">IFERROR(__xludf.DUMMYFUNCTION("""COMPUTED_VALUE"""),"La Matematica")</f>
        <v>La Matematica</v>
      </c>
      <c r="F158" s="1" t="str">
        <f ca="1">IFERROR(__xludf.DUMMYFUNCTION("""COMPUTED_VALUE"""),"2730-9657")</f>
        <v>2730-9657</v>
      </c>
      <c r="G158" s="1" t="str">
        <f ca="1">IFERROR(__xludf.DUMMYFUNCTION("""COMPUTED_VALUE"""),"Springer")</f>
        <v>Springer</v>
      </c>
      <c r="H158" s="1" t="str">
        <f ca="1">IFERROR(__xludf.DUMMYFUNCTION("""COMPUTED_VALUE"""),"Mathematics and Statistics")</f>
        <v>Mathematics and Statistics</v>
      </c>
      <c r="I158" s="1" t="str">
        <f ca="1">IFERROR(__xludf.DUMMYFUNCTION("""COMPUTED_VALUE"""),"SNS22 (2022年 NewStart title）")</f>
        <v>SNS22 (2022年 NewStart title）</v>
      </c>
      <c r="J158" s="28" t="str">
        <f ca="1">IFERROR(__xludf.DUMMYFUNCTION("""COMPUTED_VALUE""")," Access Only title 購読誌選択不可")</f>
        <v xml:space="preserve"> Access Only title 購読誌選択不可</v>
      </c>
    </row>
    <row r="159" spans="1:10" ht="12.75" customHeight="1" x14ac:dyDescent="0.25">
      <c r="A159" s="1"/>
      <c r="B159" s="1" t="str">
        <f ca="1">IFERROR(__xludf.DUMMYFUNCTION("""COMPUTED_VALUE"""),"New Start title")</f>
        <v>New Start title</v>
      </c>
      <c r="C159" s="1">
        <f ca="1">IFERROR(__xludf.DUMMYFUNCTION("""COMPUTED_VALUE"""),2022)</f>
        <v>2022</v>
      </c>
      <c r="D159" s="1">
        <f ca="1">IFERROR(__xludf.DUMMYFUNCTION("""COMPUTED_VALUE"""),44029)</f>
        <v>44029</v>
      </c>
      <c r="E159" s="1" t="str">
        <f ca="1">IFERROR(__xludf.DUMMYFUNCTION("""COMPUTED_VALUE"""),"maschinenbau")</f>
        <v>maschinenbau</v>
      </c>
      <c r="F159" s="1" t="str">
        <f ca="1">IFERROR(__xludf.DUMMYFUNCTION("""COMPUTED_VALUE"""),"2730-9843")</f>
        <v>2730-9843</v>
      </c>
      <c r="G159" s="1" t="str">
        <f ca="1">IFERROR(__xludf.DUMMYFUNCTION("""COMPUTED_VALUE"""),"Springer Vieweg")</f>
        <v>Springer Vieweg</v>
      </c>
      <c r="H159" s="1" t="str">
        <f ca="1">IFERROR(__xludf.DUMMYFUNCTION("""COMPUTED_VALUE"""),"Engineering")</f>
        <v>Engineering</v>
      </c>
      <c r="I159" s="1" t="str">
        <f ca="1">IFERROR(__xludf.DUMMYFUNCTION("""COMPUTED_VALUE"""),"SNS21 (2021年 NewStart title） ")</f>
        <v xml:space="preserve">SNS21 (2021年 NewStart title） </v>
      </c>
      <c r="J159" s="28" t="str">
        <f ca="1">IFERROR(__xludf.DUMMYFUNCTION("""COMPUTED_VALUE""")," Access Only title 購読誌選択不可")</f>
        <v xml:space="preserve"> Access Only title 購読誌選択不可</v>
      </c>
    </row>
    <row r="160" spans="1:10" ht="12.75" customHeight="1" x14ac:dyDescent="0.25">
      <c r="A160" s="1"/>
      <c r="B160" s="1" t="str">
        <f ca="1">IFERROR(__xludf.DUMMYFUNCTION("""COMPUTED_VALUE"""),"New Start title")</f>
        <v>New Start title</v>
      </c>
      <c r="C160" s="1">
        <f ca="1">IFERROR(__xludf.DUMMYFUNCTION("""COMPUTED_VALUE"""),2022)</f>
        <v>2022</v>
      </c>
      <c r="D160" s="1">
        <f ca="1">IFERROR(__xludf.DUMMYFUNCTION("""COMPUTED_VALUE"""),43657)</f>
        <v>43657</v>
      </c>
      <c r="E160" s="1" t="str">
        <f ca="1">IFERROR(__xludf.DUMMYFUNCTION("""COMPUTED_VALUE"""),"Phenomics")</f>
        <v>Phenomics</v>
      </c>
      <c r="F160" s="1" t="str">
        <f ca="1">IFERROR(__xludf.DUMMYFUNCTION("""COMPUTED_VALUE"""),"2730-5848")</f>
        <v>2730-5848</v>
      </c>
      <c r="G160" s="1" t="str">
        <f ca="1">IFERROR(__xludf.DUMMYFUNCTION("""COMPUTED_VALUE"""),"Springer Nature")</f>
        <v>Springer Nature</v>
      </c>
      <c r="H160" s="1" t="str">
        <f ca="1">IFERROR(__xludf.DUMMYFUNCTION("""COMPUTED_VALUE"""),"Biomedical and Life Sciences")</f>
        <v>Biomedical and Life Sciences</v>
      </c>
      <c r="I160" s="1" t="str">
        <f ca="1">IFERROR(__xludf.DUMMYFUNCTION("""COMPUTED_VALUE"""),"SNS21 (2021年 NewStart title） ")</f>
        <v xml:space="preserve">SNS21 (2021年 NewStart title） </v>
      </c>
      <c r="J160" s="28" t="str">
        <f ca="1">IFERROR(__xludf.DUMMYFUNCTION("""COMPUTED_VALUE""")," Access Only title 購読誌選択不可")</f>
        <v xml:space="preserve"> Access Only title 購読誌選択不可</v>
      </c>
    </row>
    <row r="161" spans="1:10" ht="12.75" customHeight="1" x14ac:dyDescent="0.25">
      <c r="A161" s="1"/>
      <c r="B161" s="1" t="str">
        <f ca="1">IFERROR(__xludf.DUMMYFUNCTION("""COMPUTED_VALUE"""),"New Start title")</f>
        <v>New Start title</v>
      </c>
      <c r="C161" s="1">
        <f ca="1">IFERROR(__xludf.DUMMYFUNCTION("""COMPUTED_VALUE"""),2022)</f>
        <v>2022</v>
      </c>
      <c r="D161" s="1">
        <f ca="1">IFERROR(__xludf.DUMMYFUNCTION("""COMPUTED_VALUE"""),44169)</f>
        <v>44169</v>
      </c>
      <c r="E161" s="1" t="str">
        <f ca="1">IFERROR(__xludf.DUMMYFUNCTION("""COMPUTED_VALUE"""),"Reviews of Environmental Contamination and Toxicology")</f>
        <v>Reviews of Environmental Contamination and Toxicology</v>
      </c>
      <c r="F161" s="1" t="str">
        <f ca="1">IFERROR(__xludf.DUMMYFUNCTION("""COMPUTED_VALUE"""),"2197-6554")</f>
        <v>2197-6554</v>
      </c>
      <c r="G161" s="1" t="str">
        <f ca="1">IFERROR(__xludf.DUMMYFUNCTION("""COMPUTED_VALUE"""),"Springer")</f>
        <v>Springer</v>
      </c>
      <c r="H161" s="1" t="str">
        <f ca="1">IFERROR(__xludf.DUMMYFUNCTION("""COMPUTED_VALUE"""),"Earth and Environmental Science")</f>
        <v>Earth and Environmental Science</v>
      </c>
      <c r="I161" s="1" t="str">
        <f ca="1">IFERROR(__xludf.DUMMYFUNCTION("""COMPUTED_VALUE"""),"SNS22 (2022年 NewStart title）")</f>
        <v>SNS22 (2022年 NewStart title）</v>
      </c>
      <c r="J161" s="28" t="str">
        <f ca="1">IFERROR(__xludf.DUMMYFUNCTION("""COMPUTED_VALUE""")," Access Only title 購読誌選択不可")</f>
        <v xml:space="preserve"> Access Only title 購読誌選択不可</v>
      </c>
    </row>
    <row r="162" spans="1:10" ht="12.75" customHeight="1" x14ac:dyDescent="0.25">
      <c r="A162" s="1"/>
      <c r="B162" s="1" t="str">
        <f ca="1">IFERROR(__xludf.DUMMYFUNCTION("""COMPUTED_VALUE"""),"New Start title")</f>
        <v>New Start title</v>
      </c>
      <c r="C162" s="1">
        <f ca="1">IFERROR(__xludf.DUMMYFUNCTION("""COMPUTED_VALUE"""),2022)</f>
        <v>2022</v>
      </c>
      <c r="D162" s="1">
        <f ca="1">IFERROR(__xludf.DUMMYFUNCTION("""COMPUTED_VALUE"""),43546)</f>
        <v>43546</v>
      </c>
      <c r="E162" s="1" t="str">
        <f ca="1">IFERROR(__xludf.DUMMYFUNCTION("""COMPUTED_VALUE"""),"SN Business &amp; Economics")</f>
        <v>SN Business &amp; Economics</v>
      </c>
      <c r="F162" s="1" t="str">
        <f ca="1">IFERROR(__xludf.DUMMYFUNCTION("""COMPUTED_VALUE"""),"2662-9399")</f>
        <v>2662-9399</v>
      </c>
      <c r="G162" s="1" t="str">
        <f ca="1">IFERROR(__xludf.DUMMYFUNCTION("""COMPUTED_VALUE"""),"Springer Nature")</f>
        <v>Springer Nature</v>
      </c>
      <c r="H162" s="1" t="str">
        <f ca="1">IFERROR(__xludf.DUMMYFUNCTION("""COMPUTED_VALUE"""),"Business and Management")</f>
        <v>Business and Management</v>
      </c>
      <c r="I162" s="1" t="str">
        <f ca="1">IFERROR(__xludf.DUMMYFUNCTION("""COMPUTED_VALUE"""),"SNS21 (2021年 NewStart title） ")</f>
        <v xml:space="preserve">SNS21 (2021年 NewStart title） </v>
      </c>
      <c r="J162" s="28" t="str">
        <f ca="1">IFERROR(__xludf.DUMMYFUNCTION("""COMPUTED_VALUE""")," Access Only title 購読誌選択不可")</f>
        <v xml:space="preserve"> Access Only title 購読誌選択不可</v>
      </c>
    </row>
    <row r="163" spans="1:10" ht="12.75" customHeight="1" x14ac:dyDescent="0.25">
      <c r="A163" s="1"/>
      <c r="B163" s="1" t="str">
        <f ca="1">IFERROR(__xludf.DUMMYFUNCTION("""COMPUTED_VALUE"""),"New Start title")</f>
        <v>New Start title</v>
      </c>
      <c r="C163" s="1">
        <f ca="1">IFERROR(__xludf.DUMMYFUNCTION("""COMPUTED_VALUE"""),2022)</f>
        <v>2022</v>
      </c>
      <c r="D163" s="1">
        <f ca="1">IFERROR(__xludf.DUMMYFUNCTION("""COMPUTED_VALUE"""),43545)</f>
        <v>43545</v>
      </c>
      <c r="E163" s="1" t="str">
        <f ca="1">IFERROR(__xludf.DUMMYFUNCTION("""COMPUTED_VALUE"""),"SN Social Sciences")</f>
        <v>SN Social Sciences</v>
      </c>
      <c r="F163" s="1" t="str">
        <f ca="1">IFERROR(__xludf.DUMMYFUNCTION("""COMPUTED_VALUE"""),"2662-9283")</f>
        <v>2662-9283</v>
      </c>
      <c r="G163" s="1" t="str">
        <f ca="1">IFERROR(__xludf.DUMMYFUNCTION("""COMPUTED_VALUE"""),"Springer")</f>
        <v>Springer</v>
      </c>
      <c r="H163" s="1" t="str">
        <f ca="1">IFERROR(__xludf.DUMMYFUNCTION("""COMPUTED_VALUE"""),"Social Sciences")</f>
        <v>Social Sciences</v>
      </c>
      <c r="I163" s="1" t="str">
        <f ca="1">IFERROR(__xludf.DUMMYFUNCTION("""COMPUTED_VALUE"""),"SNS21 (2021年 NewStart title） ")</f>
        <v xml:space="preserve">SNS21 (2021年 NewStart title） </v>
      </c>
      <c r="J163" s="28" t="str">
        <f ca="1">IFERROR(__xludf.DUMMYFUNCTION("""COMPUTED_VALUE""")," Access Only title 購読誌選択不可")</f>
        <v xml:space="preserve"> Access Only title 購読誌選択不可</v>
      </c>
    </row>
    <row r="164" spans="1:10" ht="12.75" customHeight="1" x14ac:dyDescent="0.25">
      <c r="A164" s="1"/>
      <c r="B164" s="1" t="str">
        <f ca="1">IFERROR(__xludf.DUMMYFUNCTION("""COMPUTED_VALUE"""),"New Start title")</f>
        <v>New Start title</v>
      </c>
      <c r="C164" s="1">
        <f ca="1">IFERROR(__xludf.DUMMYFUNCTION("""COMPUTED_VALUE"""),2022)</f>
        <v>2022</v>
      </c>
      <c r="D164" s="1">
        <f ca="1">IFERROR(__xludf.DUMMYFUNCTION("""COMPUTED_VALUE"""),43393)</f>
        <v>43393</v>
      </c>
      <c r="E164" s="1" t="str">
        <f ca="1">IFERROR(__xludf.DUMMYFUNCTION("""COMPUTED_VALUE"""),"Systems Microbiology and Biomanufacturing")</f>
        <v>Systems Microbiology and Biomanufacturing</v>
      </c>
      <c r="F164" s="1" t="str">
        <f ca="1">IFERROR(__xludf.DUMMYFUNCTION("""COMPUTED_VALUE"""),"2662-7663")</f>
        <v>2662-7663</v>
      </c>
      <c r="G164" s="1" t="str">
        <f ca="1">IFERROR(__xludf.DUMMYFUNCTION("""COMPUTED_VALUE"""),"Springer")</f>
        <v>Springer</v>
      </c>
      <c r="H164" s="1" t="str">
        <f ca="1">IFERROR(__xludf.DUMMYFUNCTION("""COMPUTED_VALUE"""),"Biomedical and Life Sciences")</f>
        <v>Biomedical and Life Sciences</v>
      </c>
      <c r="I164" s="1" t="str">
        <f ca="1">IFERROR(__xludf.DUMMYFUNCTION("""COMPUTED_VALUE"""),"SNS21 (2021年 NewStart title） ")</f>
        <v xml:space="preserve">SNS21 (2021年 NewStart title） </v>
      </c>
      <c r="J164" s="28" t="str">
        <f ca="1">IFERROR(__xludf.DUMMYFUNCTION("""COMPUTED_VALUE""")," Access Only title 購読誌選択不可")</f>
        <v xml:space="preserve"> Access Only title 購読誌選択不可</v>
      </c>
    </row>
    <row r="165" spans="1:10" ht="12.75" customHeight="1" x14ac:dyDescent="0.25">
      <c r="A165" s="1"/>
      <c r="B165" s="1" t="str">
        <f ca="1">IFERROR(__xludf.DUMMYFUNCTION("""COMPUTED_VALUE"""),"New Start title")</f>
        <v>New Start title</v>
      </c>
      <c r="C165" s="1">
        <f ca="1">IFERROR(__xludf.DUMMYFUNCTION("""COMPUTED_VALUE"""),2022)</f>
        <v>2022</v>
      </c>
      <c r="D165" s="1">
        <f ca="1">IFERROR(__xludf.DUMMYFUNCTION("""COMPUTED_VALUE"""),43493)</f>
        <v>43493</v>
      </c>
      <c r="E165" s="1" t="str">
        <f ca="1">IFERROR(__xludf.DUMMYFUNCTION("""COMPUTED_VALUE"""),"The Journal of East Asian Philosophy")</f>
        <v>The Journal of East Asian Philosophy</v>
      </c>
      <c r="F165" s="1" t="str">
        <f ca="1">IFERROR(__xludf.DUMMYFUNCTION("""COMPUTED_VALUE"""),"2730-5414")</f>
        <v>2730-5414</v>
      </c>
      <c r="G165" s="1" t="str">
        <f ca="1">IFERROR(__xludf.DUMMYFUNCTION("""COMPUTED_VALUE"""),"Springer")</f>
        <v>Springer</v>
      </c>
      <c r="H165" s="1" t="str">
        <f ca="1">IFERROR(__xludf.DUMMYFUNCTION("""COMPUTED_VALUE"""),"Education")</f>
        <v>Education</v>
      </c>
      <c r="I165" s="1" t="str">
        <f ca="1">IFERROR(__xludf.DUMMYFUNCTION("""COMPUTED_VALUE"""),"SNS21 (2021年 NewStart title） ")</f>
        <v xml:space="preserve">SNS21 (2021年 NewStart title） </v>
      </c>
      <c r="J165" s="28" t="str">
        <f ca="1">IFERROR(__xludf.DUMMYFUNCTION("""COMPUTED_VALUE""")," Access Only title 購読誌選択不可")</f>
        <v xml:space="preserve"> Access Only title 購読誌選択不可</v>
      </c>
    </row>
    <row r="166" spans="1:10" ht="12.75" customHeight="1" x14ac:dyDescent="0.25">
      <c r="A166" s="1"/>
      <c r="B166" s="1" t="str">
        <f ca="1">IFERROR(__xludf.DUMMYFUNCTION("""COMPUTED_VALUE"""),"New Start title")</f>
        <v>New Start title</v>
      </c>
      <c r="C166" s="1">
        <f ca="1">IFERROR(__xludf.DUMMYFUNCTION("""COMPUTED_VALUE"""),2023)</f>
        <v>2023</v>
      </c>
      <c r="D166" s="1">
        <f ca="1">IFERROR(__xludf.DUMMYFUNCTION("""COMPUTED_VALUE"""),44210)</f>
        <v>44210</v>
      </c>
      <c r="E166" s="1" t="str">
        <f ca="1">IFERROR(__xludf.DUMMYFUNCTION("""COMPUTED_VALUE"""),"High Entropy Alloys &amp; Materials")</f>
        <v>High Entropy Alloys &amp; Materials</v>
      </c>
      <c r="F166" s="1" t="str">
        <f ca="1">IFERROR(__xludf.DUMMYFUNCTION("""COMPUTED_VALUE"""),"2731-5827")</f>
        <v>2731-5827</v>
      </c>
      <c r="G166" s="1" t="str">
        <f ca="1">IFERROR(__xludf.DUMMYFUNCTION("""COMPUTED_VALUE"""),"Springer")</f>
        <v>Springer</v>
      </c>
      <c r="H166" s="1" t="str">
        <f ca="1">IFERROR(__xludf.DUMMYFUNCTION("""COMPUTED_VALUE"""),"Chemistry and Materials Science")</f>
        <v>Chemistry and Materials Science</v>
      </c>
      <c r="I166" s="1" t="str">
        <f ca="1">IFERROR(__xludf.DUMMYFUNCTION("""COMPUTED_VALUE"""),"SNS22 (2023年 NewStart title）")</f>
        <v>SNS22 (2023年 NewStart title）</v>
      </c>
      <c r="J166" s="28" t="str">
        <f ca="1">IFERROR(__xludf.DUMMYFUNCTION("""COMPUTED_VALUE""")," Access Only title 購読誌選択不可")</f>
        <v xml:space="preserve"> Access Only title 購読誌選択不可</v>
      </c>
    </row>
    <row r="167" spans="1:10" ht="12.75" customHeight="1" x14ac:dyDescent="0.25">
      <c r="A167" s="1"/>
      <c r="B167" s="1" t="str">
        <f ca="1">IFERROR(__xludf.DUMMYFUNCTION("""COMPUTED_VALUE"""),"DDP変更")</f>
        <v>DDP変更</v>
      </c>
      <c r="C167" s="1">
        <f ca="1">IFERROR(__xludf.DUMMYFUNCTION("""COMPUTED_VALUE"""),2022)</f>
        <v>2022</v>
      </c>
      <c r="D167" s="1">
        <f ca="1">IFERROR(__xludf.DUMMYFUNCTION("""COMPUTED_VALUE"""),52)</f>
        <v>52</v>
      </c>
      <c r="E167" s="1" t="str">
        <f ca="1">IFERROR(__xludf.DUMMYFUNCTION("""COMPUTED_VALUE"""),"Chinesische Medizin / Chinese Medicine")</f>
        <v>Chinesische Medizin / Chinese Medicine</v>
      </c>
      <c r="F167" s="1" t="str">
        <f ca="1">IFERROR(__xludf.DUMMYFUNCTION("""COMPUTED_VALUE"""),"2196-5668")</f>
        <v>2196-5668</v>
      </c>
      <c r="G167" s="1" t="str">
        <f ca="1">IFERROR(__xludf.DUMMYFUNCTION("""COMPUTED_VALUE"""),"SpringerMedizin")</f>
        <v>SpringerMedizin</v>
      </c>
      <c r="H167" s="1" t="str">
        <f ca="1">IFERROR(__xludf.DUMMYFUNCTION("""COMPUTED_VALUE"""),"Medicine")</f>
        <v>Medicine</v>
      </c>
      <c r="I167" s="1" t="str">
        <f ca="1">IFERROR(__xludf.DUMMYFUNCTION("""COMPUTED_VALUE"""),"Old ISSN-p: 0930-2786/Publishes 3 issues in 2021 &amp; Print subscription no longer available.")</f>
        <v>Old ISSN-p: 0930-2786/Publishes 3 issues in 2021 &amp; Print subscription no longer available.</v>
      </c>
      <c r="J167" s="28"/>
    </row>
    <row r="168" spans="1:10" ht="12.75" customHeight="1" x14ac:dyDescent="0.25">
      <c r="A168" s="1"/>
      <c r="B168" s="1" t="str">
        <f ca="1">IFERROR(__xludf.DUMMYFUNCTION("""COMPUTED_VALUE"""),"DDP変更")</f>
        <v>DDP変更</v>
      </c>
      <c r="C168" s="1">
        <f ca="1">IFERROR(__xludf.DUMMYFUNCTION("""COMPUTED_VALUE"""),2022)</f>
        <v>2022</v>
      </c>
      <c r="D168" s="1">
        <f ca="1">IFERROR(__xludf.DUMMYFUNCTION("""COMPUTED_VALUE"""),10895)</f>
        <v>10895</v>
      </c>
      <c r="E168" s="1" t="str">
        <f ca="1">IFERROR(__xludf.DUMMYFUNCTION("""COMPUTED_VALUE"""),"Journal of Fluorescence")</f>
        <v>Journal of Fluorescence</v>
      </c>
      <c r="F168" s="1" t="str">
        <f ca="1">IFERROR(__xludf.DUMMYFUNCTION("""COMPUTED_VALUE"""),"1573-4994")</f>
        <v>1573-4994</v>
      </c>
      <c r="G168" s="1" t="str">
        <f ca="1">IFERROR(__xludf.DUMMYFUNCTION("""COMPUTED_VALUE"""),"Springer")</f>
        <v>Springer</v>
      </c>
      <c r="H168" s="1" t="str">
        <f ca="1">IFERROR(__xludf.DUMMYFUNCTION("""COMPUTED_VALUE"""),"Biomedical and Life Sciences")</f>
        <v>Biomedical and Life Sciences</v>
      </c>
      <c r="I168" s="1" t="str">
        <f ca="1">IFERROR(__xludf.DUMMYFUNCTION("""COMPUTED_VALUE"""),"Old ISSN-p: 1053-0509")</f>
        <v>Old ISSN-p: 1053-0509</v>
      </c>
      <c r="J168" s="28"/>
    </row>
    <row r="169" spans="1:10" ht="12.75" customHeight="1" x14ac:dyDescent="0.25">
      <c r="A169" s="1"/>
      <c r="B169" s="1" t="str">
        <f ca="1">IFERROR(__xludf.DUMMYFUNCTION("""COMPUTED_VALUE"""),"DDP変更")</f>
        <v>DDP変更</v>
      </c>
      <c r="C169" s="1">
        <f ca="1">IFERROR(__xludf.DUMMYFUNCTION("""COMPUTED_VALUE"""),2022)</f>
        <v>2022</v>
      </c>
      <c r="D169" s="1">
        <f ca="1">IFERROR(__xludf.DUMMYFUNCTION("""COMPUTED_VALUE"""),42729)</f>
        <v>42729</v>
      </c>
      <c r="E169" s="1" t="str">
        <f ca="1">IFERROR(__xludf.DUMMYFUNCTION("""COMPUTED_VALUE"""),"Journal of Soil Science and Plant Nutrition")</f>
        <v>Journal of Soil Science and Plant Nutrition</v>
      </c>
      <c r="F169" s="1" t="str">
        <f ca="1">IFERROR(__xludf.DUMMYFUNCTION("""COMPUTED_VALUE"""),"0718-9516")</f>
        <v>0718-9516</v>
      </c>
      <c r="G169" s="1" t="str">
        <f ca="1">IFERROR(__xludf.DUMMYFUNCTION("""COMPUTED_VALUE"""),"Springer")</f>
        <v>Springer</v>
      </c>
      <c r="H169" s="1" t="str">
        <f ca="1">IFERROR(__xludf.DUMMYFUNCTION("""COMPUTED_VALUE"""),"Biomedical and Life Sciences")</f>
        <v>Biomedical and Life Sciences</v>
      </c>
      <c r="I169" s="1" t="str">
        <f ca="1">IFERROR(__xludf.DUMMYFUNCTION("""COMPUTED_VALUE"""),"Old ISSN-p: 0718-9508")</f>
        <v>Old ISSN-p: 0718-9508</v>
      </c>
      <c r="J169" s="28"/>
    </row>
    <row r="170" spans="1:10" ht="12.75" customHeight="1" x14ac:dyDescent="0.25">
      <c r="A170" s="1"/>
      <c r="B170" s="1" t="str">
        <f ca="1">IFERROR(__xludf.DUMMYFUNCTION("""COMPUTED_VALUE"""),"DDP変更")</f>
        <v>DDP変更</v>
      </c>
      <c r="C170" s="1">
        <f ca="1">IFERROR(__xludf.DUMMYFUNCTION("""COMPUTED_VALUE"""),2023)</f>
        <v>2023</v>
      </c>
      <c r="D170" s="1">
        <f ca="1">IFERROR(__xludf.DUMMYFUNCTION("""COMPUTED_VALUE"""),429)</f>
        <v>429</v>
      </c>
      <c r="E170" s="1" t="str">
        <f ca="1">IFERROR(__xludf.DUMMYFUNCTION("""COMPUTED_VALUE"""),"Brain Structure and Function")</f>
        <v>Brain Structure and Function</v>
      </c>
      <c r="F170" s="1" t="str">
        <f ca="1">IFERROR(__xludf.DUMMYFUNCTION("""COMPUTED_VALUE"""),"1863-2661")</f>
        <v>1863-2661</v>
      </c>
      <c r="G170" s="1" t="str">
        <f ca="1">IFERROR(__xludf.DUMMYFUNCTION("""COMPUTED_VALUE"""),"Springer")</f>
        <v>Springer</v>
      </c>
      <c r="H170" s="1" t="str">
        <f ca="1">IFERROR(__xludf.DUMMYFUNCTION("""COMPUTED_VALUE"""),"Biomedical and Life Sciences")</f>
        <v>Biomedical and Life Sciences</v>
      </c>
      <c r="I170" s="1" t="str">
        <f ca="1">IFERROR(__xludf.DUMMYFUNCTION("""COMPUTED_VALUE"""),"Old ISSN-p: 1863-2653")</f>
        <v>Old ISSN-p: 1863-2653</v>
      </c>
      <c r="J170" s="28" t="str">
        <f ca="1">IFERROR(__xludf.DUMMYFUNCTION("""COMPUTED_VALUE"""),"Print subscription no longer available.")</f>
        <v>Print subscription no longer available.</v>
      </c>
    </row>
    <row r="171" spans="1:10" ht="12.75" customHeight="1" x14ac:dyDescent="0.25">
      <c r="A171" s="1"/>
      <c r="B171" s="1" t="str">
        <f ca="1">IFERROR(__xludf.DUMMYFUNCTION("""COMPUTED_VALUE"""),"DDP変更")</f>
        <v>DDP変更</v>
      </c>
      <c r="C171" s="1">
        <f ca="1">IFERROR(__xludf.DUMMYFUNCTION("""COMPUTED_VALUE"""),2023)</f>
        <v>2023</v>
      </c>
      <c r="D171" s="1">
        <f ca="1">IFERROR(__xludf.DUMMYFUNCTION("""COMPUTED_VALUE"""),10577)</f>
        <v>10577</v>
      </c>
      <c r="E171" s="1" t="str">
        <f ca="1">IFERROR(__xludf.DUMMYFUNCTION("""COMPUTED_VALUE"""),"Chromosome Research")</f>
        <v>Chromosome Research</v>
      </c>
      <c r="F171" s="1" t="str">
        <f ca="1">IFERROR(__xludf.DUMMYFUNCTION("""COMPUTED_VALUE"""),"1573-6849")</f>
        <v>1573-6849</v>
      </c>
      <c r="G171" s="1" t="str">
        <f ca="1">IFERROR(__xludf.DUMMYFUNCTION("""COMPUTED_VALUE"""),"Springer")</f>
        <v>Springer</v>
      </c>
      <c r="H171" s="1" t="str">
        <f ca="1">IFERROR(__xludf.DUMMYFUNCTION("""COMPUTED_VALUE"""),"Biomedical and Life Sciences")</f>
        <v>Biomedical and Life Sciences</v>
      </c>
      <c r="I171" s="1" t="str">
        <f ca="1">IFERROR(__xludf.DUMMYFUNCTION("""COMPUTED_VALUE"""),"Old ISSN-p: 0967-3849")</f>
        <v>Old ISSN-p: 0967-3849</v>
      </c>
      <c r="J171" s="28" t="str">
        <f ca="1">IFERROR(__xludf.DUMMYFUNCTION("""COMPUTED_VALUE"""),"Print subscription no longer available.")</f>
        <v>Print subscription no longer available.</v>
      </c>
    </row>
    <row r="172" spans="1:10" ht="12.75" customHeight="1" x14ac:dyDescent="0.25">
      <c r="A172" s="1"/>
      <c r="B172" s="1" t="str">
        <f ca="1">IFERROR(__xludf.DUMMYFUNCTION("""COMPUTED_VALUE"""),"DDP変更")</f>
        <v>DDP変更</v>
      </c>
      <c r="C172" s="1">
        <f ca="1">IFERROR(__xludf.DUMMYFUNCTION("""COMPUTED_VALUE"""),2023)</f>
        <v>2023</v>
      </c>
      <c r="D172" s="1">
        <f ca="1">IFERROR(__xludf.DUMMYFUNCTION("""COMPUTED_VALUE"""),10140)</f>
        <v>10140</v>
      </c>
      <c r="E172" s="1" t="str">
        <f ca="1">IFERROR(__xludf.DUMMYFUNCTION("""COMPUTED_VALUE"""),"Emergency Radiology")</f>
        <v>Emergency Radiology</v>
      </c>
      <c r="F172" s="1" t="str">
        <f ca="1">IFERROR(__xludf.DUMMYFUNCTION("""COMPUTED_VALUE"""),"1438-1435")</f>
        <v>1438-1435</v>
      </c>
      <c r="G172" s="1" t="str">
        <f ca="1">IFERROR(__xludf.DUMMYFUNCTION("""COMPUTED_VALUE"""),"Springer")</f>
        <v>Springer</v>
      </c>
      <c r="H172" s="1" t="str">
        <f ca="1">IFERROR(__xludf.DUMMYFUNCTION("""COMPUTED_VALUE"""),"Medicine")</f>
        <v>Medicine</v>
      </c>
      <c r="I172" s="1" t="str">
        <f ca="1">IFERROR(__xludf.DUMMYFUNCTION("""COMPUTED_VALUE"""),"Old ISSN-p: 1070-3004")</f>
        <v>Old ISSN-p: 1070-3004</v>
      </c>
      <c r="J172" s="28" t="str">
        <f ca="1">IFERROR(__xludf.DUMMYFUNCTION("""COMPUTED_VALUE"""),"Exclusive distribution rights for print version outside Mainland China, for electronic version worldwide.")</f>
        <v>Exclusive distribution rights for print version outside Mainland China, for electronic version worldwide.</v>
      </c>
    </row>
    <row r="173" spans="1:10" ht="12.75" customHeight="1" x14ac:dyDescent="0.25">
      <c r="A173" s="1"/>
      <c r="B173" s="1" t="str">
        <f ca="1">IFERROR(__xludf.DUMMYFUNCTION("""COMPUTED_VALUE"""),"DDP変更")</f>
        <v>DDP変更</v>
      </c>
      <c r="C173" s="1">
        <f ca="1">IFERROR(__xludf.DUMMYFUNCTION("""COMPUTED_VALUE"""),2023)</f>
        <v>2023</v>
      </c>
      <c r="D173" s="1">
        <f ca="1">IFERROR(__xludf.DUMMYFUNCTION("""COMPUTED_VALUE"""),601)</f>
        <v>601</v>
      </c>
      <c r="E173" s="1" t="str">
        <f ca="1">IFERROR(__xludf.DUMMYFUNCTION("""COMPUTED_VALUE"""),"Few-Body Systems")</f>
        <v>Few-Body Systems</v>
      </c>
      <c r="F173" s="1" t="str">
        <f ca="1">IFERROR(__xludf.DUMMYFUNCTION("""COMPUTED_VALUE"""),"1432-5411")</f>
        <v>1432-5411</v>
      </c>
      <c r="G173" s="1" t="str">
        <f ca="1">IFERROR(__xludf.DUMMYFUNCTION("""COMPUTED_VALUE"""),"Springer")</f>
        <v>Springer</v>
      </c>
      <c r="H173" s="1" t="str">
        <f ca="1">IFERROR(__xludf.DUMMYFUNCTION("""COMPUTED_VALUE"""),"Physics and Astronomy")</f>
        <v>Physics and Astronomy</v>
      </c>
      <c r="I173" s="1" t="str">
        <f ca="1">IFERROR(__xludf.DUMMYFUNCTION("""COMPUTED_VALUE"""),"Old ISSN-p: 0177-7963")</f>
        <v>Old ISSN-p: 0177-7963</v>
      </c>
      <c r="J173" s="28" t="str">
        <f ca="1">IFERROR(__xludf.DUMMYFUNCTION("""COMPUTED_VALUE"""),"Print subscription no longer available.")</f>
        <v>Print subscription no longer available.</v>
      </c>
    </row>
    <row r="174" spans="1:10" ht="12.75" customHeight="1" x14ac:dyDescent="0.25">
      <c r="A174" s="1"/>
      <c r="B174" s="1" t="str">
        <f ca="1">IFERROR(__xludf.DUMMYFUNCTION("""COMPUTED_VALUE"""),"DDP変更")</f>
        <v>DDP変更</v>
      </c>
      <c r="C174" s="1">
        <f ca="1">IFERROR(__xludf.DUMMYFUNCTION("""COMPUTED_VALUE"""),2023)</f>
        <v>2023</v>
      </c>
      <c r="D174" s="1">
        <f ca="1">IFERROR(__xludf.DUMMYFUNCTION("""COMPUTED_VALUE"""),12024)</f>
        <v>12024</v>
      </c>
      <c r="E174" s="1" t="str">
        <f ca="1">IFERROR(__xludf.DUMMYFUNCTION("""COMPUTED_VALUE"""),"Forensic Science, Medicine and Pathology")</f>
        <v>Forensic Science, Medicine and Pathology</v>
      </c>
      <c r="F174" s="1" t="str">
        <f ca="1">IFERROR(__xludf.DUMMYFUNCTION("""COMPUTED_VALUE"""),"1556-2891")</f>
        <v>1556-2891</v>
      </c>
      <c r="G174" s="1" t="str">
        <f ca="1">IFERROR(__xludf.DUMMYFUNCTION("""COMPUTED_VALUE"""),"Springer")</f>
        <v>Springer</v>
      </c>
      <c r="H174" s="1" t="str">
        <f ca="1">IFERROR(__xludf.DUMMYFUNCTION("""COMPUTED_VALUE"""),"Medicine")</f>
        <v>Medicine</v>
      </c>
      <c r="I174" s="1" t="str">
        <f ca="1">IFERROR(__xludf.DUMMYFUNCTION("""COMPUTED_VALUE"""),"Old ISSN-p: 1547-769X")</f>
        <v>Old ISSN-p: 1547-769X</v>
      </c>
      <c r="J174" s="28" t="str">
        <f ca="1">IFERROR(__xludf.DUMMYFUNCTION("""COMPUTED_VALUE"""),"Print subscription no longer available.")</f>
        <v>Print subscription no longer available.</v>
      </c>
    </row>
    <row r="175" spans="1:10" ht="12.75" customHeight="1" x14ac:dyDescent="0.25">
      <c r="A175" s="1"/>
      <c r="B175" s="1" t="str">
        <f ca="1">IFERROR(__xludf.DUMMYFUNCTION("""COMPUTED_VALUE"""),"DDP変更")</f>
        <v>DDP変更</v>
      </c>
      <c r="C175" s="1">
        <f ca="1">IFERROR(__xludf.DUMMYFUNCTION("""COMPUTED_VALUE"""),2023)</f>
        <v>2023</v>
      </c>
      <c r="D175" s="1">
        <f ca="1">IFERROR(__xludf.DUMMYFUNCTION("""COMPUTED_VALUE"""),10701)</f>
        <v>10701</v>
      </c>
      <c r="E175" s="1" t="str">
        <f ca="1">IFERROR(__xludf.DUMMYFUNCTION("""COMPUTED_VALUE"""),"Foundations of Physics")</f>
        <v>Foundations of Physics</v>
      </c>
      <c r="F175" s="1" t="str">
        <f ca="1">IFERROR(__xludf.DUMMYFUNCTION("""COMPUTED_VALUE"""),"1572-9516")</f>
        <v>1572-9516</v>
      </c>
      <c r="G175" s="1" t="str">
        <f ca="1">IFERROR(__xludf.DUMMYFUNCTION("""COMPUTED_VALUE"""),"Springer")</f>
        <v>Springer</v>
      </c>
      <c r="H175" s="1" t="str">
        <f ca="1">IFERROR(__xludf.DUMMYFUNCTION("""COMPUTED_VALUE"""),"Physics and Astronomy")</f>
        <v>Physics and Astronomy</v>
      </c>
      <c r="I175" s="1" t="str">
        <f ca="1">IFERROR(__xludf.DUMMYFUNCTION("""COMPUTED_VALUE"""),"Old ISSN-p: 0015-9018")</f>
        <v>Old ISSN-p: 0015-9018</v>
      </c>
      <c r="J175" s="28" t="str">
        <f ca="1">IFERROR(__xludf.DUMMYFUNCTION("""COMPUTED_VALUE"""),"Electronic only.")</f>
        <v>Electronic only.</v>
      </c>
    </row>
    <row r="176" spans="1:10" ht="12.75" customHeight="1" x14ac:dyDescent="0.25">
      <c r="A176" s="1"/>
      <c r="B176" s="1" t="str">
        <f ca="1">IFERROR(__xludf.DUMMYFUNCTION("""COMPUTED_VALUE"""),"DDP変更")</f>
        <v>DDP変更</v>
      </c>
      <c r="C176" s="1">
        <f ca="1">IFERROR(__xludf.DUMMYFUNCTION("""COMPUTED_VALUE"""),2023)</f>
        <v>2023</v>
      </c>
      <c r="D176" s="1">
        <f ca="1">IFERROR(__xludf.DUMMYFUNCTION("""COMPUTED_VALUE"""),10741)</f>
        <v>10741</v>
      </c>
      <c r="E176" s="1" t="str">
        <f ca="1">IFERROR(__xludf.DUMMYFUNCTION("""COMPUTED_VALUE"""),"Heart Failure Reviews")</f>
        <v>Heart Failure Reviews</v>
      </c>
      <c r="F176" s="1" t="str">
        <f ca="1">IFERROR(__xludf.DUMMYFUNCTION("""COMPUTED_VALUE"""),"1573-7322")</f>
        <v>1573-7322</v>
      </c>
      <c r="G176" s="1" t="str">
        <f ca="1">IFERROR(__xludf.DUMMYFUNCTION("""COMPUTED_VALUE"""),"Springer")</f>
        <v>Springer</v>
      </c>
      <c r="H176" s="1" t="str">
        <f ca="1">IFERROR(__xludf.DUMMYFUNCTION("""COMPUTED_VALUE"""),"Medicine")</f>
        <v>Medicine</v>
      </c>
      <c r="I176" s="1" t="str">
        <f ca="1">IFERROR(__xludf.DUMMYFUNCTION("""COMPUTED_VALUE"""),"Old ISSN-p: 1382-4147")</f>
        <v>Old ISSN-p: 1382-4147</v>
      </c>
      <c r="J176" s="28" t="str">
        <f ca="1">IFERROR(__xludf.DUMMYFUNCTION("""COMPUTED_VALUE"""),"Print subscription no longer available.")</f>
        <v>Print subscription no longer available.</v>
      </c>
    </row>
    <row r="177" spans="1:10" ht="12.75" customHeight="1" x14ac:dyDescent="0.25">
      <c r="A177" s="1"/>
      <c r="B177" s="1" t="str">
        <f ca="1">IFERROR(__xludf.DUMMYFUNCTION("""COMPUTED_VALUE"""),"DDP変更")</f>
        <v>DDP変更</v>
      </c>
      <c r="C177" s="1">
        <f ca="1">IFERROR(__xludf.DUMMYFUNCTION("""COMPUTED_VALUE"""),2023)</f>
        <v>2023</v>
      </c>
      <c r="D177" s="1">
        <f ca="1">IFERROR(__xludf.DUMMYFUNCTION("""COMPUTED_VALUE"""),12687)</f>
        <v>12687</v>
      </c>
      <c r="E177" s="1" t="str">
        <f ca="1">IFERROR(__xludf.DUMMYFUNCTION("""COMPUTED_VALUE"""),"Journal of Community Genetics")</f>
        <v>Journal of Community Genetics</v>
      </c>
      <c r="F177" s="1" t="str">
        <f ca="1">IFERROR(__xludf.DUMMYFUNCTION("""COMPUTED_VALUE"""),"1868-6001")</f>
        <v>1868-6001</v>
      </c>
      <c r="G177" s="1" t="str">
        <f ca="1">IFERROR(__xludf.DUMMYFUNCTION("""COMPUTED_VALUE"""),"Springer")</f>
        <v>Springer</v>
      </c>
      <c r="H177" s="1" t="str">
        <f ca="1">IFERROR(__xludf.DUMMYFUNCTION("""COMPUTED_VALUE"""),"Biomedical and Life Sciences")</f>
        <v>Biomedical and Life Sciences</v>
      </c>
      <c r="I177" s="1" t="str">
        <f ca="1">IFERROR(__xludf.DUMMYFUNCTION("""COMPUTED_VALUE"""),"Old ISSN-p: 1868-310X")</f>
        <v>Old ISSN-p: 1868-310X</v>
      </c>
      <c r="J177" s="28" t="str">
        <f ca="1">IFERROR(__xludf.DUMMYFUNCTION("""COMPUTED_VALUE"""),"Print subscription no longer available.")</f>
        <v>Print subscription no longer available.</v>
      </c>
    </row>
    <row r="178" spans="1:10" ht="12.75" customHeight="1" x14ac:dyDescent="0.25">
      <c r="A178" s="1"/>
      <c r="B178" s="1" t="str">
        <f ca="1">IFERROR(__xludf.DUMMYFUNCTION("""COMPUTED_VALUE"""),"DDP変更")</f>
        <v>DDP変更</v>
      </c>
      <c r="C178" s="1">
        <f ca="1">IFERROR(__xludf.DUMMYFUNCTION("""COMPUTED_VALUE"""),2023)</f>
        <v>2023</v>
      </c>
      <c r="D178" s="1">
        <f ca="1">IFERROR(__xludf.DUMMYFUNCTION("""COMPUTED_VALUE"""),10278)</f>
        <v>10278</v>
      </c>
      <c r="E178" s="1" t="str">
        <f ca="1">IFERROR(__xludf.DUMMYFUNCTION("""COMPUTED_VALUE"""),"Journal of Digital Imaging")</f>
        <v>Journal of Digital Imaging</v>
      </c>
      <c r="F178" s="1" t="str">
        <f ca="1">IFERROR(__xludf.DUMMYFUNCTION("""COMPUTED_VALUE"""),"1618-727X")</f>
        <v>1618-727X</v>
      </c>
      <c r="G178" s="1" t="str">
        <f ca="1">IFERROR(__xludf.DUMMYFUNCTION("""COMPUTED_VALUE"""),"Springer")</f>
        <v>Springer</v>
      </c>
      <c r="H178" s="1" t="str">
        <f ca="1">IFERROR(__xludf.DUMMYFUNCTION("""COMPUTED_VALUE"""),"Medicine")</f>
        <v>Medicine</v>
      </c>
      <c r="I178" s="1" t="str">
        <f ca="1">IFERROR(__xludf.DUMMYFUNCTION("""COMPUTED_VALUE"""),"Old ISSN-p: 0897-1889")</f>
        <v>Old ISSN-p: 0897-1889</v>
      </c>
      <c r="J178" s="28" t="str">
        <f ca="1">IFERROR(__xludf.DUMMYFUNCTION("""COMPUTED_VALUE"""),"Print subscription no longer available.")</f>
        <v>Print subscription no longer available.</v>
      </c>
    </row>
    <row r="179" spans="1:10" ht="12.75" customHeight="1" x14ac:dyDescent="0.25">
      <c r="A179" s="1"/>
      <c r="B179" s="1" t="str">
        <f ca="1">IFERROR(__xludf.DUMMYFUNCTION("""COMPUTED_VALUE"""),"DDP変更")</f>
        <v>DDP変更</v>
      </c>
      <c r="C179" s="1">
        <f ca="1">IFERROR(__xludf.DUMMYFUNCTION("""COMPUTED_VALUE"""),2023)</f>
        <v>2023</v>
      </c>
      <c r="D179" s="1">
        <f ca="1">IFERROR(__xludf.DUMMYFUNCTION("""COMPUTED_VALUE"""),10894)</f>
        <v>10894</v>
      </c>
      <c r="E179" s="1" t="str">
        <f ca="1">IFERROR(__xludf.DUMMYFUNCTION("""COMPUTED_VALUE"""),"Journal of Fusion Energy")</f>
        <v>Journal of Fusion Energy</v>
      </c>
      <c r="F179" s="1" t="str">
        <f ca="1">IFERROR(__xludf.DUMMYFUNCTION("""COMPUTED_VALUE"""),"1572-9591")</f>
        <v>1572-9591</v>
      </c>
      <c r="G179" s="1" t="str">
        <f ca="1">IFERROR(__xludf.DUMMYFUNCTION("""COMPUTED_VALUE"""),"Springer")</f>
        <v>Springer</v>
      </c>
      <c r="H179" s="1" t="str">
        <f ca="1">IFERROR(__xludf.DUMMYFUNCTION("""COMPUTED_VALUE"""),"Physics and Astronomy")</f>
        <v>Physics and Astronomy</v>
      </c>
      <c r="I179" s="1" t="str">
        <f ca="1">IFERROR(__xludf.DUMMYFUNCTION("""COMPUTED_VALUE"""),"Old ISSN-p: 0164-0313")</f>
        <v>Old ISSN-p: 0164-0313</v>
      </c>
      <c r="J179" s="28" t="str">
        <f ca="1">IFERROR(__xludf.DUMMYFUNCTION("""COMPUTED_VALUE"""),"Print subscription no longer available.")</f>
        <v>Print subscription no longer available.</v>
      </c>
    </row>
    <row r="180" spans="1:10" ht="12.75" customHeight="1" x14ac:dyDescent="0.25">
      <c r="A180" s="1"/>
      <c r="B180" s="1" t="str">
        <f ca="1">IFERROR(__xludf.DUMMYFUNCTION("""COMPUTED_VALUE"""),"DDP変更")</f>
        <v>DDP変更</v>
      </c>
      <c r="C180" s="1">
        <f ca="1">IFERROR(__xludf.DUMMYFUNCTION("""COMPUTED_VALUE"""),2023)</f>
        <v>2023</v>
      </c>
      <c r="D180" s="1">
        <f ca="1">IFERROR(__xludf.DUMMYFUNCTION("""COMPUTED_VALUE"""),10840)</f>
        <v>10840</v>
      </c>
      <c r="E180" s="1" t="str">
        <f ca="1">IFERROR(__xludf.DUMMYFUNCTION("""COMPUTED_VALUE"""),"Journal of Interventional Cardiac Electrophysiology")</f>
        <v>Journal of Interventional Cardiac Electrophysiology</v>
      </c>
      <c r="F180" s="1" t="str">
        <f ca="1">IFERROR(__xludf.DUMMYFUNCTION("""COMPUTED_VALUE"""),"1572-8595")</f>
        <v>1572-8595</v>
      </c>
      <c r="G180" s="1" t="str">
        <f ca="1">IFERROR(__xludf.DUMMYFUNCTION("""COMPUTED_VALUE"""),"Springer")</f>
        <v>Springer</v>
      </c>
      <c r="H180" s="1" t="str">
        <f ca="1">IFERROR(__xludf.DUMMYFUNCTION("""COMPUTED_VALUE"""),"Medicine")</f>
        <v>Medicine</v>
      </c>
      <c r="I180" s="1" t="str">
        <f ca="1">IFERROR(__xludf.DUMMYFUNCTION("""COMPUTED_VALUE"""),"Old ISSN-p: 1383-875X")</f>
        <v>Old ISSN-p: 1383-875X</v>
      </c>
      <c r="J180" s="28" t="str">
        <f ca="1">IFERROR(__xludf.DUMMYFUNCTION("""COMPUTED_VALUE"""),"Print subscription no longer available.")</f>
        <v>Print subscription no longer available.</v>
      </c>
    </row>
    <row r="181" spans="1:10" ht="12.75" customHeight="1" x14ac:dyDescent="0.25">
      <c r="A181" s="1"/>
      <c r="B181" s="1" t="str">
        <f ca="1">IFERROR(__xludf.DUMMYFUNCTION("""COMPUTED_VALUE"""),"DDP変更")</f>
        <v>DDP変更</v>
      </c>
      <c r="C181" s="1">
        <f ca="1">IFERROR(__xludf.DUMMYFUNCTION("""COMPUTED_VALUE"""),2023)</f>
        <v>2023</v>
      </c>
      <c r="D181" s="1">
        <f ca="1">IFERROR(__xludf.DUMMYFUNCTION("""COMPUTED_VALUE"""),10955)</f>
        <v>10955</v>
      </c>
      <c r="E181" s="1" t="str">
        <f ca="1">IFERROR(__xludf.DUMMYFUNCTION("""COMPUTED_VALUE"""),"Journal of Statistical Physics")</f>
        <v>Journal of Statistical Physics</v>
      </c>
      <c r="F181" s="1" t="str">
        <f ca="1">IFERROR(__xludf.DUMMYFUNCTION("""COMPUTED_VALUE"""),"1572-9613")</f>
        <v>1572-9613</v>
      </c>
      <c r="G181" s="1" t="str">
        <f ca="1">IFERROR(__xludf.DUMMYFUNCTION("""COMPUTED_VALUE"""),"Springer")</f>
        <v>Springer</v>
      </c>
      <c r="H181" s="1" t="str">
        <f ca="1">IFERROR(__xludf.DUMMYFUNCTION("""COMPUTED_VALUE"""),"Physics and Astronomy")</f>
        <v>Physics and Astronomy</v>
      </c>
      <c r="I181" s="1" t="str">
        <f ca="1">IFERROR(__xludf.DUMMYFUNCTION("""COMPUTED_VALUE"""),"Old ISSN-p: 0022-4715")</f>
        <v>Old ISSN-p: 0022-4715</v>
      </c>
      <c r="J181" s="28" t="str">
        <f ca="1">IFERROR(__xludf.DUMMYFUNCTION("""COMPUTED_VALUE"""),"Print subscription no longer available.")</f>
        <v>Print subscription no longer available.</v>
      </c>
    </row>
    <row r="182" spans="1:10" ht="12.75" customHeight="1" x14ac:dyDescent="0.25">
      <c r="A182" s="1"/>
      <c r="B182" s="1" t="str">
        <f ca="1">IFERROR(__xludf.DUMMYFUNCTION("""COMPUTED_VALUE"""),"DDP変更")</f>
        <v>DDP変更</v>
      </c>
      <c r="C182" s="1">
        <f ca="1">IFERROR(__xludf.DUMMYFUNCTION("""COMPUTED_VALUE"""),2023)</f>
        <v>2023</v>
      </c>
      <c r="D182" s="1">
        <f ca="1">IFERROR(__xludf.DUMMYFUNCTION("""COMPUTED_VALUE"""),10162)</f>
        <v>10162</v>
      </c>
      <c r="E182" s="1" t="str">
        <f ca="1">IFERROR(__xludf.DUMMYFUNCTION("""COMPUTED_VALUE"""),"Journal of the Association for Research in Otolaryngology")</f>
        <v>Journal of the Association for Research in Otolaryngology</v>
      </c>
      <c r="F182" s="1" t="str">
        <f ca="1">IFERROR(__xludf.DUMMYFUNCTION("""COMPUTED_VALUE"""),"1438-7573")</f>
        <v>1438-7573</v>
      </c>
      <c r="G182" s="1" t="str">
        <f ca="1">IFERROR(__xludf.DUMMYFUNCTION("""COMPUTED_VALUE"""),"Springer")</f>
        <v>Springer</v>
      </c>
      <c r="H182" s="1" t="str">
        <f ca="1">IFERROR(__xludf.DUMMYFUNCTION("""COMPUTED_VALUE"""),"Medicine")</f>
        <v>Medicine</v>
      </c>
      <c r="I182" s="1" t="str">
        <f ca="1">IFERROR(__xludf.DUMMYFUNCTION("""COMPUTED_VALUE"""),"Old ISSN-p: 1525-3961")</f>
        <v>Old ISSN-p: 1525-3961</v>
      </c>
      <c r="J182" s="28" t="str">
        <f ca="1">IFERROR(__xludf.DUMMYFUNCTION("""COMPUTED_VALUE"""),"Electronic only.")</f>
        <v>Electronic only.</v>
      </c>
    </row>
    <row r="183" spans="1:10" ht="12.75" customHeight="1" x14ac:dyDescent="0.25">
      <c r="A183" s="1"/>
      <c r="B183" s="1" t="str">
        <f ca="1">IFERROR(__xludf.DUMMYFUNCTION("""COMPUTED_VALUE"""),"DDP変更")</f>
        <v>DDP変更</v>
      </c>
      <c r="C183" s="1">
        <f ca="1">IFERROR(__xludf.DUMMYFUNCTION("""COMPUTED_VALUE"""),2023)</f>
        <v>2023</v>
      </c>
      <c r="D183" s="1">
        <f ca="1">IFERROR(__xludf.DUMMYFUNCTION("""COMPUTED_VALUE"""),11239)</f>
        <v>11239</v>
      </c>
      <c r="E183" s="1" t="str">
        <f ca="1">IFERROR(__xludf.DUMMYFUNCTION("""COMPUTED_VALUE"""),"Journal of Thrombosis and Thrombolysis")</f>
        <v>Journal of Thrombosis and Thrombolysis</v>
      </c>
      <c r="F183" s="1" t="str">
        <f ca="1">IFERROR(__xludf.DUMMYFUNCTION("""COMPUTED_VALUE"""),"1573-742X")</f>
        <v>1573-742X</v>
      </c>
      <c r="G183" s="1" t="str">
        <f ca="1">IFERROR(__xludf.DUMMYFUNCTION("""COMPUTED_VALUE"""),"Springer")</f>
        <v>Springer</v>
      </c>
      <c r="H183" s="1" t="str">
        <f ca="1">IFERROR(__xludf.DUMMYFUNCTION("""COMPUTED_VALUE"""),"Medicine")</f>
        <v>Medicine</v>
      </c>
      <c r="I183" s="1" t="str">
        <f ca="1">IFERROR(__xludf.DUMMYFUNCTION("""COMPUTED_VALUE"""),"Old ISSN-p: 0929-5305")</f>
        <v>Old ISSN-p: 0929-5305</v>
      </c>
      <c r="J183" s="28" t="str">
        <f ca="1">IFERROR(__xludf.DUMMYFUNCTION("""COMPUTED_VALUE"""),"Print subscription no longer available.")</f>
        <v>Print subscription no longer available.</v>
      </c>
    </row>
    <row r="184" spans="1:10" ht="12.75" customHeight="1" x14ac:dyDescent="0.25">
      <c r="A184" s="1"/>
      <c r="B184" s="1" t="str">
        <f ca="1">IFERROR(__xludf.DUMMYFUNCTION("""COMPUTED_VALUE"""),"DDP変更")</f>
        <v>DDP変更</v>
      </c>
      <c r="C184" s="1">
        <f ca="1">IFERROR(__xludf.DUMMYFUNCTION("""COMPUTED_VALUE"""),2023)</f>
        <v>2023</v>
      </c>
      <c r="D184" s="1">
        <f ca="1">IFERROR(__xludf.DUMMYFUNCTION("""COMPUTED_VALUE"""),11005)</f>
        <v>11005</v>
      </c>
      <c r="E184" s="1" t="str">
        <f ca="1">IFERROR(__xludf.DUMMYFUNCTION("""COMPUTED_VALUE"""),"Letters in Mathematical Physics")</f>
        <v>Letters in Mathematical Physics</v>
      </c>
      <c r="F184" s="1" t="str">
        <f ca="1">IFERROR(__xludf.DUMMYFUNCTION("""COMPUTED_VALUE"""),"1573-0530")</f>
        <v>1573-0530</v>
      </c>
      <c r="G184" s="1" t="str">
        <f ca="1">IFERROR(__xludf.DUMMYFUNCTION("""COMPUTED_VALUE"""),"Springer")</f>
        <v>Springer</v>
      </c>
      <c r="H184" s="1" t="str">
        <f ca="1">IFERROR(__xludf.DUMMYFUNCTION("""COMPUTED_VALUE"""),"Physics and Astronomy")</f>
        <v>Physics and Astronomy</v>
      </c>
      <c r="I184" s="1" t="str">
        <f ca="1">IFERROR(__xludf.DUMMYFUNCTION("""COMPUTED_VALUE"""),"Old ISSN-p: 0377-9017")</f>
        <v>Old ISSN-p: 0377-9017</v>
      </c>
      <c r="J184" s="28" t="str">
        <f ca="1">IFERROR(__xludf.DUMMYFUNCTION("""COMPUTED_VALUE"""),"Print subscription no longer available.")</f>
        <v>Print subscription no longer available.</v>
      </c>
    </row>
    <row r="185" spans="1:10" ht="12.75" customHeight="1" x14ac:dyDescent="0.25">
      <c r="A185" s="1"/>
      <c r="B185" s="1" t="str">
        <f ca="1">IFERROR(__xludf.DUMMYFUNCTION("""COMPUTED_VALUE"""),"DDP変更")</f>
        <v>DDP変更</v>
      </c>
      <c r="C185" s="1">
        <f ca="1">IFERROR(__xludf.DUMMYFUNCTION("""COMPUTED_VALUE"""),2023)</f>
        <v>2023</v>
      </c>
      <c r="D185" s="1">
        <f ca="1">IFERROR(__xludf.DUMMYFUNCTION("""COMPUTED_VALUE"""),247)</f>
        <v>247</v>
      </c>
      <c r="E185" s="1" t="str">
        <f ca="1">IFERROR(__xludf.DUMMYFUNCTION("""COMPUTED_VALUE"""),"Pediatric Radiology")</f>
        <v>Pediatric Radiology</v>
      </c>
      <c r="F185" s="1" t="str">
        <f ca="1">IFERROR(__xludf.DUMMYFUNCTION("""COMPUTED_VALUE"""),"1432-1998")</f>
        <v>1432-1998</v>
      </c>
      <c r="G185" s="1" t="str">
        <f ca="1">IFERROR(__xludf.DUMMYFUNCTION("""COMPUTED_VALUE"""),"Springer")</f>
        <v>Springer</v>
      </c>
      <c r="H185" s="1" t="str">
        <f ca="1">IFERROR(__xludf.DUMMYFUNCTION("""COMPUTED_VALUE"""),"Medicine")</f>
        <v>Medicine</v>
      </c>
      <c r="I185" s="1" t="str">
        <f ca="1">IFERROR(__xludf.DUMMYFUNCTION("""COMPUTED_VALUE"""),"Old ISSN-p: 0301-0449")</f>
        <v>Old ISSN-p: 0301-0449</v>
      </c>
      <c r="J185" s="28" t="str">
        <f ca="1">IFERROR(__xludf.DUMMYFUNCTION("""COMPUTED_VALUE"""),"Print subscription no longer available.")</f>
        <v>Print subscription no longer available.</v>
      </c>
    </row>
    <row r="186" spans="1:10" ht="12.75" customHeight="1" x14ac:dyDescent="0.25">
      <c r="A186" s="1"/>
      <c r="B186" s="1" t="str">
        <f ca="1">IFERROR(__xludf.DUMMYFUNCTION("""COMPUTED_VALUE"""),"DDP変更")</f>
        <v>DDP変更</v>
      </c>
      <c r="C186" s="1">
        <f ca="1">IFERROR(__xludf.DUMMYFUNCTION("""COMPUTED_VALUE"""),2023)</f>
        <v>2023</v>
      </c>
      <c r="D186" s="1">
        <f ca="1">IFERROR(__xludf.DUMMYFUNCTION("""COMPUTED_VALUE"""),11325)</f>
        <v>11325</v>
      </c>
      <c r="E186" s="1" t="str">
        <f ca="1">IFERROR(__xludf.DUMMYFUNCTION("""COMPUTED_VALUE"""),"Sleep and Breathing")</f>
        <v>Sleep and Breathing</v>
      </c>
      <c r="F186" s="1" t="str">
        <f ca="1">IFERROR(__xludf.DUMMYFUNCTION("""COMPUTED_VALUE"""),"1522-1709")</f>
        <v>1522-1709</v>
      </c>
      <c r="G186" s="1" t="str">
        <f ca="1">IFERROR(__xludf.DUMMYFUNCTION("""COMPUTED_VALUE"""),"Springer")</f>
        <v>Springer</v>
      </c>
      <c r="H186" s="1" t="str">
        <f ca="1">IFERROR(__xludf.DUMMYFUNCTION("""COMPUTED_VALUE"""),"Medicine")</f>
        <v>Medicine</v>
      </c>
      <c r="I186" s="1" t="str">
        <f ca="1">IFERROR(__xludf.DUMMYFUNCTION("""COMPUTED_VALUE"""),"Old ISSN-p: 1520-9512")</f>
        <v>Old ISSN-p: 1520-9512</v>
      </c>
      <c r="J186" s="28" t="str">
        <f ca="1">IFERROR(__xludf.DUMMYFUNCTION("""COMPUTED_VALUE"""),"Electronic only.")</f>
        <v>Electronic only.</v>
      </c>
    </row>
    <row r="187" spans="1:10" ht="12.75" customHeight="1" x14ac:dyDescent="0.25">
      <c r="A187" s="1"/>
      <c r="B187" s="1"/>
      <c r="C187" s="1"/>
      <c r="D187" s="1"/>
      <c r="E187" s="1"/>
      <c r="F187" s="1"/>
      <c r="G187" s="1"/>
      <c r="H187" s="1"/>
      <c r="I187" s="1"/>
      <c r="J187" s="28"/>
    </row>
    <row r="188" spans="1:10" ht="12.75" customHeight="1" x14ac:dyDescent="0.25">
      <c r="A188" s="1"/>
      <c r="B188" s="1"/>
      <c r="C188" s="1"/>
      <c r="D188" s="1"/>
      <c r="E188" s="1"/>
      <c r="F188" s="1"/>
      <c r="G188" s="1"/>
      <c r="H188" s="1"/>
      <c r="I188" s="1"/>
      <c r="J188" s="28"/>
    </row>
    <row r="189" spans="1:10" ht="12.75" customHeight="1" x14ac:dyDescent="0.25">
      <c r="A189" s="1"/>
      <c r="B189" s="1"/>
      <c r="C189" s="1"/>
      <c r="D189" s="1"/>
      <c r="E189" s="1"/>
      <c r="F189" s="1"/>
      <c r="G189" s="1"/>
      <c r="H189" s="1"/>
      <c r="I189" s="1"/>
      <c r="J189" s="28"/>
    </row>
    <row r="190" spans="1:10" ht="12.75" customHeight="1" x14ac:dyDescent="0.25">
      <c r="A190" s="1"/>
      <c r="B190" s="1"/>
      <c r="C190" s="1"/>
      <c r="D190" s="1"/>
      <c r="E190" s="1"/>
      <c r="F190" s="1"/>
      <c r="G190" s="1"/>
      <c r="H190" s="1"/>
      <c r="I190" s="1"/>
      <c r="J190" s="28"/>
    </row>
    <row r="191" spans="1:10" ht="12.75" customHeight="1" x14ac:dyDescent="0.25">
      <c r="A191" s="1"/>
      <c r="B191" s="1"/>
      <c r="C191" s="1"/>
      <c r="D191" s="1"/>
      <c r="E191" s="1"/>
      <c r="F191" s="1"/>
      <c r="G191" s="1"/>
      <c r="H191" s="1"/>
      <c r="I191" s="1"/>
      <c r="J191" s="28"/>
    </row>
    <row r="192" spans="1:10" ht="12.75" customHeight="1" x14ac:dyDescent="0.25">
      <c r="A192" s="1"/>
      <c r="B192" s="1"/>
      <c r="C192" s="1"/>
      <c r="D192" s="1"/>
      <c r="E192" s="1"/>
      <c r="F192" s="1"/>
      <c r="G192" s="1"/>
      <c r="H192" s="1"/>
      <c r="I192" s="1"/>
      <c r="J192" s="28"/>
    </row>
    <row r="193" spans="1:10" ht="12.75" customHeight="1" x14ac:dyDescent="0.25">
      <c r="A193" s="1"/>
      <c r="B193" s="1"/>
      <c r="C193" s="1"/>
      <c r="D193" s="1"/>
      <c r="E193" s="1"/>
      <c r="F193" s="1"/>
      <c r="G193" s="1"/>
      <c r="H193" s="1"/>
      <c r="I193" s="1"/>
      <c r="J193" s="28"/>
    </row>
    <row r="194" spans="1:10" ht="12.75" customHeight="1" x14ac:dyDescent="0.25">
      <c r="A194" s="1"/>
      <c r="B194" s="1"/>
      <c r="C194" s="1"/>
      <c r="D194" s="1"/>
      <c r="E194" s="1"/>
      <c r="F194" s="1"/>
      <c r="G194" s="1"/>
      <c r="H194" s="1"/>
      <c r="I194" s="1"/>
      <c r="J194" s="28"/>
    </row>
    <row r="195" spans="1:10" ht="12.75" customHeight="1" x14ac:dyDescent="0.25">
      <c r="A195" s="1"/>
      <c r="B195" s="1"/>
      <c r="C195" s="1"/>
      <c r="D195" s="1"/>
      <c r="E195" s="1"/>
      <c r="F195" s="1"/>
      <c r="G195" s="1"/>
      <c r="H195" s="1"/>
      <c r="I195" s="1"/>
      <c r="J195" s="28"/>
    </row>
  </sheetData>
  <autoFilter ref="B2:J186" xr:uid="{00000000-0009-0000-0000-000003000000}"/>
  <phoneticPr fontId="6"/>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Title List</vt:lpstr>
      <vt:lpstr>SJ1</vt:lpstr>
      <vt:lpstr>SJ1C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Yosuke Kojima</dc:creator>
  <cp:lastModifiedBy>hayami</cp:lastModifiedBy>
  <dcterms:created xsi:type="dcterms:W3CDTF">2022-08-24T06:14:11Z</dcterms:created>
  <dcterms:modified xsi:type="dcterms:W3CDTF">2023-09-15T05:02:25Z</dcterms:modified>
</cp:coreProperties>
</file>